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hadi\Desktop\"/>
    </mc:Choice>
  </mc:AlternateContent>
  <xr:revisionPtr revIDLastSave="0" documentId="13_ncr:1_{0A86FA69-FC1F-43A3-9C6F-427AB9D449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39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12" i="1" l="1"/>
  <c r="H2212" i="1"/>
  <c r="I2212" i="1"/>
  <c r="J2212" i="1"/>
  <c r="K2212" i="1"/>
  <c r="M2212" i="1"/>
  <c r="P2212" i="1"/>
  <c r="R2212" i="1"/>
  <c r="S2212" i="1"/>
  <c r="T2212" i="1"/>
  <c r="U2212" i="1"/>
  <c r="X2212" i="1"/>
  <c r="Y2212" i="1"/>
  <c r="Z2212" i="1"/>
  <c r="AA2212" i="1"/>
  <c r="AB2212" i="1"/>
  <c r="AC2212" i="1"/>
  <c r="AD2212" i="1"/>
  <c r="AE2212" i="1"/>
  <c r="AF2212" i="1"/>
  <c r="AG2212" i="1"/>
  <c r="AH2212" i="1"/>
  <c r="AI2212" i="1"/>
  <c r="AJ2212" i="1"/>
  <c r="AK2212" i="1"/>
  <c r="C2213" i="1"/>
  <c r="H2213" i="1"/>
  <c r="I2213" i="1"/>
  <c r="J2213" i="1"/>
  <c r="K2213" i="1"/>
  <c r="M2213" i="1"/>
  <c r="P2213" i="1"/>
  <c r="R2213" i="1"/>
  <c r="S2213" i="1"/>
  <c r="T2213" i="1"/>
  <c r="U2213" i="1"/>
  <c r="X2213" i="1"/>
  <c r="Y2213" i="1"/>
  <c r="Z2213" i="1"/>
  <c r="AA2213" i="1"/>
  <c r="AB2213" i="1"/>
  <c r="AC2213" i="1"/>
  <c r="AD2213" i="1"/>
  <c r="AE2213" i="1"/>
  <c r="AF2213" i="1"/>
  <c r="AG2213" i="1"/>
  <c r="AH2213" i="1"/>
  <c r="AI2213" i="1"/>
  <c r="AJ2213" i="1"/>
  <c r="AK2213" i="1"/>
  <c r="C2214" i="1"/>
  <c r="H2214" i="1"/>
  <c r="I2214" i="1"/>
  <c r="J2214" i="1"/>
  <c r="K2214" i="1"/>
  <c r="M2214" i="1"/>
  <c r="P2214" i="1"/>
  <c r="R2214" i="1"/>
  <c r="S2214" i="1"/>
  <c r="T2214" i="1"/>
  <c r="U2214" i="1"/>
  <c r="X2214" i="1"/>
  <c r="Y2214" i="1"/>
  <c r="Z2214" i="1"/>
  <c r="AA2214" i="1"/>
  <c r="AB2214" i="1"/>
  <c r="AC2214" i="1"/>
  <c r="AD2214" i="1"/>
  <c r="AE2214" i="1"/>
  <c r="AF2214" i="1"/>
  <c r="AG2214" i="1"/>
  <c r="AH2214" i="1"/>
  <c r="AI2214" i="1"/>
  <c r="AJ2214" i="1"/>
  <c r="AK2214" i="1"/>
  <c r="C2215" i="1"/>
  <c r="H2215" i="1"/>
  <c r="I2215" i="1"/>
  <c r="J2215" i="1"/>
  <c r="K2215" i="1"/>
  <c r="M2215" i="1"/>
  <c r="P2215" i="1"/>
  <c r="R2215" i="1"/>
  <c r="S2215" i="1"/>
  <c r="T2215" i="1"/>
  <c r="U2215" i="1"/>
  <c r="X2215" i="1"/>
  <c r="Y2215" i="1"/>
  <c r="Z2215" i="1"/>
  <c r="AA2215" i="1"/>
  <c r="AB2215" i="1"/>
  <c r="AC2215" i="1"/>
  <c r="AD2215" i="1"/>
  <c r="AE2215" i="1"/>
  <c r="AF2215" i="1"/>
  <c r="AG2215" i="1"/>
  <c r="AH2215" i="1"/>
  <c r="AI2215" i="1"/>
  <c r="AJ2215" i="1"/>
  <c r="AK2215" i="1"/>
  <c r="C2216" i="1"/>
  <c r="H2216" i="1"/>
  <c r="I2216" i="1"/>
  <c r="J2216" i="1"/>
  <c r="K2216" i="1"/>
  <c r="M2216" i="1"/>
  <c r="P2216" i="1"/>
  <c r="R2216" i="1"/>
  <c r="S2216" i="1"/>
  <c r="T2216" i="1"/>
  <c r="U2216" i="1"/>
  <c r="X2216" i="1"/>
  <c r="Y2216" i="1"/>
  <c r="Z2216" i="1"/>
  <c r="AA2216" i="1"/>
  <c r="AB2216" i="1"/>
  <c r="AC2216" i="1"/>
  <c r="AD2216" i="1"/>
  <c r="AE2216" i="1"/>
  <c r="AF2216" i="1"/>
  <c r="AG2216" i="1"/>
  <c r="AH2216" i="1"/>
  <c r="AI2216" i="1"/>
  <c r="AJ2216" i="1"/>
  <c r="AK2216" i="1"/>
  <c r="C2217" i="1"/>
  <c r="H2217" i="1"/>
  <c r="I2217" i="1"/>
  <c r="J2217" i="1"/>
  <c r="K2217" i="1"/>
  <c r="M2217" i="1"/>
  <c r="P2217" i="1"/>
  <c r="R2217" i="1"/>
  <c r="S2217" i="1"/>
  <c r="T2217" i="1"/>
  <c r="U2217" i="1"/>
  <c r="X2217" i="1"/>
  <c r="Y2217" i="1"/>
  <c r="Z2217" i="1"/>
  <c r="AA2217" i="1"/>
  <c r="AB2217" i="1"/>
  <c r="AC2217" i="1"/>
  <c r="AD2217" i="1"/>
  <c r="AE2217" i="1"/>
  <c r="AF2217" i="1"/>
  <c r="AG2217" i="1"/>
  <c r="AH2217" i="1"/>
  <c r="AI2217" i="1"/>
  <c r="AJ2217" i="1"/>
  <c r="AK2217" i="1"/>
  <c r="C2218" i="1"/>
  <c r="H2218" i="1"/>
  <c r="I2218" i="1"/>
  <c r="J2218" i="1"/>
  <c r="K2218" i="1"/>
  <c r="M2218" i="1"/>
  <c r="P2218" i="1"/>
  <c r="R2218" i="1"/>
  <c r="S2218" i="1"/>
  <c r="T2218" i="1"/>
  <c r="U2218" i="1"/>
  <c r="X2218" i="1"/>
  <c r="Y2218" i="1"/>
  <c r="Z2218" i="1"/>
  <c r="AA2218" i="1"/>
  <c r="AB2218" i="1"/>
  <c r="AC2218" i="1"/>
  <c r="AD2218" i="1"/>
  <c r="AE2218" i="1"/>
  <c r="AF2218" i="1"/>
  <c r="AG2218" i="1"/>
  <c r="AH2218" i="1"/>
  <c r="AI2218" i="1"/>
  <c r="AJ2218" i="1"/>
  <c r="AK2218" i="1"/>
  <c r="C2219" i="1"/>
  <c r="H2219" i="1"/>
  <c r="I2219" i="1"/>
  <c r="J2219" i="1"/>
  <c r="K2219" i="1"/>
  <c r="M2219" i="1"/>
  <c r="P2219" i="1"/>
  <c r="R2219" i="1"/>
  <c r="S2219" i="1"/>
  <c r="T2219" i="1"/>
  <c r="U2219" i="1"/>
  <c r="X2219" i="1"/>
  <c r="Y2219" i="1"/>
  <c r="Z2219" i="1"/>
  <c r="AA2219" i="1"/>
  <c r="AB2219" i="1"/>
  <c r="AC2219" i="1"/>
  <c r="AD2219" i="1"/>
  <c r="AE2219" i="1"/>
  <c r="AF2219" i="1"/>
  <c r="AG2219" i="1"/>
  <c r="AH2219" i="1"/>
  <c r="AI2219" i="1"/>
  <c r="AJ2219" i="1"/>
  <c r="AK2219" i="1"/>
  <c r="C2220" i="1"/>
  <c r="H2220" i="1"/>
  <c r="I2220" i="1"/>
  <c r="J2220" i="1"/>
  <c r="K2220" i="1"/>
  <c r="M2220" i="1"/>
  <c r="P2220" i="1"/>
  <c r="R2220" i="1"/>
  <c r="S2220" i="1"/>
  <c r="T2220" i="1"/>
  <c r="U2220" i="1"/>
  <c r="X2220" i="1"/>
  <c r="Y2220" i="1"/>
  <c r="Z2220" i="1"/>
  <c r="AA2220" i="1"/>
  <c r="AB2220" i="1"/>
  <c r="AC2220" i="1"/>
  <c r="AD2220" i="1"/>
  <c r="AE2220" i="1"/>
  <c r="AF2220" i="1"/>
  <c r="AG2220" i="1"/>
  <c r="AH2220" i="1"/>
  <c r="AI2220" i="1"/>
  <c r="AJ2220" i="1"/>
  <c r="AK2220" i="1"/>
  <c r="C2202" i="1"/>
  <c r="H2202" i="1"/>
  <c r="I2202" i="1"/>
  <c r="J2202" i="1"/>
  <c r="K2202" i="1"/>
  <c r="M2202" i="1"/>
  <c r="P2202" i="1"/>
  <c r="R2202" i="1"/>
  <c r="S2202" i="1"/>
  <c r="T2202" i="1"/>
  <c r="U2202" i="1"/>
  <c r="X2202" i="1"/>
  <c r="Y2202" i="1"/>
  <c r="Z2202" i="1"/>
  <c r="AA2202" i="1"/>
  <c r="AB2202" i="1"/>
  <c r="AC2202" i="1"/>
  <c r="AD2202" i="1"/>
  <c r="AE2202" i="1"/>
  <c r="AF2202" i="1"/>
  <c r="AG2202" i="1"/>
  <c r="AH2202" i="1"/>
  <c r="AI2202" i="1"/>
  <c r="AJ2202" i="1"/>
  <c r="AK2202" i="1"/>
  <c r="C2203" i="1"/>
  <c r="H2203" i="1"/>
  <c r="I2203" i="1"/>
  <c r="J2203" i="1"/>
  <c r="K2203" i="1"/>
  <c r="M2203" i="1"/>
  <c r="P2203" i="1"/>
  <c r="R2203" i="1"/>
  <c r="S2203" i="1"/>
  <c r="T2203" i="1"/>
  <c r="U2203" i="1"/>
  <c r="X2203" i="1"/>
  <c r="Y2203" i="1"/>
  <c r="Z2203" i="1"/>
  <c r="AA2203" i="1"/>
  <c r="AB2203" i="1"/>
  <c r="AC2203" i="1"/>
  <c r="AD2203" i="1"/>
  <c r="AE2203" i="1"/>
  <c r="AF2203" i="1"/>
  <c r="AG2203" i="1"/>
  <c r="AH2203" i="1"/>
  <c r="AI2203" i="1"/>
  <c r="AJ2203" i="1"/>
  <c r="AK2203" i="1"/>
  <c r="C2204" i="1"/>
  <c r="H2204" i="1"/>
  <c r="I2204" i="1"/>
  <c r="J2204" i="1"/>
  <c r="K2204" i="1"/>
  <c r="M2204" i="1"/>
  <c r="P2204" i="1"/>
  <c r="R2204" i="1"/>
  <c r="S2204" i="1"/>
  <c r="T2204" i="1"/>
  <c r="U2204" i="1"/>
  <c r="X2204" i="1"/>
  <c r="Y2204" i="1"/>
  <c r="Z2204" i="1"/>
  <c r="AA2204" i="1"/>
  <c r="AB2204" i="1"/>
  <c r="AC2204" i="1"/>
  <c r="AD2204" i="1"/>
  <c r="AE2204" i="1"/>
  <c r="AF2204" i="1"/>
  <c r="AG2204" i="1"/>
  <c r="AH2204" i="1"/>
  <c r="AI2204" i="1"/>
  <c r="AJ2204" i="1"/>
  <c r="AK2204" i="1"/>
  <c r="C2205" i="1"/>
  <c r="H2205" i="1"/>
  <c r="I2205" i="1"/>
  <c r="J2205" i="1"/>
  <c r="K2205" i="1"/>
  <c r="M2205" i="1"/>
  <c r="P2205" i="1"/>
  <c r="R2205" i="1"/>
  <c r="S2205" i="1"/>
  <c r="T2205" i="1"/>
  <c r="U2205" i="1"/>
  <c r="X2205" i="1"/>
  <c r="Y2205" i="1"/>
  <c r="Z2205" i="1"/>
  <c r="AA2205" i="1"/>
  <c r="AB2205" i="1"/>
  <c r="AC2205" i="1"/>
  <c r="AD2205" i="1"/>
  <c r="AE2205" i="1"/>
  <c r="AF2205" i="1"/>
  <c r="AG2205" i="1"/>
  <c r="AH2205" i="1"/>
  <c r="AI2205" i="1"/>
  <c r="AJ2205" i="1"/>
  <c r="AK2205" i="1"/>
  <c r="C2206" i="1"/>
  <c r="H2206" i="1"/>
  <c r="I2206" i="1"/>
  <c r="J2206" i="1"/>
  <c r="K2206" i="1"/>
  <c r="M2206" i="1"/>
  <c r="P2206" i="1"/>
  <c r="R2206" i="1"/>
  <c r="S2206" i="1"/>
  <c r="T2206" i="1"/>
  <c r="U2206" i="1"/>
  <c r="X2206" i="1"/>
  <c r="Y2206" i="1"/>
  <c r="Z2206" i="1"/>
  <c r="AA2206" i="1"/>
  <c r="AB2206" i="1"/>
  <c r="AC2206" i="1"/>
  <c r="AD2206" i="1"/>
  <c r="AE2206" i="1"/>
  <c r="AF2206" i="1"/>
  <c r="AG2206" i="1"/>
  <c r="AH2206" i="1"/>
  <c r="AI2206" i="1"/>
  <c r="AJ2206" i="1"/>
  <c r="AK2206" i="1"/>
  <c r="C2207" i="1"/>
  <c r="H2207" i="1"/>
  <c r="I2207" i="1"/>
  <c r="J2207" i="1"/>
  <c r="K2207" i="1"/>
  <c r="M2207" i="1"/>
  <c r="P2207" i="1"/>
  <c r="R2207" i="1"/>
  <c r="S2207" i="1"/>
  <c r="T2207" i="1"/>
  <c r="U2207" i="1"/>
  <c r="X2207" i="1"/>
  <c r="Y2207" i="1"/>
  <c r="Z2207" i="1"/>
  <c r="AA2207" i="1"/>
  <c r="AB2207" i="1"/>
  <c r="AC2207" i="1"/>
  <c r="AD2207" i="1"/>
  <c r="AE2207" i="1"/>
  <c r="AF2207" i="1"/>
  <c r="AG2207" i="1"/>
  <c r="AH2207" i="1"/>
  <c r="AI2207" i="1"/>
  <c r="AJ2207" i="1"/>
  <c r="AK2207" i="1"/>
  <c r="C2208" i="1"/>
  <c r="H2208" i="1"/>
  <c r="I2208" i="1"/>
  <c r="J2208" i="1"/>
  <c r="K2208" i="1"/>
  <c r="M2208" i="1"/>
  <c r="P2208" i="1"/>
  <c r="R2208" i="1"/>
  <c r="S2208" i="1"/>
  <c r="T2208" i="1"/>
  <c r="U2208" i="1"/>
  <c r="X2208" i="1"/>
  <c r="Y2208" i="1"/>
  <c r="Z2208" i="1"/>
  <c r="AA2208" i="1"/>
  <c r="AB2208" i="1"/>
  <c r="AC2208" i="1"/>
  <c r="AD2208" i="1"/>
  <c r="AE2208" i="1"/>
  <c r="AF2208" i="1"/>
  <c r="AG2208" i="1"/>
  <c r="AH2208" i="1"/>
  <c r="AI2208" i="1"/>
  <c r="AJ2208" i="1"/>
  <c r="AK2208" i="1"/>
  <c r="C2209" i="1"/>
  <c r="H2209" i="1"/>
  <c r="I2209" i="1"/>
  <c r="J2209" i="1"/>
  <c r="K2209" i="1"/>
  <c r="M2209" i="1"/>
  <c r="P2209" i="1"/>
  <c r="R2209" i="1"/>
  <c r="S2209" i="1"/>
  <c r="T2209" i="1"/>
  <c r="U2209" i="1"/>
  <c r="X2209" i="1"/>
  <c r="Y2209" i="1"/>
  <c r="Z2209" i="1"/>
  <c r="AA2209" i="1"/>
  <c r="AB2209" i="1"/>
  <c r="AC2209" i="1"/>
  <c r="AD2209" i="1"/>
  <c r="AE2209" i="1"/>
  <c r="AF2209" i="1"/>
  <c r="AG2209" i="1"/>
  <c r="AH2209" i="1"/>
  <c r="AI2209" i="1"/>
  <c r="AJ2209" i="1"/>
  <c r="AK2209" i="1"/>
  <c r="C2210" i="1"/>
  <c r="H2210" i="1"/>
  <c r="I2210" i="1"/>
  <c r="J2210" i="1"/>
  <c r="K2210" i="1"/>
  <c r="M2210" i="1"/>
  <c r="P2210" i="1"/>
  <c r="R2210" i="1"/>
  <c r="S2210" i="1"/>
  <c r="T2210" i="1"/>
  <c r="U2210" i="1"/>
  <c r="X2210" i="1"/>
  <c r="Y2210" i="1"/>
  <c r="Z2210" i="1"/>
  <c r="AA2210" i="1"/>
  <c r="AB2210" i="1"/>
  <c r="AC2210" i="1"/>
  <c r="AD2210" i="1"/>
  <c r="AE2210" i="1"/>
  <c r="AF2210" i="1"/>
  <c r="AG2210" i="1"/>
  <c r="AH2210" i="1"/>
  <c r="AI2210" i="1"/>
  <c r="AJ2210" i="1"/>
  <c r="AK2210" i="1"/>
  <c r="C2211" i="1"/>
  <c r="H2211" i="1"/>
  <c r="I2211" i="1"/>
  <c r="J2211" i="1"/>
  <c r="K2211" i="1"/>
  <c r="M2211" i="1"/>
  <c r="P2211" i="1"/>
  <c r="R2211" i="1"/>
  <c r="S2211" i="1"/>
  <c r="T2211" i="1"/>
  <c r="U2211" i="1"/>
  <c r="X2211" i="1"/>
  <c r="Y2211" i="1"/>
  <c r="Z2211" i="1"/>
  <c r="AA2211" i="1"/>
  <c r="AB2211" i="1"/>
  <c r="AC2211" i="1"/>
  <c r="AD2211" i="1"/>
  <c r="AE2211" i="1"/>
  <c r="AF2211" i="1"/>
  <c r="AG2211" i="1"/>
  <c r="AH2211" i="1"/>
  <c r="AI2211" i="1"/>
  <c r="AJ2211" i="1"/>
  <c r="AK2211" i="1"/>
  <c r="C2192" i="1"/>
  <c r="H2192" i="1"/>
  <c r="I2192" i="1"/>
  <c r="J2192" i="1"/>
  <c r="K2192" i="1"/>
  <c r="M2192" i="1"/>
  <c r="P2192" i="1"/>
  <c r="R2192" i="1"/>
  <c r="S2192" i="1"/>
  <c r="T2192" i="1"/>
  <c r="U2192" i="1"/>
  <c r="X2192" i="1"/>
  <c r="Y2192" i="1"/>
  <c r="Z2192" i="1"/>
  <c r="AA2192" i="1"/>
  <c r="AB2192" i="1"/>
  <c r="AC2192" i="1"/>
  <c r="AD2192" i="1"/>
  <c r="AE2192" i="1"/>
  <c r="AF2192" i="1"/>
  <c r="AG2192" i="1"/>
  <c r="AH2192" i="1"/>
  <c r="AI2192" i="1"/>
  <c r="AJ2192" i="1"/>
  <c r="AK2192" i="1"/>
  <c r="C2193" i="1"/>
  <c r="H2193" i="1"/>
  <c r="I2193" i="1"/>
  <c r="J2193" i="1"/>
  <c r="K2193" i="1"/>
  <c r="M2193" i="1"/>
  <c r="P2193" i="1"/>
  <c r="R2193" i="1"/>
  <c r="S2193" i="1"/>
  <c r="T2193" i="1"/>
  <c r="U2193" i="1"/>
  <c r="X2193" i="1"/>
  <c r="Y2193" i="1"/>
  <c r="Z2193" i="1"/>
  <c r="AA2193" i="1"/>
  <c r="AB2193" i="1"/>
  <c r="AC2193" i="1"/>
  <c r="AD2193" i="1"/>
  <c r="AE2193" i="1"/>
  <c r="AF2193" i="1"/>
  <c r="AG2193" i="1"/>
  <c r="AH2193" i="1"/>
  <c r="AI2193" i="1"/>
  <c r="AJ2193" i="1"/>
  <c r="AK2193" i="1"/>
  <c r="C2194" i="1"/>
  <c r="H2194" i="1"/>
  <c r="I2194" i="1"/>
  <c r="J2194" i="1"/>
  <c r="K2194" i="1"/>
  <c r="M2194" i="1"/>
  <c r="P2194" i="1"/>
  <c r="R2194" i="1"/>
  <c r="S2194" i="1"/>
  <c r="T2194" i="1"/>
  <c r="U2194" i="1"/>
  <c r="X2194" i="1"/>
  <c r="Y2194" i="1"/>
  <c r="Z2194" i="1"/>
  <c r="AA2194" i="1"/>
  <c r="AB2194" i="1"/>
  <c r="AC2194" i="1"/>
  <c r="AD2194" i="1"/>
  <c r="AE2194" i="1"/>
  <c r="AF2194" i="1"/>
  <c r="AG2194" i="1"/>
  <c r="AH2194" i="1"/>
  <c r="AI2194" i="1"/>
  <c r="AJ2194" i="1"/>
  <c r="AK2194" i="1"/>
  <c r="C2195" i="1"/>
  <c r="H2195" i="1"/>
  <c r="I2195" i="1"/>
  <c r="J2195" i="1"/>
  <c r="K2195" i="1"/>
  <c r="M2195" i="1"/>
  <c r="P2195" i="1"/>
  <c r="R2195" i="1"/>
  <c r="S2195" i="1"/>
  <c r="T2195" i="1"/>
  <c r="U2195" i="1"/>
  <c r="X2195" i="1"/>
  <c r="Y2195" i="1"/>
  <c r="Z2195" i="1"/>
  <c r="AA2195" i="1"/>
  <c r="AB2195" i="1"/>
  <c r="AC2195" i="1"/>
  <c r="AD2195" i="1"/>
  <c r="AE2195" i="1"/>
  <c r="AF2195" i="1"/>
  <c r="AG2195" i="1"/>
  <c r="AH2195" i="1"/>
  <c r="AI2195" i="1"/>
  <c r="AJ2195" i="1"/>
  <c r="AK2195" i="1"/>
  <c r="C2196" i="1"/>
  <c r="H2196" i="1"/>
  <c r="I2196" i="1"/>
  <c r="J2196" i="1"/>
  <c r="K2196" i="1"/>
  <c r="M2196" i="1"/>
  <c r="P2196" i="1"/>
  <c r="R2196" i="1"/>
  <c r="S2196" i="1"/>
  <c r="T2196" i="1"/>
  <c r="U2196" i="1"/>
  <c r="X2196" i="1"/>
  <c r="Y2196" i="1"/>
  <c r="Z2196" i="1"/>
  <c r="AA2196" i="1"/>
  <c r="AB2196" i="1"/>
  <c r="AC2196" i="1"/>
  <c r="AD2196" i="1"/>
  <c r="AE2196" i="1"/>
  <c r="AF2196" i="1"/>
  <c r="AG2196" i="1"/>
  <c r="AH2196" i="1"/>
  <c r="AI2196" i="1"/>
  <c r="AJ2196" i="1"/>
  <c r="AK2196" i="1"/>
  <c r="C2197" i="1"/>
  <c r="H2197" i="1"/>
  <c r="I2197" i="1"/>
  <c r="J2197" i="1"/>
  <c r="K2197" i="1"/>
  <c r="M2197" i="1"/>
  <c r="P2197" i="1"/>
  <c r="R2197" i="1"/>
  <c r="S2197" i="1"/>
  <c r="T2197" i="1"/>
  <c r="U2197" i="1"/>
  <c r="X2197" i="1"/>
  <c r="Y2197" i="1"/>
  <c r="Z2197" i="1"/>
  <c r="AA2197" i="1"/>
  <c r="AB2197" i="1"/>
  <c r="AC2197" i="1"/>
  <c r="AD2197" i="1"/>
  <c r="AE2197" i="1"/>
  <c r="AF2197" i="1"/>
  <c r="AG2197" i="1"/>
  <c r="AH2197" i="1"/>
  <c r="AI2197" i="1"/>
  <c r="AJ2197" i="1"/>
  <c r="AK2197" i="1"/>
  <c r="C2198" i="1"/>
  <c r="H2198" i="1"/>
  <c r="I2198" i="1"/>
  <c r="J2198" i="1"/>
  <c r="K2198" i="1"/>
  <c r="M2198" i="1"/>
  <c r="P2198" i="1"/>
  <c r="R2198" i="1"/>
  <c r="S2198" i="1"/>
  <c r="T2198" i="1"/>
  <c r="U2198" i="1"/>
  <c r="X2198" i="1"/>
  <c r="Y2198" i="1"/>
  <c r="Z2198" i="1"/>
  <c r="AA2198" i="1"/>
  <c r="AB2198" i="1"/>
  <c r="AC2198" i="1"/>
  <c r="AD2198" i="1"/>
  <c r="AE2198" i="1"/>
  <c r="AF2198" i="1"/>
  <c r="AG2198" i="1"/>
  <c r="AH2198" i="1"/>
  <c r="AI2198" i="1"/>
  <c r="AJ2198" i="1"/>
  <c r="AK2198" i="1"/>
  <c r="C2199" i="1"/>
  <c r="H2199" i="1"/>
  <c r="I2199" i="1"/>
  <c r="J2199" i="1"/>
  <c r="K2199" i="1"/>
  <c r="M2199" i="1"/>
  <c r="P2199" i="1"/>
  <c r="R2199" i="1"/>
  <c r="S2199" i="1"/>
  <c r="T2199" i="1"/>
  <c r="U2199" i="1"/>
  <c r="X2199" i="1"/>
  <c r="Y2199" i="1"/>
  <c r="Z2199" i="1"/>
  <c r="AA2199" i="1"/>
  <c r="AB2199" i="1"/>
  <c r="AC2199" i="1"/>
  <c r="AD2199" i="1"/>
  <c r="AE2199" i="1"/>
  <c r="AF2199" i="1"/>
  <c r="AG2199" i="1"/>
  <c r="AH2199" i="1"/>
  <c r="AI2199" i="1"/>
  <c r="AJ2199" i="1"/>
  <c r="AK2199" i="1"/>
  <c r="C2200" i="1"/>
  <c r="H2200" i="1"/>
  <c r="I2200" i="1"/>
  <c r="J2200" i="1"/>
  <c r="K2200" i="1"/>
  <c r="M2200" i="1"/>
  <c r="P2200" i="1"/>
  <c r="R2200" i="1"/>
  <c r="S2200" i="1"/>
  <c r="T2200" i="1"/>
  <c r="U2200" i="1"/>
  <c r="X2200" i="1"/>
  <c r="Y2200" i="1"/>
  <c r="Z2200" i="1"/>
  <c r="AA2200" i="1"/>
  <c r="AB2200" i="1"/>
  <c r="AC2200" i="1"/>
  <c r="AD2200" i="1"/>
  <c r="AE2200" i="1"/>
  <c r="AF2200" i="1"/>
  <c r="AG2200" i="1"/>
  <c r="AH2200" i="1"/>
  <c r="AI2200" i="1"/>
  <c r="AJ2200" i="1"/>
  <c r="AK2200" i="1"/>
  <c r="C2201" i="1"/>
  <c r="H2201" i="1"/>
  <c r="I2201" i="1"/>
  <c r="J2201" i="1"/>
  <c r="K2201" i="1"/>
  <c r="M2201" i="1"/>
  <c r="P2201" i="1"/>
  <c r="R2201" i="1"/>
  <c r="S2201" i="1"/>
  <c r="T2201" i="1"/>
  <c r="U2201" i="1"/>
  <c r="X2201" i="1"/>
  <c r="Y2201" i="1"/>
  <c r="Z2201" i="1"/>
  <c r="AA2201" i="1"/>
  <c r="AB2201" i="1"/>
  <c r="AC2201" i="1"/>
  <c r="AD2201" i="1"/>
  <c r="AE2201" i="1"/>
  <c r="AF2201" i="1"/>
  <c r="AG2201" i="1"/>
  <c r="AH2201" i="1"/>
  <c r="AI2201" i="1"/>
  <c r="AJ2201" i="1"/>
  <c r="AK2201" i="1"/>
  <c r="C2182" i="1"/>
  <c r="H2182" i="1"/>
  <c r="I2182" i="1"/>
  <c r="J2182" i="1"/>
  <c r="K2182" i="1"/>
  <c r="M2182" i="1"/>
  <c r="P2182" i="1"/>
  <c r="R2182" i="1"/>
  <c r="S2182" i="1"/>
  <c r="T2182" i="1"/>
  <c r="U2182" i="1"/>
  <c r="X2182" i="1"/>
  <c r="Y2182" i="1"/>
  <c r="Z2182" i="1"/>
  <c r="AA2182" i="1"/>
  <c r="AB2182" i="1"/>
  <c r="AC2182" i="1"/>
  <c r="AD2182" i="1"/>
  <c r="AE2182" i="1"/>
  <c r="AF2182" i="1"/>
  <c r="AG2182" i="1"/>
  <c r="AH2182" i="1"/>
  <c r="AI2182" i="1"/>
  <c r="AJ2182" i="1"/>
  <c r="AK2182" i="1"/>
  <c r="C2183" i="1"/>
  <c r="H2183" i="1"/>
  <c r="I2183" i="1"/>
  <c r="J2183" i="1"/>
  <c r="K2183" i="1"/>
  <c r="M2183" i="1"/>
  <c r="P2183" i="1"/>
  <c r="R2183" i="1"/>
  <c r="S2183" i="1"/>
  <c r="T2183" i="1"/>
  <c r="U2183" i="1"/>
  <c r="X2183" i="1"/>
  <c r="Y2183" i="1"/>
  <c r="Z2183" i="1"/>
  <c r="AA2183" i="1"/>
  <c r="AB2183" i="1"/>
  <c r="AC2183" i="1"/>
  <c r="AD2183" i="1"/>
  <c r="AE2183" i="1"/>
  <c r="AF2183" i="1"/>
  <c r="AG2183" i="1"/>
  <c r="AH2183" i="1"/>
  <c r="AI2183" i="1"/>
  <c r="AJ2183" i="1"/>
  <c r="AK2183" i="1"/>
  <c r="C2184" i="1"/>
  <c r="H2184" i="1"/>
  <c r="I2184" i="1"/>
  <c r="J2184" i="1"/>
  <c r="K2184" i="1"/>
  <c r="M2184" i="1"/>
  <c r="P2184" i="1"/>
  <c r="R2184" i="1"/>
  <c r="S2184" i="1"/>
  <c r="T2184" i="1"/>
  <c r="U2184" i="1"/>
  <c r="X2184" i="1"/>
  <c r="Y2184" i="1"/>
  <c r="Z2184" i="1"/>
  <c r="AA2184" i="1"/>
  <c r="AB2184" i="1"/>
  <c r="AC2184" i="1"/>
  <c r="AD2184" i="1"/>
  <c r="AE2184" i="1"/>
  <c r="AF2184" i="1"/>
  <c r="AG2184" i="1"/>
  <c r="AH2184" i="1"/>
  <c r="AI2184" i="1"/>
  <c r="AJ2184" i="1"/>
  <c r="AK2184" i="1"/>
  <c r="C2185" i="1"/>
  <c r="H2185" i="1"/>
  <c r="I2185" i="1"/>
  <c r="J2185" i="1"/>
  <c r="K2185" i="1"/>
  <c r="M2185" i="1"/>
  <c r="P2185" i="1"/>
  <c r="R2185" i="1"/>
  <c r="S2185" i="1"/>
  <c r="T2185" i="1"/>
  <c r="U2185" i="1"/>
  <c r="X2185" i="1"/>
  <c r="Y2185" i="1"/>
  <c r="Z2185" i="1"/>
  <c r="AA2185" i="1"/>
  <c r="AB2185" i="1"/>
  <c r="AC2185" i="1"/>
  <c r="AD2185" i="1"/>
  <c r="AE2185" i="1"/>
  <c r="AF2185" i="1"/>
  <c r="AG2185" i="1"/>
  <c r="AH2185" i="1"/>
  <c r="AI2185" i="1"/>
  <c r="AJ2185" i="1"/>
  <c r="AK2185" i="1"/>
  <c r="C2186" i="1"/>
  <c r="H2186" i="1"/>
  <c r="I2186" i="1"/>
  <c r="J2186" i="1"/>
  <c r="K2186" i="1"/>
  <c r="M2186" i="1"/>
  <c r="P2186" i="1"/>
  <c r="R2186" i="1"/>
  <c r="S2186" i="1"/>
  <c r="T2186" i="1"/>
  <c r="U2186" i="1"/>
  <c r="X2186" i="1"/>
  <c r="Y2186" i="1"/>
  <c r="Z2186" i="1"/>
  <c r="AA2186" i="1"/>
  <c r="AB2186" i="1"/>
  <c r="AC2186" i="1"/>
  <c r="AD2186" i="1"/>
  <c r="AE2186" i="1"/>
  <c r="AF2186" i="1"/>
  <c r="AG2186" i="1"/>
  <c r="AH2186" i="1"/>
  <c r="AI2186" i="1"/>
  <c r="AJ2186" i="1"/>
  <c r="AK2186" i="1"/>
  <c r="C2187" i="1"/>
  <c r="H2187" i="1"/>
  <c r="I2187" i="1"/>
  <c r="J2187" i="1"/>
  <c r="K2187" i="1"/>
  <c r="M2187" i="1"/>
  <c r="P2187" i="1"/>
  <c r="R2187" i="1"/>
  <c r="S2187" i="1"/>
  <c r="T2187" i="1"/>
  <c r="U2187" i="1"/>
  <c r="X2187" i="1"/>
  <c r="Y2187" i="1"/>
  <c r="Z2187" i="1"/>
  <c r="AA2187" i="1"/>
  <c r="AB2187" i="1"/>
  <c r="AC2187" i="1"/>
  <c r="AD2187" i="1"/>
  <c r="AE2187" i="1"/>
  <c r="AF2187" i="1"/>
  <c r="AG2187" i="1"/>
  <c r="AH2187" i="1"/>
  <c r="AI2187" i="1"/>
  <c r="AJ2187" i="1"/>
  <c r="AK2187" i="1"/>
  <c r="C2188" i="1"/>
  <c r="H2188" i="1"/>
  <c r="I2188" i="1"/>
  <c r="J2188" i="1"/>
  <c r="K2188" i="1"/>
  <c r="M2188" i="1"/>
  <c r="P2188" i="1"/>
  <c r="R2188" i="1"/>
  <c r="S2188" i="1"/>
  <c r="T2188" i="1"/>
  <c r="U2188" i="1"/>
  <c r="X2188" i="1"/>
  <c r="Y2188" i="1"/>
  <c r="Z2188" i="1"/>
  <c r="AA2188" i="1"/>
  <c r="AB2188" i="1"/>
  <c r="AC2188" i="1"/>
  <c r="AD2188" i="1"/>
  <c r="AE2188" i="1"/>
  <c r="AF2188" i="1"/>
  <c r="AG2188" i="1"/>
  <c r="AH2188" i="1"/>
  <c r="AI2188" i="1"/>
  <c r="AJ2188" i="1"/>
  <c r="AK2188" i="1"/>
  <c r="C2189" i="1"/>
  <c r="H2189" i="1"/>
  <c r="I2189" i="1"/>
  <c r="J2189" i="1"/>
  <c r="K2189" i="1"/>
  <c r="M2189" i="1"/>
  <c r="P2189" i="1"/>
  <c r="R2189" i="1"/>
  <c r="S2189" i="1"/>
  <c r="T2189" i="1"/>
  <c r="U2189" i="1"/>
  <c r="X2189" i="1"/>
  <c r="Y2189" i="1"/>
  <c r="Z2189" i="1"/>
  <c r="AA2189" i="1"/>
  <c r="AB2189" i="1"/>
  <c r="AC2189" i="1"/>
  <c r="AD2189" i="1"/>
  <c r="AE2189" i="1"/>
  <c r="AF2189" i="1"/>
  <c r="AG2189" i="1"/>
  <c r="AH2189" i="1"/>
  <c r="AI2189" i="1"/>
  <c r="AJ2189" i="1"/>
  <c r="AK2189" i="1"/>
  <c r="C2190" i="1"/>
  <c r="H2190" i="1"/>
  <c r="I2190" i="1"/>
  <c r="J2190" i="1"/>
  <c r="K2190" i="1"/>
  <c r="M2190" i="1"/>
  <c r="P2190" i="1"/>
  <c r="R2190" i="1"/>
  <c r="S2190" i="1"/>
  <c r="T2190" i="1"/>
  <c r="U2190" i="1"/>
  <c r="X2190" i="1"/>
  <c r="Y2190" i="1"/>
  <c r="Z2190" i="1"/>
  <c r="AA2190" i="1"/>
  <c r="AB2190" i="1"/>
  <c r="AC2190" i="1"/>
  <c r="AD2190" i="1"/>
  <c r="AE2190" i="1"/>
  <c r="AF2190" i="1"/>
  <c r="AG2190" i="1"/>
  <c r="AH2190" i="1"/>
  <c r="AI2190" i="1"/>
  <c r="AJ2190" i="1"/>
  <c r="AK2190" i="1"/>
  <c r="C2191" i="1"/>
  <c r="H2191" i="1"/>
  <c r="I2191" i="1"/>
  <c r="J2191" i="1"/>
  <c r="K2191" i="1"/>
  <c r="M2191" i="1"/>
  <c r="P2191" i="1"/>
  <c r="R2191" i="1"/>
  <c r="S2191" i="1"/>
  <c r="T2191" i="1"/>
  <c r="U2191" i="1"/>
  <c r="X2191" i="1"/>
  <c r="Y2191" i="1"/>
  <c r="Z2191" i="1"/>
  <c r="AA2191" i="1"/>
  <c r="AB2191" i="1"/>
  <c r="AC2191" i="1"/>
  <c r="AD2191" i="1"/>
  <c r="AE2191" i="1"/>
  <c r="AF2191" i="1"/>
  <c r="AG2191" i="1"/>
  <c r="AH2191" i="1"/>
  <c r="AI2191" i="1"/>
  <c r="AJ2191" i="1"/>
  <c r="AK2191" i="1"/>
  <c r="C2172" i="1"/>
  <c r="H2172" i="1"/>
  <c r="I2172" i="1"/>
  <c r="J2172" i="1"/>
  <c r="K2172" i="1"/>
  <c r="M2172" i="1"/>
  <c r="P2172" i="1"/>
  <c r="R2172" i="1"/>
  <c r="S2172" i="1"/>
  <c r="T2172" i="1"/>
  <c r="U2172" i="1"/>
  <c r="X2172" i="1"/>
  <c r="Y2172" i="1"/>
  <c r="Z2172" i="1"/>
  <c r="AA2172" i="1"/>
  <c r="AB2172" i="1"/>
  <c r="AC2172" i="1"/>
  <c r="AD2172" i="1"/>
  <c r="AE2172" i="1"/>
  <c r="AF2172" i="1"/>
  <c r="AG2172" i="1"/>
  <c r="AH2172" i="1"/>
  <c r="AI2172" i="1"/>
  <c r="AJ2172" i="1"/>
  <c r="AK2172" i="1"/>
  <c r="C2173" i="1"/>
  <c r="H2173" i="1"/>
  <c r="I2173" i="1"/>
  <c r="J2173" i="1"/>
  <c r="K2173" i="1"/>
  <c r="M2173" i="1"/>
  <c r="P2173" i="1"/>
  <c r="R2173" i="1"/>
  <c r="S2173" i="1"/>
  <c r="T2173" i="1"/>
  <c r="U2173" i="1"/>
  <c r="X2173" i="1"/>
  <c r="Y2173" i="1"/>
  <c r="Z2173" i="1"/>
  <c r="AA2173" i="1"/>
  <c r="AB2173" i="1"/>
  <c r="AC2173" i="1"/>
  <c r="AD2173" i="1"/>
  <c r="AE2173" i="1"/>
  <c r="AF2173" i="1"/>
  <c r="AG2173" i="1"/>
  <c r="AH2173" i="1"/>
  <c r="AI2173" i="1"/>
  <c r="AJ2173" i="1"/>
  <c r="AK2173" i="1"/>
  <c r="C2174" i="1"/>
  <c r="H2174" i="1"/>
  <c r="I2174" i="1"/>
  <c r="J2174" i="1"/>
  <c r="K2174" i="1"/>
  <c r="M2174" i="1"/>
  <c r="P2174" i="1"/>
  <c r="R2174" i="1"/>
  <c r="S2174" i="1"/>
  <c r="T2174" i="1"/>
  <c r="U2174" i="1"/>
  <c r="X2174" i="1"/>
  <c r="Y2174" i="1"/>
  <c r="Z2174" i="1"/>
  <c r="AA2174" i="1"/>
  <c r="AB2174" i="1"/>
  <c r="AC2174" i="1"/>
  <c r="AD2174" i="1"/>
  <c r="AE2174" i="1"/>
  <c r="AF2174" i="1"/>
  <c r="AG2174" i="1"/>
  <c r="AH2174" i="1"/>
  <c r="AI2174" i="1"/>
  <c r="AJ2174" i="1"/>
  <c r="AK2174" i="1"/>
  <c r="C2175" i="1"/>
  <c r="H2175" i="1"/>
  <c r="I2175" i="1"/>
  <c r="J2175" i="1"/>
  <c r="K2175" i="1"/>
  <c r="M2175" i="1"/>
  <c r="P2175" i="1"/>
  <c r="R2175" i="1"/>
  <c r="S2175" i="1"/>
  <c r="T2175" i="1"/>
  <c r="U2175" i="1"/>
  <c r="X2175" i="1"/>
  <c r="Y2175" i="1"/>
  <c r="Z2175" i="1"/>
  <c r="AA2175" i="1"/>
  <c r="AB2175" i="1"/>
  <c r="AC2175" i="1"/>
  <c r="AD2175" i="1"/>
  <c r="AE2175" i="1"/>
  <c r="AF2175" i="1"/>
  <c r="AG2175" i="1"/>
  <c r="AH2175" i="1"/>
  <c r="AI2175" i="1"/>
  <c r="AJ2175" i="1"/>
  <c r="AK2175" i="1"/>
  <c r="C2176" i="1"/>
  <c r="H2176" i="1"/>
  <c r="I2176" i="1"/>
  <c r="J2176" i="1"/>
  <c r="K2176" i="1"/>
  <c r="M2176" i="1"/>
  <c r="P2176" i="1"/>
  <c r="R2176" i="1"/>
  <c r="S2176" i="1"/>
  <c r="T2176" i="1"/>
  <c r="U2176" i="1"/>
  <c r="X2176" i="1"/>
  <c r="Y2176" i="1"/>
  <c r="Z2176" i="1"/>
  <c r="AA2176" i="1"/>
  <c r="AB2176" i="1"/>
  <c r="AC2176" i="1"/>
  <c r="AD2176" i="1"/>
  <c r="AE2176" i="1"/>
  <c r="AF2176" i="1"/>
  <c r="AG2176" i="1"/>
  <c r="AH2176" i="1"/>
  <c r="AI2176" i="1"/>
  <c r="AJ2176" i="1"/>
  <c r="AK2176" i="1"/>
  <c r="C2177" i="1"/>
  <c r="H2177" i="1"/>
  <c r="I2177" i="1"/>
  <c r="J2177" i="1"/>
  <c r="K2177" i="1"/>
  <c r="M2177" i="1"/>
  <c r="P2177" i="1"/>
  <c r="R2177" i="1"/>
  <c r="S2177" i="1"/>
  <c r="T2177" i="1"/>
  <c r="U2177" i="1"/>
  <c r="X2177" i="1"/>
  <c r="Y2177" i="1"/>
  <c r="Z2177" i="1"/>
  <c r="AA2177" i="1"/>
  <c r="AB2177" i="1"/>
  <c r="AC2177" i="1"/>
  <c r="AD2177" i="1"/>
  <c r="AE2177" i="1"/>
  <c r="AF2177" i="1"/>
  <c r="AG2177" i="1"/>
  <c r="AH2177" i="1"/>
  <c r="AI2177" i="1"/>
  <c r="AJ2177" i="1"/>
  <c r="AK2177" i="1"/>
  <c r="C2178" i="1"/>
  <c r="H2178" i="1"/>
  <c r="I2178" i="1"/>
  <c r="J2178" i="1"/>
  <c r="K2178" i="1"/>
  <c r="M2178" i="1"/>
  <c r="P2178" i="1"/>
  <c r="R2178" i="1"/>
  <c r="S2178" i="1"/>
  <c r="T2178" i="1"/>
  <c r="U2178" i="1"/>
  <c r="X2178" i="1"/>
  <c r="Y2178" i="1"/>
  <c r="Z2178" i="1"/>
  <c r="AA2178" i="1"/>
  <c r="AB2178" i="1"/>
  <c r="AC2178" i="1"/>
  <c r="AD2178" i="1"/>
  <c r="AE2178" i="1"/>
  <c r="AF2178" i="1"/>
  <c r="AG2178" i="1"/>
  <c r="AH2178" i="1"/>
  <c r="AI2178" i="1"/>
  <c r="AJ2178" i="1"/>
  <c r="AK2178" i="1"/>
  <c r="C2179" i="1"/>
  <c r="H2179" i="1"/>
  <c r="I2179" i="1"/>
  <c r="J2179" i="1"/>
  <c r="K2179" i="1"/>
  <c r="M2179" i="1"/>
  <c r="P2179" i="1"/>
  <c r="R2179" i="1"/>
  <c r="S2179" i="1"/>
  <c r="T2179" i="1"/>
  <c r="U2179" i="1"/>
  <c r="X2179" i="1"/>
  <c r="Y2179" i="1"/>
  <c r="Z2179" i="1"/>
  <c r="AA2179" i="1"/>
  <c r="AB2179" i="1"/>
  <c r="AC2179" i="1"/>
  <c r="AD2179" i="1"/>
  <c r="AE2179" i="1"/>
  <c r="AF2179" i="1"/>
  <c r="AG2179" i="1"/>
  <c r="AH2179" i="1"/>
  <c r="AI2179" i="1"/>
  <c r="AJ2179" i="1"/>
  <c r="AK2179" i="1"/>
  <c r="C2180" i="1"/>
  <c r="H2180" i="1"/>
  <c r="I2180" i="1"/>
  <c r="J2180" i="1"/>
  <c r="K2180" i="1"/>
  <c r="M2180" i="1"/>
  <c r="P2180" i="1"/>
  <c r="R2180" i="1"/>
  <c r="S2180" i="1"/>
  <c r="T2180" i="1"/>
  <c r="U2180" i="1"/>
  <c r="X2180" i="1"/>
  <c r="Y2180" i="1"/>
  <c r="Z2180" i="1"/>
  <c r="AA2180" i="1"/>
  <c r="AB2180" i="1"/>
  <c r="AC2180" i="1"/>
  <c r="AD2180" i="1"/>
  <c r="AE2180" i="1"/>
  <c r="AF2180" i="1"/>
  <c r="AG2180" i="1"/>
  <c r="AH2180" i="1"/>
  <c r="AI2180" i="1"/>
  <c r="AJ2180" i="1"/>
  <c r="AK2180" i="1"/>
  <c r="C2181" i="1"/>
  <c r="H2181" i="1"/>
  <c r="I2181" i="1"/>
  <c r="J2181" i="1"/>
  <c r="K2181" i="1"/>
  <c r="M2181" i="1"/>
  <c r="P2181" i="1"/>
  <c r="R2181" i="1"/>
  <c r="S2181" i="1"/>
  <c r="T2181" i="1"/>
  <c r="U2181" i="1"/>
  <c r="X2181" i="1"/>
  <c r="Y2181" i="1"/>
  <c r="Z2181" i="1"/>
  <c r="AA2181" i="1"/>
  <c r="AB2181" i="1"/>
  <c r="AC2181" i="1"/>
  <c r="AD2181" i="1"/>
  <c r="AE2181" i="1"/>
  <c r="AF2181" i="1"/>
  <c r="AG2181" i="1"/>
  <c r="AH2181" i="1"/>
  <c r="AI2181" i="1"/>
  <c r="AJ2181" i="1"/>
  <c r="AK2181" i="1"/>
  <c r="C2162" i="1"/>
  <c r="H2162" i="1"/>
  <c r="I2162" i="1"/>
  <c r="J2162" i="1"/>
  <c r="K2162" i="1"/>
  <c r="M2162" i="1"/>
  <c r="P2162" i="1"/>
  <c r="R2162" i="1"/>
  <c r="S2162" i="1"/>
  <c r="T2162" i="1"/>
  <c r="U2162" i="1"/>
  <c r="X2162" i="1"/>
  <c r="Y2162" i="1"/>
  <c r="Z2162" i="1"/>
  <c r="AA2162" i="1"/>
  <c r="AB2162" i="1"/>
  <c r="AC2162" i="1"/>
  <c r="AD2162" i="1"/>
  <c r="AE2162" i="1"/>
  <c r="AF2162" i="1"/>
  <c r="AG2162" i="1"/>
  <c r="AH2162" i="1"/>
  <c r="AI2162" i="1"/>
  <c r="AJ2162" i="1"/>
  <c r="AK2162" i="1"/>
  <c r="C2163" i="1"/>
  <c r="H2163" i="1"/>
  <c r="I2163" i="1"/>
  <c r="J2163" i="1"/>
  <c r="K2163" i="1"/>
  <c r="M2163" i="1"/>
  <c r="P2163" i="1"/>
  <c r="R2163" i="1"/>
  <c r="S2163" i="1"/>
  <c r="T2163" i="1"/>
  <c r="U2163" i="1"/>
  <c r="X2163" i="1"/>
  <c r="Y2163" i="1"/>
  <c r="Z2163" i="1"/>
  <c r="AA2163" i="1"/>
  <c r="AB2163" i="1"/>
  <c r="AC2163" i="1"/>
  <c r="AD2163" i="1"/>
  <c r="AE2163" i="1"/>
  <c r="AF2163" i="1"/>
  <c r="AG2163" i="1"/>
  <c r="AH2163" i="1"/>
  <c r="AI2163" i="1"/>
  <c r="AJ2163" i="1"/>
  <c r="AK2163" i="1"/>
  <c r="C2164" i="1"/>
  <c r="H2164" i="1"/>
  <c r="I2164" i="1"/>
  <c r="J2164" i="1"/>
  <c r="K2164" i="1"/>
  <c r="M2164" i="1"/>
  <c r="P2164" i="1"/>
  <c r="R2164" i="1"/>
  <c r="S2164" i="1"/>
  <c r="T2164" i="1"/>
  <c r="U2164" i="1"/>
  <c r="X2164" i="1"/>
  <c r="Y2164" i="1"/>
  <c r="Z2164" i="1"/>
  <c r="AA2164" i="1"/>
  <c r="AB2164" i="1"/>
  <c r="AC2164" i="1"/>
  <c r="AD2164" i="1"/>
  <c r="AE2164" i="1"/>
  <c r="AF2164" i="1"/>
  <c r="AG2164" i="1"/>
  <c r="AH2164" i="1"/>
  <c r="AI2164" i="1"/>
  <c r="AJ2164" i="1"/>
  <c r="AK2164" i="1"/>
  <c r="C2165" i="1"/>
  <c r="H2165" i="1"/>
  <c r="I2165" i="1"/>
  <c r="J2165" i="1"/>
  <c r="K2165" i="1"/>
  <c r="M2165" i="1"/>
  <c r="P2165" i="1"/>
  <c r="R2165" i="1"/>
  <c r="S2165" i="1"/>
  <c r="T2165" i="1"/>
  <c r="U2165" i="1"/>
  <c r="X2165" i="1"/>
  <c r="Y2165" i="1"/>
  <c r="Z2165" i="1"/>
  <c r="AA2165" i="1"/>
  <c r="AB2165" i="1"/>
  <c r="AC2165" i="1"/>
  <c r="AD2165" i="1"/>
  <c r="AE2165" i="1"/>
  <c r="AF2165" i="1"/>
  <c r="AG2165" i="1"/>
  <c r="AH2165" i="1"/>
  <c r="AI2165" i="1"/>
  <c r="AJ2165" i="1"/>
  <c r="AK2165" i="1"/>
  <c r="C2166" i="1"/>
  <c r="H2166" i="1"/>
  <c r="I2166" i="1"/>
  <c r="J2166" i="1"/>
  <c r="K2166" i="1"/>
  <c r="M2166" i="1"/>
  <c r="P2166" i="1"/>
  <c r="R2166" i="1"/>
  <c r="S2166" i="1"/>
  <c r="T2166" i="1"/>
  <c r="U2166" i="1"/>
  <c r="X2166" i="1"/>
  <c r="Y2166" i="1"/>
  <c r="Z2166" i="1"/>
  <c r="AA2166" i="1"/>
  <c r="AB2166" i="1"/>
  <c r="AC2166" i="1"/>
  <c r="AD2166" i="1"/>
  <c r="AE2166" i="1"/>
  <c r="AF2166" i="1"/>
  <c r="AG2166" i="1"/>
  <c r="AH2166" i="1"/>
  <c r="AI2166" i="1"/>
  <c r="AJ2166" i="1"/>
  <c r="AK2166" i="1"/>
  <c r="C2167" i="1"/>
  <c r="H2167" i="1"/>
  <c r="I2167" i="1"/>
  <c r="J2167" i="1"/>
  <c r="K2167" i="1"/>
  <c r="M2167" i="1"/>
  <c r="P2167" i="1"/>
  <c r="R2167" i="1"/>
  <c r="S2167" i="1"/>
  <c r="T2167" i="1"/>
  <c r="U2167" i="1"/>
  <c r="X2167" i="1"/>
  <c r="Y2167" i="1"/>
  <c r="Z2167" i="1"/>
  <c r="AA2167" i="1"/>
  <c r="AB2167" i="1"/>
  <c r="AC2167" i="1"/>
  <c r="AD2167" i="1"/>
  <c r="AE2167" i="1"/>
  <c r="AF2167" i="1"/>
  <c r="AG2167" i="1"/>
  <c r="AH2167" i="1"/>
  <c r="AI2167" i="1"/>
  <c r="AJ2167" i="1"/>
  <c r="AK2167" i="1"/>
  <c r="C2168" i="1"/>
  <c r="H2168" i="1"/>
  <c r="I2168" i="1"/>
  <c r="J2168" i="1"/>
  <c r="K2168" i="1"/>
  <c r="M2168" i="1"/>
  <c r="P2168" i="1"/>
  <c r="R2168" i="1"/>
  <c r="S2168" i="1"/>
  <c r="T2168" i="1"/>
  <c r="U2168" i="1"/>
  <c r="X2168" i="1"/>
  <c r="Y2168" i="1"/>
  <c r="Z2168" i="1"/>
  <c r="AA2168" i="1"/>
  <c r="AB2168" i="1"/>
  <c r="AC2168" i="1"/>
  <c r="AD2168" i="1"/>
  <c r="AE2168" i="1"/>
  <c r="AF2168" i="1"/>
  <c r="AG2168" i="1"/>
  <c r="AH2168" i="1"/>
  <c r="AI2168" i="1"/>
  <c r="AJ2168" i="1"/>
  <c r="AK2168" i="1"/>
  <c r="C2169" i="1"/>
  <c r="H2169" i="1"/>
  <c r="I2169" i="1"/>
  <c r="J2169" i="1"/>
  <c r="K2169" i="1"/>
  <c r="M2169" i="1"/>
  <c r="P2169" i="1"/>
  <c r="R2169" i="1"/>
  <c r="S2169" i="1"/>
  <c r="T2169" i="1"/>
  <c r="U2169" i="1"/>
  <c r="X2169" i="1"/>
  <c r="Y2169" i="1"/>
  <c r="Z2169" i="1"/>
  <c r="AA2169" i="1"/>
  <c r="AB2169" i="1"/>
  <c r="AC2169" i="1"/>
  <c r="AD2169" i="1"/>
  <c r="AE2169" i="1"/>
  <c r="AF2169" i="1"/>
  <c r="AG2169" i="1"/>
  <c r="AH2169" i="1"/>
  <c r="AI2169" i="1"/>
  <c r="AJ2169" i="1"/>
  <c r="AK2169" i="1"/>
  <c r="C2170" i="1"/>
  <c r="H2170" i="1"/>
  <c r="I2170" i="1"/>
  <c r="J2170" i="1"/>
  <c r="K2170" i="1"/>
  <c r="M2170" i="1"/>
  <c r="P2170" i="1"/>
  <c r="R2170" i="1"/>
  <c r="S2170" i="1"/>
  <c r="T2170" i="1"/>
  <c r="U2170" i="1"/>
  <c r="X2170" i="1"/>
  <c r="Y2170" i="1"/>
  <c r="Z2170" i="1"/>
  <c r="AA2170" i="1"/>
  <c r="AB2170" i="1"/>
  <c r="AC2170" i="1"/>
  <c r="AD2170" i="1"/>
  <c r="AE2170" i="1"/>
  <c r="AF2170" i="1"/>
  <c r="AG2170" i="1"/>
  <c r="AH2170" i="1"/>
  <c r="AI2170" i="1"/>
  <c r="AJ2170" i="1"/>
  <c r="AK2170" i="1"/>
  <c r="C2171" i="1"/>
  <c r="H2171" i="1"/>
  <c r="I2171" i="1"/>
  <c r="J2171" i="1"/>
  <c r="K2171" i="1"/>
  <c r="M2171" i="1"/>
  <c r="P2171" i="1"/>
  <c r="R2171" i="1"/>
  <c r="S2171" i="1"/>
  <c r="T2171" i="1"/>
  <c r="U2171" i="1"/>
  <c r="X2171" i="1"/>
  <c r="Y2171" i="1"/>
  <c r="Z2171" i="1"/>
  <c r="AA2171" i="1"/>
  <c r="AB2171" i="1"/>
  <c r="AC2171" i="1"/>
  <c r="AD2171" i="1"/>
  <c r="AE2171" i="1"/>
  <c r="AF2171" i="1"/>
  <c r="AG2171" i="1"/>
  <c r="AH2171" i="1"/>
  <c r="AI2171" i="1"/>
  <c r="AJ2171" i="1"/>
  <c r="AK2171" i="1"/>
  <c r="C2152" i="1"/>
  <c r="H2152" i="1"/>
  <c r="I2152" i="1"/>
  <c r="J2152" i="1"/>
  <c r="K2152" i="1"/>
  <c r="M2152" i="1"/>
  <c r="P2152" i="1"/>
  <c r="R2152" i="1"/>
  <c r="S2152" i="1"/>
  <c r="T2152" i="1"/>
  <c r="U2152" i="1"/>
  <c r="X2152" i="1"/>
  <c r="Y2152" i="1"/>
  <c r="Z2152" i="1"/>
  <c r="AA2152" i="1"/>
  <c r="AB2152" i="1"/>
  <c r="AC2152" i="1"/>
  <c r="AD2152" i="1"/>
  <c r="AE2152" i="1"/>
  <c r="AF2152" i="1"/>
  <c r="AG2152" i="1"/>
  <c r="AH2152" i="1"/>
  <c r="AI2152" i="1"/>
  <c r="AJ2152" i="1"/>
  <c r="AK2152" i="1"/>
  <c r="C2153" i="1"/>
  <c r="H2153" i="1"/>
  <c r="I2153" i="1"/>
  <c r="J2153" i="1"/>
  <c r="K2153" i="1"/>
  <c r="M2153" i="1"/>
  <c r="P2153" i="1"/>
  <c r="R2153" i="1"/>
  <c r="S2153" i="1"/>
  <c r="T2153" i="1"/>
  <c r="U2153" i="1"/>
  <c r="X2153" i="1"/>
  <c r="Y2153" i="1"/>
  <c r="Z2153" i="1"/>
  <c r="AA2153" i="1"/>
  <c r="AB2153" i="1"/>
  <c r="AC2153" i="1"/>
  <c r="AD2153" i="1"/>
  <c r="AE2153" i="1"/>
  <c r="AF2153" i="1"/>
  <c r="AG2153" i="1"/>
  <c r="AH2153" i="1"/>
  <c r="AI2153" i="1"/>
  <c r="AJ2153" i="1"/>
  <c r="AK2153" i="1"/>
  <c r="C2154" i="1"/>
  <c r="H2154" i="1"/>
  <c r="I2154" i="1"/>
  <c r="J2154" i="1"/>
  <c r="K2154" i="1"/>
  <c r="M2154" i="1"/>
  <c r="P2154" i="1"/>
  <c r="R2154" i="1"/>
  <c r="S2154" i="1"/>
  <c r="T2154" i="1"/>
  <c r="U2154" i="1"/>
  <c r="X2154" i="1"/>
  <c r="Y2154" i="1"/>
  <c r="Z2154" i="1"/>
  <c r="AA2154" i="1"/>
  <c r="AB2154" i="1"/>
  <c r="AC2154" i="1"/>
  <c r="AD2154" i="1"/>
  <c r="AE2154" i="1"/>
  <c r="AF2154" i="1"/>
  <c r="AG2154" i="1"/>
  <c r="AH2154" i="1"/>
  <c r="AI2154" i="1"/>
  <c r="AJ2154" i="1"/>
  <c r="AK2154" i="1"/>
  <c r="C2155" i="1"/>
  <c r="H2155" i="1"/>
  <c r="I2155" i="1"/>
  <c r="J2155" i="1"/>
  <c r="K2155" i="1"/>
  <c r="M2155" i="1"/>
  <c r="P2155" i="1"/>
  <c r="R2155" i="1"/>
  <c r="S2155" i="1"/>
  <c r="T2155" i="1"/>
  <c r="U2155" i="1"/>
  <c r="X2155" i="1"/>
  <c r="Y2155" i="1"/>
  <c r="Z2155" i="1"/>
  <c r="AA2155" i="1"/>
  <c r="AB2155" i="1"/>
  <c r="AC2155" i="1"/>
  <c r="AD2155" i="1"/>
  <c r="AE2155" i="1"/>
  <c r="AF2155" i="1"/>
  <c r="AG2155" i="1"/>
  <c r="AH2155" i="1"/>
  <c r="AI2155" i="1"/>
  <c r="AJ2155" i="1"/>
  <c r="AK2155" i="1"/>
  <c r="C2156" i="1"/>
  <c r="H2156" i="1"/>
  <c r="I2156" i="1"/>
  <c r="J2156" i="1"/>
  <c r="K2156" i="1"/>
  <c r="M2156" i="1"/>
  <c r="P2156" i="1"/>
  <c r="R2156" i="1"/>
  <c r="S2156" i="1"/>
  <c r="T2156" i="1"/>
  <c r="U2156" i="1"/>
  <c r="X2156" i="1"/>
  <c r="Y2156" i="1"/>
  <c r="Z2156" i="1"/>
  <c r="AA2156" i="1"/>
  <c r="AB2156" i="1"/>
  <c r="AC2156" i="1"/>
  <c r="AD2156" i="1"/>
  <c r="AE2156" i="1"/>
  <c r="AF2156" i="1"/>
  <c r="AG2156" i="1"/>
  <c r="AH2156" i="1"/>
  <c r="AI2156" i="1"/>
  <c r="AJ2156" i="1"/>
  <c r="AK2156" i="1"/>
  <c r="C2157" i="1"/>
  <c r="H2157" i="1"/>
  <c r="I2157" i="1"/>
  <c r="J2157" i="1"/>
  <c r="K2157" i="1"/>
  <c r="M2157" i="1"/>
  <c r="P2157" i="1"/>
  <c r="R2157" i="1"/>
  <c r="S2157" i="1"/>
  <c r="T2157" i="1"/>
  <c r="U2157" i="1"/>
  <c r="X2157" i="1"/>
  <c r="Y2157" i="1"/>
  <c r="Z2157" i="1"/>
  <c r="AA2157" i="1"/>
  <c r="AB2157" i="1"/>
  <c r="AC2157" i="1"/>
  <c r="AD2157" i="1"/>
  <c r="AE2157" i="1"/>
  <c r="AF2157" i="1"/>
  <c r="AG2157" i="1"/>
  <c r="AH2157" i="1"/>
  <c r="AI2157" i="1"/>
  <c r="AJ2157" i="1"/>
  <c r="AK2157" i="1"/>
  <c r="C2158" i="1"/>
  <c r="H2158" i="1"/>
  <c r="I2158" i="1"/>
  <c r="J2158" i="1"/>
  <c r="K2158" i="1"/>
  <c r="M2158" i="1"/>
  <c r="P2158" i="1"/>
  <c r="R2158" i="1"/>
  <c r="S2158" i="1"/>
  <c r="T2158" i="1"/>
  <c r="U2158" i="1"/>
  <c r="X2158" i="1"/>
  <c r="Y2158" i="1"/>
  <c r="Z2158" i="1"/>
  <c r="AA2158" i="1"/>
  <c r="AB2158" i="1"/>
  <c r="AC2158" i="1"/>
  <c r="AD2158" i="1"/>
  <c r="AE2158" i="1"/>
  <c r="AF2158" i="1"/>
  <c r="AG2158" i="1"/>
  <c r="AH2158" i="1"/>
  <c r="AI2158" i="1"/>
  <c r="AJ2158" i="1"/>
  <c r="AK2158" i="1"/>
  <c r="C2159" i="1"/>
  <c r="H2159" i="1"/>
  <c r="I2159" i="1"/>
  <c r="J2159" i="1"/>
  <c r="K2159" i="1"/>
  <c r="M2159" i="1"/>
  <c r="P2159" i="1"/>
  <c r="R2159" i="1"/>
  <c r="S2159" i="1"/>
  <c r="T2159" i="1"/>
  <c r="U2159" i="1"/>
  <c r="X2159" i="1"/>
  <c r="Y2159" i="1"/>
  <c r="Z2159" i="1"/>
  <c r="AA2159" i="1"/>
  <c r="AB2159" i="1"/>
  <c r="AC2159" i="1"/>
  <c r="AD2159" i="1"/>
  <c r="AE2159" i="1"/>
  <c r="AF2159" i="1"/>
  <c r="AG2159" i="1"/>
  <c r="AH2159" i="1"/>
  <c r="AI2159" i="1"/>
  <c r="AJ2159" i="1"/>
  <c r="AK2159" i="1"/>
  <c r="C2160" i="1"/>
  <c r="H2160" i="1"/>
  <c r="I2160" i="1"/>
  <c r="J2160" i="1"/>
  <c r="K2160" i="1"/>
  <c r="M2160" i="1"/>
  <c r="P2160" i="1"/>
  <c r="R2160" i="1"/>
  <c r="S2160" i="1"/>
  <c r="T2160" i="1"/>
  <c r="U2160" i="1"/>
  <c r="X2160" i="1"/>
  <c r="Y2160" i="1"/>
  <c r="Z2160" i="1"/>
  <c r="AA2160" i="1"/>
  <c r="AB2160" i="1"/>
  <c r="AC2160" i="1"/>
  <c r="AD2160" i="1"/>
  <c r="AE2160" i="1"/>
  <c r="AF2160" i="1"/>
  <c r="AG2160" i="1"/>
  <c r="AH2160" i="1"/>
  <c r="AI2160" i="1"/>
  <c r="AJ2160" i="1"/>
  <c r="AK2160" i="1"/>
  <c r="C2161" i="1"/>
  <c r="H2161" i="1"/>
  <c r="I2161" i="1"/>
  <c r="J2161" i="1"/>
  <c r="K2161" i="1"/>
  <c r="M2161" i="1"/>
  <c r="P2161" i="1"/>
  <c r="R2161" i="1"/>
  <c r="S2161" i="1"/>
  <c r="T2161" i="1"/>
  <c r="U2161" i="1"/>
  <c r="X2161" i="1"/>
  <c r="Y2161" i="1"/>
  <c r="Z2161" i="1"/>
  <c r="AA2161" i="1"/>
  <c r="AB2161" i="1"/>
  <c r="AC2161" i="1"/>
  <c r="AD2161" i="1"/>
  <c r="AE2161" i="1"/>
  <c r="AF2161" i="1"/>
  <c r="AG2161" i="1"/>
  <c r="AH2161" i="1"/>
  <c r="AI2161" i="1"/>
  <c r="AJ2161" i="1"/>
  <c r="AK2161" i="1"/>
  <c r="C2142" i="1"/>
  <c r="H2142" i="1"/>
  <c r="I2142" i="1"/>
  <c r="J2142" i="1"/>
  <c r="K2142" i="1"/>
  <c r="M2142" i="1"/>
  <c r="P2142" i="1"/>
  <c r="R2142" i="1"/>
  <c r="S2142" i="1"/>
  <c r="T2142" i="1"/>
  <c r="U2142" i="1"/>
  <c r="X2142" i="1"/>
  <c r="Y2142" i="1"/>
  <c r="Z2142" i="1"/>
  <c r="AA2142" i="1"/>
  <c r="AB2142" i="1"/>
  <c r="AC2142" i="1"/>
  <c r="AD2142" i="1"/>
  <c r="AE2142" i="1"/>
  <c r="AF2142" i="1"/>
  <c r="AG2142" i="1"/>
  <c r="AH2142" i="1"/>
  <c r="AI2142" i="1"/>
  <c r="AJ2142" i="1"/>
  <c r="AK2142" i="1"/>
  <c r="C2143" i="1"/>
  <c r="H2143" i="1"/>
  <c r="I2143" i="1"/>
  <c r="J2143" i="1"/>
  <c r="K2143" i="1"/>
  <c r="M2143" i="1"/>
  <c r="P2143" i="1"/>
  <c r="R2143" i="1"/>
  <c r="S2143" i="1"/>
  <c r="T2143" i="1"/>
  <c r="U2143" i="1"/>
  <c r="X2143" i="1"/>
  <c r="Y2143" i="1"/>
  <c r="Z2143" i="1"/>
  <c r="AA2143" i="1"/>
  <c r="AB2143" i="1"/>
  <c r="AC2143" i="1"/>
  <c r="AD2143" i="1"/>
  <c r="AE2143" i="1"/>
  <c r="AF2143" i="1"/>
  <c r="AG2143" i="1"/>
  <c r="AH2143" i="1"/>
  <c r="AI2143" i="1"/>
  <c r="AJ2143" i="1"/>
  <c r="AK2143" i="1"/>
  <c r="C2144" i="1"/>
  <c r="H2144" i="1"/>
  <c r="I2144" i="1"/>
  <c r="J2144" i="1"/>
  <c r="K2144" i="1"/>
  <c r="M2144" i="1"/>
  <c r="P2144" i="1"/>
  <c r="R2144" i="1"/>
  <c r="S2144" i="1"/>
  <c r="T2144" i="1"/>
  <c r="U2144" i="1"/>
  <c r="X2144" i="1"/>
  <c r="Y2144" i="1"/>
  <c r="Z2144" i="1"/>
  <c r="AA2144" i="1"/>
  <c r="AB2144" i="1"/>
  <c r="AC2144" i="1"/>
  <c r="AD2144" i="1"/>
  <c r="AE2144" i="1"/>
  <c r="AF2144" i="1"/>
  <c r="AG2144" i="1"/>
  <c r="AH2144" i="1"/>
  <c r="AI2144" i="1"/>
  <c r="AJ2144" i="1"/>
  <c r="AK2144" i="1"/>
  <c r="C2145" i="1"/>
  <c r="H2145" i="1"/>
  <c r="I2145" i="1"/>
  <c r="J2145" i="1"/>
  <c r="K2145" i="1"/>
  <c r="M2145" i="1"/>
  <c r="P2145" i="1"/>
  <c r="R2145" i="1"/>
  <c r="S2145" i="1"/>
  <c r="T2145" i="1"/>
  <c r="U2145" i="1"/>
  <c r="X2145" i="1"/>
  <c r="Y2145" i="1"/>
  <c r="Z2145" i="1"/>
  <c r="AA2145" i="1"/>
  <c r="AB2145" i="1"/>
  <c r="AC2145" i="1"/>
  <c r="AD2145" i="1"/>
  <c r="AE2145" i="1"/>
  <c r="AF2145" i="1"/>
  <c r="AG2145" i="1"/>
  <c r="AH2145" i="1"/>
  <c r="AI2145" i="1"/>
  <c r="AJ2145" i="1"/>
  <c r="AK2145" i="1"/>
  <c r="C2146" i="1"/>
  <c r="H2146" i="1"/>
  <c r="I2146" i="1"/>
  <c r="J2146" i="1"/>
  <c r="K2146" i="1"/>
  <c r="M2146" i="1"/>
  <c r="P2146" i="1"/>
  <c r="R2146" i="1"/>
  <c r="S2146" i="1"/>
  <c r="T2146" i="1"/>
  <c r="U2146" i="1"/>
  <c r="X2146" i="1"/>
  <c r="Y2146" i="1"/>
  <c r="Z2146" i="1"/>
  <c r="AA2146" i="1"/>
  <c r="AB2146" i="1"/>
  <c r="AC2146" i="1"/>
  <c r="AD2146" i="1"/>
  <c r="AE2146" i="1"/>
  <c r="AF2146" i="1"/>
  <c r="AG2146" i="1"/>
  <c r="AH2146" i="1"/>
  <c r="AI2146" i="1"/>
  <c r="AJ2146" i="1"/>
  <c r="AK2146" i="1"/>
  <c r="C2147" i="1"/>
  <c r="H2147" i="1"/>
  <c r="I2147" i="1"/>
  <c r="J2147" i="1"/>
  <c r="K2147" i="1"/>
  <c r="M2147" i="1"/>
  <c r="P2147" i="1"/>
  <c r="R2147" i="1"/>
  <c r="S2147" i="1"/>
  <c r="T2147" i="1"/>
  <c r="U2147" i="1"/>
  <c r="X2147" i="1"/>
  <c r="Y2147" i="1"/>
  <c r="Z2147" i="1"/>
  <c r="AA2147" i="1"/>
  <c r="AB2147" i="1"/>
  <c r="AC2147" i="1"/>
  <c r="AD2147" i="1"/>
  <c r="AE2147" i="1"/>
  <c r="AF2147" i="1"/>
  <c r="AG2147" i="1"/>
  <c r="AH2147" i="1"/>
  <c r="AI2147" i="1"/>
  <c r="AJ2147" i="1"/>
  <c r="AK2147" i="1"/>
  <c r="C2148" i="1"/>
  <c r="H2148" i="1"/>
  <c r="I2148" i="1"/>
  <c r="J2148" i="1"/>
  <c r="K2148" i="1"/>
  <c r="M2148" i="1"/>
  <c r="P2148" i="1"/>
  <c r="R2148" i="1"/>
  <c r="S2148" i="1"/>
  <c r="T2148" i="1"/>
  <c r="U2148" i="1"/>
  <c r="X2148" i="1"/>
  <c r="Y2148" i="1"/>
  <c r="Z2148" i="1"/>
  <c r="AA2148" i="1"/>
  <c r="AB2148" i="1"/>
  <c r="AC2148" i="1"/>
  <c r="AD2148" i="1"/>
  <c r="AE2148" i="1"/>
  <c r="AF2148" i="1"/>
  <c r="AG2148" i="1"/>
  <c r="AH2148" i="1"/>
  <c r="AI2148" i="1"/>
  <c r="AJ2148" i="1"/>
  <c r="AK2148" i="1"/>
  <c r="C2149" i="1"/>
  <c r="H2149" i="1"/>
  <c r="I2149" i="1"/>
  <c r="J2149" i="1"/>
  <c r="K2149" i="1"/>
  <c r="M2149" i="1"/>
  <c r="P2149" i="1"/>
  <c r="R2149" i="1"/>
  <c r="S2149" i="1"/>
  <c r="T2149" i="1"/>
  <c r="U2149" i="1"/>
  <c r="X2149" i="1"/>
  <c r="Y2149" i="1"/>
  <c r="Z2149" i="1"/>
  <c r="AA2149" i="1"/>
  <c r="AB2149" i="1"/>
  <c r="AC2149" i="1"/>
  <c r="AD2149" i="1"/>
  <c r="AE2149" i="1"/>
  <c r="AF2149" i="1"/>
  <c r="AG2149" i="1"/>
  <c r="AH2149" i="1"/>
  <c r="AI2149" i="1"/>
  <c r="AJ2149" i="1"/>
  <c r="AK2149" i="1"/>
  <c r="C2150" i="1"/>
  <c r="H2150" i="1"/>
  <c r="I2150" i="1"/>
  <c r="J2150" i="1"/>
  <c r="K2150" i="1"/>
  <c r="M2150" i="1"/>
  <c r="P2150" i="1"/>
  <c r="R2150" i="1"/>
  <c r="S2150" i="1"/>
  <c r="T2150" i="1"/>
  <c r="U2150" i="1"/>
  <c r="X2150" i="1"/>
  <c r="Y2150" i="1"/>
  <c r="Z2150" i="1"/>
  <c r="AA2150" i="1"/>
  <c r="AB2150" i="1"/>
  <c r="AC2150" i="1"/>
  <c r="AD2150" i="1"/>
  <c r="AE2150" i="1"/>
  <c r="AF2150" i="1"/>
  <c r="AG2150" i="1"/>
  <c r="AH2150" i="1"/>
  <c r="AI2150" i="1"/>
  <c r="AJ2150" i="1"/>
  <c r="AK2150" i="1"/>
  <c r="C2151" i="1"/>
  <c r="H2151" i="1"/>
  <c r="I2151" i="1"/>
  <c r="J2151" i="1"/>
  <c r="K2151" i="1"/>
  <c r="M2151" i="1"/>
  <c r="P2151" i="1"/>
  <c r="R2151" i="1"/>
  <c r="S2151" i="1"/>
  <c r="T2151" i="1"/>
  <c r="U2151" i="1"/>
  <c r="X2151" i="1"/>
  <c r="Y2151" i="1"/>
  <c r="Z2151" i="1"/>
  <c r="AA2151" i="1"/>
  <c r="AB2151" i="1"/>
  <c r="AC2151" i="1"/>
  <c r="AD2151" i="1"/>
  <c r="AE2151" i="1"/>
  <c r="AF2151" i="1"/>
  <c r="AG2151" i="1"/>
  <c r="AH2151" i="1"/>
  <c r="AI2151" i="1"/>
  <c r="AJ2151" i="1"/>
  <c r="AK2151" i="1"/>
  <c r="C2132" i="1"/>
  <c r="H2132" i="1"/>
  <c r="I2132" i="1"/>
  <c r="J2132" i="1"/>
  <c r="K2132" i="1"/>
  <c r="M2132" i="1"/>
  <c r="P2132" i="1"/>
  <c r="R2132" i="1"/>
  <c r="S2132" i="1"/>
  <c r="T2132" i="1"/>
  <c r="U2132" i="1"/>
  <c r="X2132" i="1"/>
  <c r="Y2132" i="1"/>
  <c r="Z2132" i="1"/>
  <c r="AA2132" i="1"/>
  <c r="AB2132" i="1"/>
  <c r="AC2132" i="1"/>
  <c r="AD2132" i="1"/>
  <c r="AE2132" i="1"/>
  <c r="AF2132" i="1"/>
  <c r="AG2132" i="1"/>
  <c r="AH2132" i="1"/>
  <c r="AI2132" i="1"/>
  <c r="AJ2132" i="1"/>
  <c r="AK2132" i="1"/>
  <c r="C2133" i="1"/>
  <c r="H2133" i="1"/>
  <c r="I2133" i="1"/>
  <c r="J2133" i="1"/>
  <c r="K2133" i="1"/>
  <c r="M2133" i="1"/>
  <c r="P2133" i="1"/>
  <c r="R2133" i="1"/>
  <c r="S2133" i="1"/>
  <c r="T2133" i="1"/>
  <c r="U2133" i="1"/>
  <c r="X2133" i="1"/>
  <c r="Y2133" i="1"/>
  <c r="Z2133" i="1"/>
  <c r="AA2133" i="1"/>
  <c r="AB2133" i="1"/>
  <c r="AC2133" i="1"/>
  <c r="AD2133" i="1"/>
  <c r="AE2133" i="1"/>
  <c r="AF2133" i="1"/>
  <c r="AG2133" i="1"/>
  <c r="AH2133" i="1"/>
  <c r="AI2133" i="1"/>
  <c r="AJ2133" i="1"/>
  <c r="AK2133" i="1"/>
  <c r="C2134" i="1"/>
  <c r="H2134" i="1"/>
  <c r="I2134" i="1"/>
  <c r="J2134" i="1"/>
  <c r="K2134" i="1"/>
  <c r="M2134" i="1"/>
  <c r="P2134" i="1"/>
  <c r="R2134" i="1"/>
  <c r="S2134" i="1"/>
  <c r="T2134" i="1"/>
  <c r="U2134" i="1"/>
  <c r="X2134" i="1"/>
  <c r="Y2134" i="1"/>
  <c r="Z2134" i="1"/>
  <c r="AA2134" i="1"/>
  <c r="AB2134" i="1"/>
  <c r="AC2134" i="1"/>
  <c r="AD2134" i="1"/>
  <c r="AE2134" i="1"/>
  <c r="AF2134" i="1"/>
  <c r="AG2134" i="1"/>
  <c r="AH2134" i="1"/>
  <c r="AI2134" i="1"/>
  <c r="AJ2134" i="1"/>
  <c r="AK2134" i="1"/>
  <c r="C2135" i="1"/>
  <c r="H2135" i="1"/>
  <c r="I2135" i="1"/>
  <c r="J2135" i="1"/>
  <c r="K2135" i="1"/>
  <c r="M2135" i="1"/>
  <c r="P2135" i="1"/>
  <c r="R2135" i="1"/>
  <c r="S2135" i="1"/>
  <c r="T2135" i="1"/>
  <c r="U2135" i="1"/>
  <c r="X2135" i="1"/>
  <c r="Y2135" i="1"/>
  <c r="Z2135" i="1"/>
  <c r="AA2135" i="1"/>
  <c r="AB2135" i="1"/>
  <c r="AC2135" i="1"/>
  <c r="AD2135" i="1"/>
  <c r="AE2135" i="1"/>
  <c r="AF2135" i="1"/>
  <c r="AG2135" i="1"/>
  <c r="AH2135" i="1"/>
  <c r="AI2135" i="1"/>
  <c r="AJ2135" i="1"/>
  <c r="AK2135" i="1"/>
  <c r="C2136" i="1"/>
  <c r="H2136" i="1"/>
  <c r="I2136" i="1"/>
  <c r="J2136" i="1"/>
  <c r="K2136" i="1"/>
  <c r="M2136" i="1"/>
  <c r="P2136" i="1"/>
  <c r="R2136" i="1"/>
  <c r="S2136" i="1"/>
  <c r="T2136" i="1"/>
  <c r="U2136" i="1"/>
  <c r="X2136" i="1"/>
  <c r="Y2136" i="1"/>
  <c r="Z2136" i="1"/>
  <c r="AA2136" i="1"/>
  <c r="AB2136" i="1"/>
  <c r="AC2136" i="1"/>
  <c r="AD2136" i="1"/>
  <c r="AE2136" i="1"/>
  <c r="AF2136" i="1"/>
  <c r="AG2136" i="1"/>
  <c r="AH2136" i="1"/>
  <c r="AI2136" i="1"/>
  <c r="AJ2136" i="1"/>
  <c r="AK2136" i="1"/>
  <c r="C2137" i="1"/>
  <c r="H2137" i="1"/>
  <c r="I2137" i="1"/>
  <c r="J2137" i="1"/>
  <c r="K2137" i="1"/>
  <c r="M2137" i="1"/>
  <c r="P2137" i="1"/>
  <c r="R2137" i="1"/>
  <c r="S2137" i="1"/>
  <c r="T2137" i="1"/>
  <c r="U2137" i="1"/>
  <c r="X2137" i="1"/>
  <c r="Y2137" i="1"/>
  <c r="Z2137" i="1"/>
  <c r="AA2137" i="1"/>
  <c r="AB2137" i="1"/>
  <c r="AC2137" i="1"/>
  <c r="AD2137" i="1"/>
  <c r="AE2137" i="1"/>
  <c r="AF2137" i="1"/>
  <c r="AG2137" i="1"/>
  <c r="AH2137" i="1"/>
  <c r="AI2137" i="1"/>
  <c r="AJ2137" i="1"/>
  <c r="AK2137" i="1"/>
  <c r="C2138" i="1"/>
  <c r="H2138" i="1"/>
  <c r="I2138" i="1"/>
  <c r="J2138" i="1"/>
  <c r="K2138" i="1"/>
  <c r="M2138" i="1"/>
  <c r="P2138" i="1"/>
  <c r="R2138" i="1"/>
  <c r="S2138" i="1"/>
  <c r="T2138" i="1"/>
  <c r="U2138" i="1"/>
  <c r="X2138" i="1"/>
  <c r="Y2138" i="1"/>
  <c r="Z2138" i="1"/>
  <c r="AA2138" i="1"/>
  <c r="AB2138" i="1"/>
  <c r="AC2138" i="1"/>
  <c r="AD2138" i="1"/>
  <c r="AE2138" i="1"/>
  <c r="AF2138" i="1"/>
  <c r="AG2138" i="1"/>
  <c r="AH2138" i="1"/>
  <c r="AI2138" i="1"/>
  <c r="AJ2138" i="1"/>
  <c r="AK2138" i="1"/>
  <c r="C2139" i="1"/>
  <c r="H2139" i="1"/>
  <c r="I2139" i="1"/>
  <c r="J2139" i="1"/>
  <c r="K2139" i="1"/>
  <c r="M2139" i="1"/>
  <c r="P2139" i="1"/>
  <c r="R2139" i="1"/>
  <c r="S2139" i="1"/>
  <c r="T2139" i="1"/>
  <c r="U2139" i="1"/>
  <c r="X2139" i="1"/>
  <c r="Y2139" i="1"/>
  <c r="Z2139" i="1"/>
  <c r="AA2139" i="1"/>
  <c r="AB2139" i="1"/>
  <c r="AC2139" i="1"/>
  <c r="AD2139" i="1"/>
  <c r="AE2139" i="1"/>
  <c r="AF2139" i="1"/>
  <c r="AG2139" i="1"/>
  <c r="AH2139" i="1"/>
  <c r="AI2139" i="1"/>
  <c r="AJ2139" i="1"/>
  <c r="AK2139" i="1"/>
  <c r="C2140" i="1"/>
  <c r="H2140" i="1"/>
  <c r="I2140" i="1"/>
  <c r="J2140" i="1"/>
  <c r="K2140" i="1"/>
  <c r="M2140" i="1"/>
  <c r="P2140" i="1"/>
  <c r="R2140" i="1"/>
  <c r="S2140" i="1"/>
  <c r="T2140" i="1"/>
  <c r="U2140" i="1"/>
  <c r="X2140" i="1"/>
  <c r="Y2140" i="1"/>
  <c r="Z2140" i="1"/>
  <c r="AA2140" i="1"/>
  <c r="AB2140" i="1"/>
  <c r="AC2140" i="1"/>
  <c r="AD2140" i="1"/>
  <c r="AE2140" i="1"/>
  <c r="AF2140" i="1"/>
  <c r="AG2140" i="1"/>
  <c r="AH2140" i="1"/>
  <c r="AI2140" i="1"/>
  <c r="AJ2140" i="1"/>
  <c r="AK2140" i="1"/>
  <c r="C2141" i="1"/>
  <c r="H2141" i="1"/>
  <c r="I2141" i="1"/>
  <c r="J2141" i="1"/>
  <c r="K2141" i="1"/>
  <c r="M2141" i="1"/>
  <c r="P2141" i="1"/>
  <c r="R2141" i="1"/>
  <c r="S2141" i="1"/>
  <c r="T2141" i="1"/>
  <c r="U2141" i="1"/>
  <c r="X2141" i="1"/>
  <c r="Y2141" i="1"/>
  <c r="Z2141" i="1"/>
  <c r="AA2141" i="1"/>
  <c r="AB2141" i="1"/>
  <c r="AC2141" i="1"/>
  <c r="AD2141" i="1"/>
  <c r="AE2141" i="1"/>
  <c r="AF2141" i="1"/>
  <c r="AG2141" i="1"/>
  <c r="AH2141" i="1"/>
  <c r="AI2141" i="1"/>
  <c r="AJ2141" i="1"/>
  <c r="AK2141" i="1"/>
  <c r="C2122" i="1"/>
  <c r="H2122" i="1"/>
  <c r="I2122" i="1"/>
  <c r="J2122" i="1"/>
  <c r="K2122" i="1"/>
  <c r="M2122" i="1"/>
  <c r="P2122" i="1"/>
  <c r="R2122" i="1"/>
  <c r="S2122" i="1"/>
  <c r="T2122" i="1"/>
  <c r="U2122" i="1"/>
  <c r="X2122" i="1"/>
  <c r="Y2122" i="1"/>
  <c r="Z2122" i="1"/>
  <c r="AA2122" i="1"/>
  <c r="AB2122" i="1"/>
  <c r="AC2122" i="1"/>
  <c r="AD2122" i="1"/>
  <c r="AE2122" i="1"/>
  <c r="AF2122" i="1"/>
  <c r="AG2122" i="1"/>
  <c r="AH2122" i="1"/>
  <c r="AI2122" i="1"/>
  <c r="AJ2122" i="1"/>
  <c r="AK2122" i="1"/>
  <c r="C2123" i="1"/>
  <c r="H2123" i="1"/>
  <c r="I2123" i="1"/>
  <c r="J2123" i="1"/>
  <c r="K2123" i="1"/>
  <c r="M2123" i="1"/>
  <c r="P2123" i="1"/>
  <c r="R2123" i="1"/>
  <c r="S2123" i="1"/>
  <c r="T2123" i="1"/>
  <c r="U2123" i="1"/>
  <c r="X2123" i="1"/>
  <c r="Y2123" i="1"/>
  <c r="Z2123" i="1"/>
  <c r="AA2123" i="1"/>
  <c r="AB2123" i="1"/>
  <c r="AC2123" i="1"/>
  <c r="AD2123" i="1"/>
  <c r="AE2123" i="1"/>
  <c r="AF2123" i="1"/>
  <c r="AG2123" i="1"/>
  <c r="AH2123" i="1"/>
  <c r="AI2123" i="1"/>
  <c r="AJ2123" i="1"/>
  <c r="AK2123" i="1"/>
  <c r="C2124" i="1"/>
  <c r="H2124" i="1"/>
  <c r="I2124" i="1"/>
  <c r="J2124" i="1"/>
  <c r="K2124" i="1"/>
  <c r="M2124" i="1"/>
  <c r="P2124" i="1"/>
  <c r="R2124" i="1"/>
  <c r="S2124" i="1"/>
  <c r="T2124" i="1"/>
  <c r="U2124" i="1"/>
  <c r="X2124" i="1"/>
  <c r="Y2124" i="1"/>
  <c r="Z2124" i="1"/>
  <c r="AA2124" i="1"/>
  <c r="AB2124" i="1"/>
  <c r="AC2124" i="1"/>
  <c r="AD2124" i="1"/>
  <c r="AE2124" i="1"/>
  <c r="AF2124" i="1"/>
  <c r="AG2124" i="1"/>
  <c r="AH2124" i="1"/>
  <c r="AI2124" i="1"/>
  <c r="AJ2124" i="1"/>
  <c r="AK2124" i="1"/>
  <c r="C2125" i="1"/>
  <c r="H2125" i="1"/>
  <c r="I2125" i="1"/>
  <c r="J2125" i="1"/>
  <c r="K2125" i="1"/>
  <c r="M2125" i="1"/>
  <c r="P2125" i="1"/>
  <c r="R2125" i="1"/>
  <c r="S2125" i="1"/>
  <c r="T2125" i="1"/>
  <c r="U2125" i="1"/>
  <c r="X2125" i="1"/>
  <c r="Y2125" i="1"/>
  <c r="Z2125" i="1"/>
  <c r="AA2125" i="1"/>
  <c r="AB2125" i="1"/>
  <c r="AC2125" i="1"/>
  <c r="AD2125" i="1"/>
  <c r="AE2125" i="1"/>
  <c r="AF2125" i="1"/>
  <c r="AG2125" i="1"/>
  <c r="AH2125" i="1"/>
  <c r="AI2125" i="1"/>
  <c r="AJ2125" i="1"/>
  <c r="AK2125" i="1"/>
  <c r="C2126" i="1"/>
  <c r="H2126" i="1"/>
  <c r="I2126" i="1"/>
  <c r="J2126" i="1"/>
  <c r="K2126" i="1"/>
  <c r="M2126" i="1"/>
  <c r="P2126" i="1"/>
  <c r="R2126" i="1"/>
  <c r="S2126" i="1"/>
  <c r="T2126" i="1"/>
  <c r="U2126" i="1"/>
  <c r="X2126" i="1"/>
  <c r="Y2126" i="1"/>
  <c r="Z2126" i="1"/>
  <c r="AA2126" i="1"/>
  <c r="AB2126" i="1"/>
  <c r="AC2126" i="1"/>
  <c r="AD2126" i="1"/>
  <c r="AE2126" i="1"/>
  <c r="AF2126" i="1"/>
  <c r="AG2126" i="1"/>
  <c r="AH2126" i="1"/>
  <c r="AI2126" i="1"/>
  <c r="AJ2126" i="1"/>
  <c r="AK2126" i="1"/>
  <c r="C2127" i="1"/>
  <c r="H2127" i="1"/>
  <c r="I2127" i="1"/>
  <c r="J2127" i="1"/>
  <c r="K2127" i="1"/>
  <c r="M2127" i="1"/>
  <c r="P2127" i="1"/>
  <c r="R2127" i="1"/>
  <c r="S2127" i="1"/>
  <c r="T2127" i="1"/>
  <c r="U2127" i="1"/>
  <c r="X2127" i="1"/>
  <c r="Y2127" i="1"/>
  <c r="Z2127" i="1"/>
  <c r="AA2127" i="1"/>
  <c r="AB2127" i="1"/>
  <c r="AC2127" i="1"/>
  <c r="AD2127" i="1"/>
  <c r="AE2127" i="1"/>
  <c r="AF2127" i="1"/>
  <c r="AG2127" i="1"/>
  <c r="AH2127" i="1"/>
  <c r="AI2127" i="1"/>
  <c r="AJ2127" i="1"/>
  <c r="AK2127" i="1"/>
  <c r="C2128" i="1"/>
  <c r="H2128" i="1"/>
  <c r="I2128" i="1"/>
  <c r="J2128" i="1"/>
  <c r="K2128" i="1"/>
  <c r="M2128" i="1"/>
  <c r="P2128" i="1"/>
  <c r="R2128" i="1"/>
  <c r="S2128" i="1"/>
  <c r="T2128" i="1"/>
  <c r="U2128" i="1"/>
  <c r="X2128" i="1"/>
  <c r="Y2128" i="1"/>
  <c r="Z2128" i="1"/>
  <c r="AA2128" i="1"/>
  <c r="AB2128" i="1"/>
  <c r="AC2128" i="1"/>
  <c r="AD2128" i="1"/>
  <c r="AE2128" i="1"/>
  <c r="AF2128" i="1"/>
  <c r="AG2128" i="1"/>
  <c r="AH2128" i="1"/>
  <c r="AI2128" i="1"/>
  <c r="AJ2128" i="1"/>
  <c r="AK2128" i="1"/>
  <c r="C2129" i="1"/>
  <c r="H2129" i="1"/>
  <c r="I2129" i="1"/>
  <c r="J2129" i="1"/>
  <c r="K2129" i="1"/>
  <c r="M2129" i="1"/>
  <c r="P2129" i="1"/>
  <c r="R2129" i="1"/>
  <c r="S2129" i="1"/>
  <c r="T2129" i="1"/>
  <c r="U2129" i="1"/>
  <c r="X2129" i="1"/>
  <c r="Y2129" i="1"/>
  <c r="Z2129" i="1"/>
  <c r="AA2129" i="1"/>
  <c r="AB2129" i="1"/>
  <c r="AC2129" i="1"/>
  <c r="AD2129" i="1"/>
  <c r="AE2129" i="1"/>
  <c r="AF2129" i="1"/>
  <c r="AG2129" i="1"/>
  <c r="AH2129" i="1"/>
  <c r="AI2129" i="1"/>
  <c r="AJ2129" i="1"/>
  <c r="AK2129" i="1"/>
  <c r="C2130" i="1"/>
  <c r="H2130" i="1"/>
  <c r="I2130" i="1"/>
  <c r="J2130" i="1"/>
  <c r="K2130" i="1"/>
  <c r="M2130" i="1"/>
  <c r="P2130" i="1"/>
  <c r="R2130" i="1"/>
  <c r="S2130" i="1"/>
  <c r="T2130" i="1"/>
  <c r="U2130" i="1"/>
  <c r="X2130" i="1"/>
  <c r="Y2130" i="1"/>
  <c r="Z2130" i="1"/>
  <c r="AA2130" i="1"/>
  <c r="AB2130" i="1"/>
  <c r="AC2130" i="1"/>
  <c r="AD2130" i="1"/>
  <c r="AE2130" i="1"/>
  <c r="AF2130" i="1"/>
  <c r="AG2130" i="1"/>
  <c r="AH2130" i="1"/>
  <c r="AI2130" i="1"/>
  <c r="AJ2130" i="1"/>
  <c r="AK2130" i="1"/>
  <c r="C2131" i="1"/>
  <c r="H2131" i="1"/>
  <c r="I2131" i="1"/>
  <c r="J2131" i="1"/>
  <c r="K2131" i="1"/>
  <c r="M2131" i="1"/>
  <c r="P2131" i="1"/>
  <c r="R2131" i="1"/>
  <c r="S2131" i="1"/>
  <c r="T2131" i="1"/>
  <c r="U2131" i="1"/>
  <c r="X2131" i="1"/>
  <c r="Y2131" i="1"/>
  <c r="Z2131" i="1"/>
  <c r="AA2131" i="1"/>
  <c r="AB2131" i="1"/>
  <c r="AC2131" i="1"/>
  <c r="AD2131" i="1"/>
  <c r="AE2131" i="1"/>
  <c r="AF2131" i="1"/>
  <c r="AG2131" i="1"/>
  <c r="AH2131" i="1"/>
  <c r="AI2131" i="1"/>
  <c r="AJ2131" i="1"/>
  <c r="AK2131" i="1"/>
  <c r="C2112" i="1"/>
  <c r="H2112" i="1"/>
  <c r="I2112" i="1"/>
  <c r="J2112" i="1"/>
  <c r="K2112" i="1"/>
  <c r="M2112" i="1"/>
  <c r="P2112" i="1"/>
  <c r="R2112" i="1"/>
  <c r="S2112" i="1"/>
  <c r="T2112" i="1"/>
  <c r="U2112" i="1"/>
  <c r="X2112" i="1"/>
  <c r="Y2112" i="1"/>
  <c r="Z2112" i="1"/>
  <c r="AA2112" i="1"/>
  <c r="AB2112" i="1"/>
  <c r="AC2112" i="1"/>
  <c r="AD2112" i="1"/>
  <c r="AE2112" i="1"/>
  <c r="AF2112" i="1"/>
  <c r="AG2112" i="1"/>
  <c r="AH2112" i="1"/>
  <c r="AI2112" i="1"/>
  <c r="AJ2112" i="1"/>
  <c r="AK2112" i="1"/>
  <c r="C2113" i="1"/>
  <c r="H2113" i="1"/>
  <c r="I2113" i="1"/>
  <c r="J2113" i="1"/>
  <c r="K2113" i="1"/>
  <c r="M2113" i="1"/>
  <c r="P2113" i="1"/>
  <c r="R2113" i="1"/>
  <c r="S2113" i="1"/>
  <c r="T2113" i="1"/>
  <c r="U2113" i="1"/>
  <c r="X2113" i="1"/>
  <c r="Y2113" i="1"/>
  <c r="Z2113" i="1"/>
  <c r="AA2113" i="1"/>
  <c r="AB2113" i="1"/>
  <c r="AC2113" i="1"/>
  <c r="AD2113" i="1"/>
  <c r="AE2113" i="1"/>
  <c r="AF2113" i="1"/>
  <c r="AG2113" i="1"/>
  <c r="AH2113" i="1"/>
  <c r="AI2113" i="1"/>
  <c r="AJ2113" i="1"/>
  <c r="AK2113" i="1"/>
  <c r="C2114" i="1"/>
  <c r="H2114" i="1"/>
  <c r="I2114" i="1"/>
  <c r="J2114" i="1"/>
  <c r="K2114" i="1"/>
  <c r="M2114" i="1"/>
  <c r="P2114" i="1"/>
  <c r="R2114" i="1"/>
  <c r="S2114" i="1"/>
  <c r="T2114" i="1"/>
  <c r="U2114" i="1"/>
  <c r="X2114" i="1"/>
  <c r="Y2114" i="1"/>
  <c r="Z2114" i="1"/>
  <c r="AA2114" i="1"/>
  <c r="AB2114" i="1"/>
  <c r="AC2114" i="1"/>
  <c r="AD2114" i="1"/>
  <c r="AE2114" i="1"/>
  <c r="AF2114" i="1"/>
  <c r="AG2114" i="1"/>
  <c r="AH2114" i="1"/>
  <c r="AI2114" i="1"/>
  <c r="AJ2114" i="1"/>
  <c r="AK2114" i="1"/>
  <c r="C2115" i="1"/>
  <c r="H2115" i="1"/>
  <c r="I2115" i="1"/>
  <c r="J2115" i="1"/>
  <c r="K2115" i="1"/>
  <c r="M2115" i="1"/>
  <c r="P2115" i="1"/>
  <c r="R2115" i="1"/>
  <c r="S2115" i="1"/>
  <c r="T2115" i="1"/>
  <c r="U2115" i="1"/>
  <c r="X2115" i="1"/>
  <c r="Y2115" i="1"/>
  <c r="Z2115" i="1"/>
  <c r="AA2115" i="1"/>
  <c r="AB2115" i="1"/>
  <c r="AC2115" i="1"/>
  <c r="AD2115" i="1"/>
  <c r="AE2115" i="1"/>
  <c r="AF2115" i="1"/>
  <c r="AG2115" i="1"/>
  <c r="AH2115" i="1"/>
  <c r="AI2115" i="1"/>
  <c r="AJ2115" i="1"/>
  <c r="AK2115" i="1"/>
  <c r="C2116" i="1"/>
  <c r="H2116" i="1"/>
  <c r="I2116" i="1"/>
  <c r="J2116" i="1"/>
  <c r="K2116" i="1"/>
  <c r="M2116" i="1"/>
  <c r="P2116" i="1"/>
  <c r="R2116" i="1"/>
  <c r="S2116" i="1"/>
  <c r="T2116" i="1"/>
  <c r="U2116" i="1"/>
  <c r="X2116" i="1"/>
  <c r="Y2116" i="1"/>
  <c r="Z2116" i="1"/>
  <c r="AA2116" i="1"/>
  <c r="AB2116" i="1"/>
  <c r="AC2116" i="1"/>
  <c r="AD2116" i="1"/>
  <c r="AE2116" i="1"/>
  <c r="AF2116" i="1"/>
  <c r="AG2116" i="1"/>
  <c r="AH2116" i="1"/>
  <c r="AI2116" i="1"/>
  <c r="AJ2116" i="1"/>
  <c r="AK2116" i="1"/>
  <c r="C2117" i="1"/>
  <c r="H2117" i="1"/>
  <c r="I2117" i="1"/>
  <c r="J2117" i="1"/>
  <c r="K2117" i="1"/>
  <c r="M2117" i="1"/>
  <c r="P2117" i="1"/>
  <c r="R2117" i="1"/>
  <c r="S2117" i="1"/>
  <c r="T2117" i="1"/>
  <c r="U2117" i="1"/>
  <c r="X2117" i="1"/>
  <c r="Y2117" i="1"/>
  <c r="Z2117" i="1"/>
  <c r="AA2117" i="1"/>
  <c r="AB2117" i="1"/>
  <c r="AC2117" i="1"/>
  <c r="AD2117" i="1"/>
  <c r="AE2117" i="1"/>
  <c r="AF2117" i="1"/>
  <c r="AG2117" i="1"/>
  <c r="AH2117" i="1"/>
  <c r="AI2117" i="1"/>
  <c r="AJ2117" i="1"/>
  <c r="AK2117" i="1"/>
  <c r="C2118" i="1"/>
  <c r="H2118" i="1"/>
  <c r="I2118" i="1"/>
  <c r="J2118" i="1"/>
  <c r="K2118" i="1"/>
  <c r="M2118" i="1"/>
  <c r="P2118" i="1"/>
  <c r="R2118" i="1"/>
  <c r="S2118" i="1"/>
  <c r="T2118" i="1"/>
  <c r="U2118" i="1"/>
  <c r="X2118" i="1"/>
  <c r="Y2118" i="1"/>
  <c r="Z2118" i="1"/>
  <c r="AA2118" i="1"/>
  <c r="AB2118" i="1"/>
  <c r="AC2118" i="1"/>
  <c r="AD2118" i="1"/>
  <c r="AE2118" i="1"/>
  <c r="AF2118" i="1"/>
  <c r="AG2118" i="1"/>
  <c r="AH2118" i="1"/>
  <c r="AI2118" i="1"/>
  <c r="AJ2118" i="1"/>
  <c r="AK2118" i="1"/>
  <c r="C2119" i="1"/>
  <c r="H2119" i="1"/>
  <c r="I2119" i="1"/>
  <c r="J2119" i="1"/>
  <c r="K2119" i="1"/>
  <c r="M2119" i="1"/>
  <c r="P2119" i="1"/>
  <c r="R2119" i="1"/>
  <c r="S2119" i="1"/>
  <c r="T2119" i="1"/>
  <c r="U2119" i="1"/>
  <c r="X2119" i="1"/>
  <c r="Y2119" i="1"/>
  <c r="Z2119" i="1"/>
  <c r="AA2119" i="1"/>
  <c r="AB2119" i="1"/>
  <c r="AC2119" i="1"/>
  <c r="AD2119" i="1"/>
  <c r="AE2119" i="1"/>
  <c r="AF2119" i="1"/>
  <c r="AG2119" i="1"/>
  <c r="AH2119" i="1"/>
  <c r="AI2119" i="1"/>
  <c r="AJ2119" i="1"/>
  <c r="AK2119" i="1"/>
  <c r="C2120" i="1"/>
  <c r="H2120" i="1"/>
  <c r="I2120" i="1"/>
  <c r="J2120" i="1"/>
  <c r="K2120" i="1"/>
  <c r="M2120" i="1"/>
  <c r="P2120" i="1"/>
  <c r="R2120" i="1"/>
  <c r="S2120" i="1"/>
  <c r="T2120" i="1"/>
  <c r="U2120" i="1"/>
  <c r="X2120" i="1"/>
  <c r="Y2120" i="1"/>
  <c r="Z2120" i="1"/>
  <c r="AA2120" i="1"/>
  <c r="AB2120" i="1"/>
  <c r="AC2120" i="1"/>
  <c r="AD2120" i="1"/>
  <c r="AE2120" i="1"/>
  <c r="AF2120" i="1"/>
  <c r="AG2120" i="1"/>
  <c r="AH2120" i="1"/>
  <c r="AI2120" i="1"/>
  <c r="AJ2120" i="1"/>
  <c r="AK2120" i="1"/>
  <c r="C2121" i="1"/>
  <c r="H2121" i="1"/>
  <c r="I2121" i="1"/>
  <c r="J2121" i="1"/>
  <c r="K2121" i="1"/>
  <c r="M2121" i="1"/>
  <c r="P2121" i="1"/>
  <c r="R2121" i="1"/>
  <c r="S2121" i="1"/>
  <c r="T2121" i="1"/>
  <c r="U2121" i="1"/>
  <c r="X2121" i="1"/>
  <c r="Y2121" i="1"/>
  <c r="Z2121" i="1"/>
  <c r="AA2121" i="1"/>
  <c r="AB2121" i="1"/>
  <c r="AC2121" i="1"/>
  <c r="AD2121" i="1"/>
  <c r="AE2121" i="1"/>
  <c r="AF2121" i="1"/>
  <c r="AG2121" i="1"/>
  <c r="AH2121" i="1"/>
  <c r="AI2121" i="1"/>
  <c r="AJ2121" i="1"/>
  <c r="AK2121" i="1"/>
  <c r="C2102" i="1"/>
  <c r="H2102" i="1"/>
  <c r="I2102" i="1"/>
  <c r="J2102" i="1"/>
  <c r="K2102" i="1"/>
  <c r="M2102" i="1"/>
  <c r="P2102" i="1"/>
  <c r="R2102" i="1"/>
  <c r="S2102" i="1"/>
  <c r="T2102" i="1"/>
  <c r="U2102" i="1"/>
  <c r="X2102" i="1"/>
  <c r="Y2102" i="1"/>
  <c r="Z2102" i="1"/>
  <c r="AA2102" i="1"/>
  <c r="AB2102" i="1"/>
  <c r="AC2102" i="1"/>
  <c r="AD2102" i="1"/>
  <c r="AE2102" i="1"/>
  <c r="AF2102" i="1"/>
  <c r="AG2102" i="1"/>
  <c r="AH2102" i="1"/>
  <c r="AI2102" i="1"/>
  <c r="AJ2102" i="1"/>
  <c r="AK2102" i="1"/>
  <c r="C2103" i="1"/>
  <c r="H2103" i="1"/>
  <c r="I2103" i="1"/>
  <c r="J2103" i="1"/>
  <c r="K2103" i="1"/>
  <c r="M2103" i="1"/>
  <c r="P2103" i="1"/>
  <c r="R2103" i="1"/>
  <c r="S2103" i="1"/>
  <c r="T2103" i="1"/>
  <c r="U2103" i="1"/>
  <c r="X2103" i="1"/>
  <c r="Y2103" i="1"/>
  <c r="Z2103" i="1"/>
  <c r="AA2103" i="1"/>
  <c r="AB2103" i="1"/>
  <c r="AC2103" i="1"/>
  <c r="AD2103" i="1"/>
  <c r="AE2103" i="1"/>
  <c r="AF2103" i="1"/>
  <c r="AG2103" i="1"/>
  <c r="AH2103" i="1"/>
  <c r="AI2103" i="1"/>
  <c r="AJ2103" i="1"/>
  <c r="AK2103" i="1"/>
  <c r="C2104" i="1"/>
  <c r="H2104" i="1"/>
  <c r="I2104" i="1"/>
  <c r="J2104" i="1"/>
  <c r="K2104" i="1"/>
  <c r="M2104" i="1"/>
  <c r="P2104" i="1"/>
  <c r="R2104" i="1"/>
  <c r="S2104" i="1"/>
  <c r="T2104" i="1"/>
  <c r="U2104" i="1"/>
  <c r="X2104" i="1"/>
  <c r="Y2104" i="1"/>
  <c r="Z2104" i="1"/>
  <c r="AA2104" i="1"/>
  <c r="AB2104" i="1"/>
  <c r="AC2104" i="1"/>
  <c r="AD2104" i="1"/>
  <c r="AE2104" i="1"/>
  <c r="AF2104" i="1"/>
  <c r="AG2104" i="1"/>
  <c r="AH2104" i="1"/>
  <c r="AI2104" i="1"/>
  <c r="AJ2104" i="1"/>
  <c r="AK2104" i="1"/>
  <c r="C2105" i="1"/>
  <c r="H2105" i="1"/>
  <c r="I2105" i="1"/>
  <c r="J2105" i="1"/>
  <c r="K2105" i="1"/>
  <c r="M2105" i="1"/>
  <c r="P2105" i="1"/>
  <c r="R2105" i="1"/>
  <c r="S2105" i="1"/>
  <c r="T2105" i="1"/>
  <c r="U2105" i="1"/>
  <c r="X2105" i="1"/>
  <c r="Y2105" i="1"/>
  <c r="Z2105" i="1"/>
  <c r="AA2105" i="1"/>
  <c r="AB2105" i="1"/>
  <c r="AC2105" i="1"/>
  <c r="AD2105" i="1"/>
  <c r="AE2105" i="1"/>
  <c r="AF2105" i="1"/>
  <c r="AG2105" i="1"/>
  <c r="AH2105" i="1"/>
  <c r="AI2105" i="1"/>
  <c r="AJ2105" i="1"/>
  <c r="AK2105" i="1"/>
  <c r="C2106" i="1"/>
  <c r="H2106" i="1"/>
  <c r="I2106" i="1"/>
  <c r="J2106" i="1"/>
  <c r="K2106" i="1"/>
  <c r="M2106" i="1"/>
  <c r="P2106" i="1"/>
  <c r="R2106" i="1"/>
  <c r="S2106" i="1"/>
  <c r="T2106" i="1"/>
  <c r="U2106" i="1"/>
  <c r="X2106" i="1"/>
  <c r="Y2106" i="1"/>
  <c r="Z2106" i="1"/>
  <c r="AA2106" i="1"/>
  <c r="AB2106" i="1"/>
  <c r="AC2106" i="1"/>
  <c r="AD2106" i="1"/>
  <c r="AE2106" i="1"/>
  <c r="AF2106" i="1"/>
  <c r="AG2106" i="1"/>
  <c r="AH2106" i="1"/>
  <c r="AI2106" i="1"/>
  <c r="AJ2106" i="1"/>
  <c r="AK2106" i="1"/>
  <c r="C2107" i="1"/>
  <c r="H2107" i="1"/>
  <c r="I2107" i="1"/>
  <c r="J2107" i="1"/>
  <c r="K2107" i="1"/>
  <c r="M2107" i="1"/>
  <c r="P2107" i="1"/>
  <c r="R2107" i="1"/>
  <c r="S2107" i="1"/>
  <c r="T2107" i="1"/>
  <c r="U2107" i="1"/>
  <c r="X2107" i="1"/>
  <c r="Y2107" i="1"/>
  <c r="Z2107" i="1"/>
  <c r="AA2107" i="1"/>
  <c r="AB2107" i="1"/>
  <c r="AC2107" i="1"/>
  <c r="AD2107" i="1"/>
  <c r="AE2107" i="1"/>
  <c r="AF2107" i="1"/>
  <c r="AG2107" i="1"/>
  <c r="AH2107" i="1"/>
  <c r="AI2107" i="1"/>
  <c r="AJ2107" i="1"/>
  <c r="AK2107" i="1"/>
  <c r="C2108" i="1"/>
  <c r="H2108" i="1"/>
  <c r="I2108" i="1"/>
  <c r="J2108" i="1"/>
  <c r="K2108" i="1"/>
  <c r="M2108" i="1"/>
  <c r="P2108" i="1"/>
  <c r="R2108" i="1"/>
  <c r="S2108" i="1"/>
  <c r="T2108" i="1"/>
  <c r="U2108" i="1"/>
  <c r="X2108" i="1"/>
  <c r="Y2108" i="1"/>
  <c r="Z2108" i="1"/>
  <c r="AA2108" i="1"/>
  <c r="AB2108" i="1"/>
  <c r="AC2108" i="1"/>
  <c r="AD2108" i="1"/>
  <c r="AE2108" i="1"/>
  <c r="AF2108" i="1"/>
  <c r="AG2108" i="1"/>
  <c r="AH2108" i="1"/>
  <c r="AI2108" i="1"/>
  <c r="AJ2108" i="1"/>
  <c r="AK2108" i="1"/>
  <c r="C2109" i="1"/>
  <c r="H2109" i="1"/>
  <c r="I2109" i="1"/>
  <c r="J2109" i="1"/>
  <c r="K2109" i="1"/>
  <c r="M2109" i="1"/>
  <c r="P2109" i="1"/>
  <c r="R2109" i="1"/>
  <c r="S2109" i="1"/>
  <c r="T2109" i="1"/>
  <c r="U2109" i="1"/>
  <c r="X2109" i="1"/>
  <c r="Y2109" i="1"/>
  <c r="Z2109" i="1"/>
  <c r="AA2109" i="1"/>
  <c r="AB2109" i="1"/>
  <c r="AC2109" i="1"/>
  <c r="AD2109" i="1"/>
  <c r="AE2109" i="1"/>
  <c r="AF2109" i="1"/>
  <c r="AG2109" i="1"/>
  <c r="AH2109" i="1"/>
  <c r="AI2109" i="1"/>
  <c r="AJ2109" i="1"/>
  <c r="AK2109" i="1"/>
  <c r="C2110" i="1"/>
  <c r="H2110" i="1"/>
  <c r="I2110" i="1"/>
  <c r="J2110" i="1"/>
  <c r="K2110" i="1"/>
  <c r="M2110" i="1"/>
  <c r="P2110" i="1"/>
  <c r="R2110" i="1"/>
  <c r="S2110" i="1"/>
  <c r="T2110" i="1"/>
  <c r="U2110" i="1"/>
  <c r="X2110" i="1"/>
  <c r="Y2110" i="1"/>
  <c r="Z2110" i="1"/>
  <c r="AA2110" i="1"/>
  <c r="AB2110" i="1"/>
  <c r="AC2110" i="1"/>
  <c r="AD2110" i="1"/>
  <c r="AE2110" i="1"/>
  <c r="AF2110" i="1"/>
  <c r="AG2110" i="1"/>
  <c r="AH2110" i="1"/>
  <c r="AI2110" i="1"/>
  <c r="AJ2110" i="1"/>
  <c r="AK2110" i="1"/>
  <c r="C2111" i="1"/>
  <c r="H2111" i="1"/>
  <c r="I2111" i="1"/>
  <c r="J2111" i="1"/>
  <c r="K2111" i="1"/>
  <c r="M2111" i="1"/>
  <c r="P2111" i="1"/>
  <c r="R2111" i="1"/>
  <c r="S2111" i="1"/>
  <c r="T2111" i="1"/>
  <c r="U2111" i="1"/>
  <c r="X2111" i="1"/>
  <c r="Y2111" i="1"/>
  <c r="Z2111" i="1"/>
  <c r="AA2111" i="1"/>
  <c r="AB2111" i="1"/>
  <c r="AC2111" i="1"/>
  <c r="AD2111" i="1"/>
  <c r="AE2111" i="1"/>
  <c r="AF2111" i="1"/>
  <c r="AG2111" i="1"/>
  <c r="AH2111" i="1"/>
  <c r="AI2111" i="1"/>
  <c r="AJ2111" i="1"/>
  <c r="AK2111" i="1"/>
  <c r="C2092" i="1"/>
  <c r="H2092" i="1"/>
  <c r="I2092" i="1"/>
  <c r="J2092" i="1"/>
  <c r="K2092" i="1"/>
  <c r="M2092" i="1"/>
  <c r="P2092" i="1"/>
  <c r="R2092" i="1"/>
  <c r="S2092" i="1"/>
  <c r="T2092" i="1"/>
  <c r="U2092" i="1"/>
  <c r="X2092" i="1"/>
  <c r="Y2092" i="1"/>
  <c r="Z2092" i="1"/>
  <c r="AA2092" i="1"/>
  <c r="AB2092" i="1"/>
  <c r="AC2092" i="1"/>
  <c r="AD2092" i="1"/>
  <c r="AE2092" i="1"/>
  <c r="AF2092" i="1"/>
  <c r="AG2092" i="1"/>
  <c r="AH2092" i="1"/>
  <c r="AI2092" i="1"/>
  <c r="AJ2092" i="1"/>
  <c r="AK2092" i="1"/>
  <c r="C2093" i="1"/>
  <c r="H2093" i="1"/>
  <c r="I2093" i="1"/>
  <c r="J2093" i="1"/>
  <c r="K2093" i="1"/>
  <c r="M2093" i="1"/>
  <c r="P2093" i="1"/>
  <c r="R2093" i="1"/>
  <c r="S2093" i="1"/>
  <c r="T2093" i="1"/>
  <c r="U2093" i="1"/>
  <c r="X2093" i="1"/>
  <c r="Y2093" i="1"/>
  <c r="Z2093" i="1"/>
  <c r="AA2093" i="1"/>
  <c r="AB2093" i="1"/>
  <c r="AC2093" i="1"/>
  <c r="AD2093" i="1"/>
  <c r="AE2093" i="1"/>
  <c r="AF2093" i="1"/>
  <c r="AG2093" i="1"/>
  <c r="AH2093" i="1"/>
  <c r="AI2093" i="1"/>
  <c r="AJ2093" i="1"/>
  <c r="AK2093" i="1"/>
  <c r="C2094" i="1"/>
  <c r="H2094" i="1"/>
  <c r="I2094" i="1"/>
  <c r="J2094" i="1"/>
  <c r="K2094" i="1"/>
  <c r="M2094" i="1"/>
  <c r="P2094" i="1"/>
  <c r="R2094" i="1"/>
  <c r="S2094" i="1"/>
  <c r="T2094" i="1"/>
  <c r="U2094" i="1"/>
  <c r="X2094" i="1"/>
  <c r="Y2094" i="1"/>
  <c r="Z2094" i="1"/>
  <c r="AA2094" i="1"/>
  <c r="AB2094" i="1"/>
  <c r="AC2094" i="1"/>
  <c r="AD2094" i="1"/>
  <c r="AE2094" i="1"/>
  <c r="AF2094" i="1"/>
  <c r="AG2094" i="1"/>
  <c r="AH2094" i="1"/>
  <c r="AI2094" i="1"/>
  <c r="AJ2094" i="1"/>
  <c r="AK2094" i="1"/>
  <c r="C2095" i="1"/>
  <c r="H2095" i="1"/>
  <c r="I2095" i="1"/>
  <c r="J2095" i="1"/>
  <c r="K2095" i="1"/>
  <c r="M2095" i="1"/>
  <c r="P2095" i="1"/>
  <c r="R2095" i="1"/>
  <c r="S2095" i="1"/>
  <c r="T2095" i="1"/>
  <c r="U2095" i="1"/>
  <c r="X2095" i="1"/>
  <c r="Y2095" i="1"/>
  <c r="Z2095" i="1"/>
  <c r="AA2095" i="1"/>
  <c r="AB2095" i="1"/>
  <c r="AC2095" i="1"/>
  <c r="AD2095" i="1"/>
  <c r="AE2095" i="1"/>
  <c r="AF2095" i="1"/>
  <c r="AG2095" i="1"/>
  <c r="AH2095" i="1"/>
  <c r="AI2095" i="1"/>
  <c r="AJ2095" i="1"/>
  <c r="AK2095" i="1"/>
  <c r="C2096" i="1"/>
  <c r="H2096" i="1"/>
  <c r="I2096" i="1"/>
  <c r="J2096" i="1"/>
  <c r="K2096" i="1"/>
  <c r="M2096" i="1"/>
  <c r="P2096" i="1"/>
  <c r="R2096" i="1"/>
  <c r="S2096" i="1"/>
  <c r="T2096" i="1"/>
  <c r="U2096" i="1"/>
  <c r="X2096" i="1"/>
  <c r="Y2096" i="1"/>
  <c r="Z2096" i="1"/>
  <c r="AA2096" i="1"/>
  <c r="AB2096" i="1"/>
  <c r="AC2096" i="1"/>
  <c r="AD2096" i="1"/>
  <c r="AE2096" i="1"/>
  <c r="AF2096" i="1"/>
  <c r="AG2096" i="1"/>
  <c r="AH2096" i="1"/>
  <c r="AI2096" i="1"/>
  <c r="AJ2096" i="1"/>
  <c r="AK2096" i="1"/>
  <c r="C2097" i="1"/>
  <c r="H2097" i="1"/>
  <c r="I2097" i="1"/>
  <c r="J2097" i="1"/>
  <c r="K2097" i="1"/>
  <c r="M2097" i="1"/>
  <c r="P2097" i="1"/>
  <c r="R2097" i="1"/>
  <c r="S2097" i="1"/>
  <c r="T2097" i="1"/>
  <c r="U2097" i="1"/>
  <c r="X2097" i="1"/>
  <c r="Y2097" i="1"/>
  <c r="Z2097" i="1"/>
  <c r="AA2097" i="1"/>
  <c r="AB2097" i="1"/>
  <c r="AC2097" i="1"/>
  <c r="AD2097" i="1"/>
  <c r="AE2097" i="1"/>
  <c r="AF2097" i="1"/>
  <c r="AG2097" i="1"/>
  <c r="AH2097" i="1"/>
  <c r="AI2097" i="1"/>
  <c r="AJ2097" i="1"/>
  <c r="AK2097" i="1"/>
  <c r="C2098" i="1"/>
  <c r="H2098" i="1"/>
  <c r="I2098" i="1"/>
  <c r="J2098" i="1"/>
  <c r="K2098" i="1"/>
  <c r="M2098" i="1"/>
  <c r="P2098" i="1"/>
  <c r="R2098" i="1"/>
  <c r="S2098" i="1"/>
  <c r="T2098" i="1"/>
  <c r="U2098" i="1"/>
  <c r="X2098" i="1"/>
  <c r="Y2098" i="1"/>
  <c r="Z2098" i="1"/>
  <c r="AA2098" i="1"/>
  <c r="AB2098" i="1"/>
  <c r="AC2098" i="1"/>
  <c r="AD2098" i="1"/>
  <c r="AE2098" i="1"/>
  <c r="AF2098" i="1"/>
  <c r="AG2098" i="1"/>
  <c r="AH2098" i="1"/>
  <c r="AI2098" i="1"/>
  <c r="AJ2098" i="1"/>
  <c r="AK2098" i="1"/>
  <c r="C2099" i="1"/>
  <c r="H2099" i="1"/>
  <c r="I2099" i="1"/>
  <c r="J2099" i="1"/>
  <c r="K2099" i="1"/>
  <c r="M2099" i="1"/>
  <c r="P2099" i="1"/>
  <c r="R2099" i="1"/>
  <c r="S2099" i="1"/>
  <c r="T2099" i="1"/>
  <c r="U2099" i="1"/>
  <c r="X2099" i="1"/>
  <c r="Y2099" i="1"/>
  <c r="Z2099" i="1"/>
  <c r="AA2099" i="1"/>
  <c r="AB2099" i="1"/>
  <c r="AC2099" i="1"/>
  <c r="AD2099" i="1"/>
  <c r="AE2099" i="1"/>
  <c r="AF2099" i="1"/>
  <c r="AG2099" i="1"/>
  <c r="AH2099" i="1"/>
  <c r="AI2099" i="1"/>
  <c r="AJ2099" i="1"/>
  <c r="AK2099" i="1"/>
  <c r="C2100" i="1"/>
  <c r="H2100" i="1"/>
  <c r="I2100" i="1"/>
  <c r="J2100" i="1"/>
  <c r="K2100" i="1"/>
  <c r="M2100" i="1"/>
  <c r="P2100" i="1"/>
  <c r="R2100" i="1"/>
  <c r="S2100" i="1"/>
  <c r="T2100" i="1"/>
  <c r="U2100" i="1"/>
  <c r="X2100" i="1"/>
  <c r="Y2100" i="1"/>
  <c r="Z2100" i="1"/>
  <c r="AA2100" i="1"/>
  <c r="AB2100" i="1"/>
  <c r="AC2100" i="1"/>
  <c r="AD2100" i="1"/>
  <c r="AE2100" i="1"/>
  <c r="AF2100" i="1"/>
  <c r="AG2100" i="1"/>
  <c r="AH2100" i="1"/>
  <c r="AI2100" i="1"/>
  <c r="AJ2100" i="1"/>
  <c r="AK2100" i="1"/>
  <c r="C2101" i="1"/>
  <c r="H2101" i="1"/>
  <c r="I2101" i="1"/>
  <c r="J2101" i="1"/>
  <c r="K2101" i="1"/>
  <c r="M2101" i="1"/>
  <c r="P2101" i="1"/>
  <c r="R2101" i="1"/>
  <c r="S2101" i="1"/>
  <c r="T2101" i="1"/>
  <c r="U2101" i="1"/>
  <c r="X2101" i="1"/>
  <c r="Y2101" i="1"/>
  <c r="Z2101" i="1"/>
  <c r="AA2101" i="1"/>
  <c r="AB2101" i="1"/>
  <c r="AC2101" i="1"/>
  <c r="AD2101" i="1"/>
  <c r="AE2101" i="1"/>
  <c r="AF2101" i="1"/>
  <c r="AG2101" i="1"/>
  <c r="AH2101" i="1"/>
  <c r="AI2101" i="1"/>
  <c r="AJ2101" i="1"/>
  <c r="AK2101" i="1"/>
  <c r="C2082" i="1"/>
  <c r="H2082" i="1"/>
  <c r="I2082" i="1"/>
  <c r="J2082" i="1"/>
  <c r="K2082" i="1"/>
  <c r="M2082" i="1"/>
  <c r="P2082" i="1"/>
  <c r="R2082" i="1"/>
  <c r="S2082" i="1"/>
  <c r="T2082" i="1"/>
  <c r="U2082" i="1"/>
  <c r="X2082" i="1"/>
  <c r="Y2082" i="1"/>
  <c r="Z2082" i="1"/>
  <c r="AA2082" i="1"/>
  <c r="AB2082" i="1"/>
  <c r="AC2082" i="1"/>
  <c r="AD2082" i="1"/>
  <c r="AE2082" i="1"/>
  <c r="AF2082" i="1"/>
  <c r="AG2082" i="1"/>
  <c r="AH2082" i="1"/>
  <c r="AI2082" i="1"/>
  <c r="AJ2082" i="1"/>
  <c r="AK2082" i="1"/>
  <c r="C2083" i="1"/>
  <c r="H2083" i="1"/>
  <c r="I2083" i="1"/>
  <c r="J2083" i="1"/>
  <c r="K2083" i="1"/>
  <c r="M2083" i="1"/>
  <c r="P2083" i="1"/>
  <c r="R2083" i="1"/>
  <c r="S2083" i="1"/>
  <c r="T2083" i="1"/>
  <c r="U2083" i="1"/>
  <c r="X2083" i="1"/>
  <c r="Y2083" i="1"/>
  <c r="Z2083" i="1"/>
  <c r="AA2083" i="1"/>
  <c r="AB2083" i="1"/>
  <c r="AC2083" i="1"/>
  <c r="AD2083" i="1"/>
  <c r="AE2083" i="1"/>
  <c r="AF2083" i="1"/>
  <c r="AG2083" i="1"/>
  <c r="AH2083" i="1"/>
  <c r="AI2083" i="1"/>
  <c r="AJ2083" i="1"/>
  <c r="AK2083" i="1"/>
  <c r="C2084" i="1"/>
  <c r="H2084" i="1"/>
  <c r="I2084" i="1"/>
  <c r="J2084" i="1"/>
  <c r="K2084" i="1"/>
  <c r="M2084" i="1"/>
  <c r="P2084" i="1"/>
  <c r="R2084" i="1"/>
  <c r="S2084" i="1"/>
  <c r="T2084" i="1"/>
  <c r="U2084" i="1"/>
  <c r="X2084" i="1"/>
  <c r="Y2084" i="1"/>
  <c r="Z2084" i="1"/>
  <c r="AA2084" i="1"/>
  <c r="AB2084" i="1"/>
  <c r="AC2084" i="1"/>
  <c r="AD2084" i="1"/>
  <c r="AE2084" i="1"/>
  <c r="AF2084" i="1"/>
  <c r="AG2084" i="1"/>
  <c r="AH2084" i="1"/>
  <c r="AI2084" i="1"/>
  <c r="AJ2084" i="1"/>
  <c r="AK2084" i="1"/>
  <c r="C2085" i="1"/>
  <c r="H2085" i="1"/>
  <c r="I2085" i="1"/>
  <c r="J2085" i="1"/>
  <c r="K2085" i="1"/>
  <c r="M2085" i="1"/>
  <c r="P2085" i="1"/>
  <c r="R2085" i="1"/>
  <c r="S2085" i="1"/>
  <c r="T2085" i="1"/>
  <c r="U2085" i="1"/>
  <c r="X2085" i="1"/>
  <c r="Y2085" i="1"/>
  <c r="Z2085" i="1"/>
  <c r="AA2085" i="1"/>
  <c r="AB2085" i="1"/>
  <c r="AC2085" i="1"/>
  <c r="AD2085" i="1"/>
  <c r="AE2085" i="1"/>
  <c r="AF2085" i="1"/>
  <c r="AG2085" i="1"/>
  <c r="AH2085" i="1"/>
  <c r="AI2085" i="1"/>
  <c r="AJ2085" i="1"/>
  <c r="AK2085" i="1"/>
  <c r="C2086" i="1"/>
  <c r="H2086" i="1"/>
  <c r="I2086" i="1"/>
  <c r="J2086" i="1"/>
  <c r="K2086" i="1"/>
  <c r="M2086" i="1"/>
  <c r="P2086" i="1"/>
  <c r="R2086" i="1"/>
  <c r="S2086" i="1"/>
  <c r="T2086" i="1"/>
  <c r="U2086" i="1"/>
  <c r="X2086" i="1"/>
  <c r="Y2086" i="1"/>
  <c r="Z2086" i="1"/>
  <c r="AA2086" i="1"/>
  <c r="AB2086" i="1"/>
  <c r="AC2086" i="1"/>
  <c r="AD2086" i="1"/>
  <c r="AE2086" i="1"/>
  <c r="AF2086" i="1"/>
  <c r="AG2086" i="1"/>
  <c r="AH2086" i="1"/>
  <c r="AI2086" i="1"/>
  <c r="AJ2086" i="1"/>
  <c r="AK2086" i="1"/>
  <c r="C2087" i="1"/>
  <c r="H2087" i="1"/>
  <c r="I2087" i="1"/>
  <c r="J2087" i="1"/>
  <c r="K2087" i="1"/>
  <c r="M2087" i="1"/>
  <c r="P2087" i="1"/>
  <c r="R2087" i="1"/>
  <c r="S2087" i="1"/>
  <c r="T2087" i="1"/>
  <c r="U2087" i="1"/>
  <c r="X2087" i="1"/>
  <c r="Y2087" i="1"/>
  <c r="Z2087" i="1"/>
  <c r="AA2087" i="1"/>
  <c r="AB2087" i="1"/>
  <c r="AC2087" i="1"/>
  <c r="AD2087" i="1"/>
  <c r="AE2087" i="1"/>
  <c r="AF2087" i="1"/>
  <c r="AG2087" i="1"/>
  <c r="AH2087" i="1"/>
  <c r="AI2087" i="1"/>
  <c r="AJ2087" i="1"/>
  <c r="AK2087" i="1"/>
  <c r="C2088" i="1"/>
  <c r="H2088" i="1"/>
  <c r="I2088" i="1"/>
  <c r="J2088" i="1"/>
  <c r="K2088" i="1"/>
  <c r="M2088" i="1"/>
  <c r="P2088" i="1"/>
  <c r="R2088" i="1"/>
  <c r="S2088" i="1"/>
  <c r="T2088" i="1"/>
  <c r="U2088" i="1"/>
  <c r="X2088" i="1"/>
  <c r="Y2088" i="1"/>
  <c r="Z2088" i="1"/>
  <c r="AA2088" i="1"/>
  <c r="AB2088" i="1"/>
  <c r="AC2088" i="1"/>
  <c r="AD2088" i="1"/>
  <c r="AE2088" i="1"/>
  <c r="AF2088" i="1"/>
  <c r="AG2088" i="1"/>
  <c r="AH2088" i="1"/>
  <c r="AI2088" i="1"/>
  <c r="AJ2088" i="1"/>
  <c r="AK2088" i="1"/>
  <c r="C2089" i="1"/>
  <c r="H2089" i="1"/>
  <c r="I2089" i="1"/>
  <c r="J2089" i="1"/>
  <c r="K2089" i="1"/>
  <c r="M2089" i="1"/>
  <c r="P2089" i="1"/>
  <c r="R2089" i="1"/>
  <c r="S2089" i="1"/>
  <c r="T2089" i="1"/>
  <c r="U2089" i="1"/>
  <c r="X2089" i="1"/>
  <c r="Y2089" i="1"/>
  <c r="Z2089" i="1"/>
  <c r="AA2089" i="1"/>
  <c r="AB2089" i="1"/>
  <c r="AC2089" i="1"/>
  <c r="AD2089" i="1"/>
  <c r="AE2089" i="1"/>
  <c r="AF2089" i="1"/>
  <c r="AG2089" i="1"/>
  <c r="AH2089" i="1"/>
  <c r="AI2089" i="1"/>
  <c r="AJ2089" i="1"/>
  <c r="AK2089" i="1"/>
  <c r="C2090" i="1"/>
  <c r="H2090" i="1"/>
  <c r="I2090" i="1"/>
  <c r="J2090" i="1"/>
  <c r="K2090" i="1"/>
  <c r="M2090" i="1"/>
  <c r="P2090" i="1"/>
  <c r="R2090" i="1"/>
  <c r="S2090" i="1"/>
  <c r="T2090" i="1"/>
  <c r="U2090" i="1"/>
  <c r="X2090" i="1"/>
  <c r="Y2090" i="1"/>
  <c r="Z2090" i="1"/>
  <c r="AA2090" i="1"/>
  <c r="AB2090" i="1"/>
  <c r="AC2090" i="1"/>
  <c r="AD2090" i="1"/>
  <c r="AE2090" i="1"/>
  <c r="AF2090" i="1"/>
  <c r="AG2090" i="1"/>
  <c r="AH2090" i="1"/>
  <c r="AI2090" i="1"/>
  <c r="AJ2090" i="1"/>
  <c r="AK2090" i="1"/>
  <c r="C2091" i="1"/>
  <c r="H2091" i="1"/>
  <c r="I2091" i="1"/>
  <c r="J2091" i="1"/>
  <c r="K2091" i="1"/>
  <c r="M2091" i="1"/>
  <c r="P2091" i="1"/>
  <c r="R2091" i="1"/>
  <c r="S2091" i="1"/>
  <c r="T2091" i="1"/>
  <c r="U2091" i="1"/>
  <c r="X2091" i="1"/>
  <c r="Y2091" i="1"/>
  <c r="Z2091" i="1"/>
  <c r="AA2091" i="1"/>
  <c r="AB2091" i="1"/>
  <c r="AC2091" i="1"/>
  <c r="AD2091" i="1"/>
  <c r="AE2091" i="1"/>
  <c r="AF2091" i="1"/>
  <c r="AG2091" i="1"/>
  <c r="AH2091" i="1"/>
  <c r="AI2091" i="1"/>
  <c r="AJ2091" i="1"/>
  <c r="AK2091" i="1"/>
  <c r="C2072" i="1"/>
  <c r="H2072" i="1"/>
  <c r="I2072" i="1"/>
  <c r="J2072" i="1"/>
  <c r="K2072" i="1"/>
  <c r="M2072" i="1"/>
  <c r="P2072" i="1"/>
  <c r="R2072" i="1"/>
  <c r="S2072" i="1"/>
  <c r="T2072" i="1"/>
  <c r="U2072" i="1"/>
  <c r="X2072" i="1"/>
  <c r="Y2072" i="1"/>
  <c r="Z2072" i="1"/>
  <c r="AA2072" i="1"/>
  <c r="AB2072" i="1"/>
  <c r="AC2072" i="1"/>
  <c r="AD2072" i="1"/>
  <c r="AE2072" i="1"/>
  <c r="AF2072" i="1"/>
  <c r="AG2072" i="1"/>
  <c r="AH2072" i="1"/>
  <c r="AI2072" i="1"/>
  <c r="AJ2072" i="1"/>
  <c r="AK2072" i="1"/>
  <c r="C2073" i="1"/>
  <c r="H2073" i="1"/>
  <c r="I2073" i="1"/>
  <c r="J2073" i="1"/>
  <c r="K2073" i="1"/>
  <c r="M2073" i="1"/>
  <c r="P2073" i="1"/>
  <c r="R2073" i="1"/>
  <c r="S2073" i="1"/>
  <c r="T2073" i="1"/>
  <c r="U2073" i="1"/>
  <c r="X2073" i="1"/>
  <c r="Y2073" i="1"/>
  <c r="Z2073" i="1"/>
  <c r="AA2073" i="1"/>
  <c r="AB2073" i="1"/>
  <c r="AC2073" i="1"/>
  <c r="AD2073" i="1"/>
  <c r="AE2073" i="1"/>
  <c r="AF2073" i="1"/>
  <c r="AG2073" i="1"/>
  <c r="AH2073" i="1"/>
  <c r="AI2073" i="1"/>
  <c r="AJ2073" i="1"/>
  <c r="AK2073" i="1"/>
  <c r="C2074" i="1"/>
  <c r="H2074" i="1"/>
  <c r="I2074" i="1"/>
  <c r="J2074" i="1"/>
  <c r="K2074" i="1"/>
  <c r="M2074" i="1"/>
  <c r="P2074" i="1"/>
  <c r="R2074" i="1"/>
  <c r="S2074" i="1"/>
  <c r="T2074" i="1"/>
  <c r="U2074" i="1"/>
  <c r="X2074" i="1"/>
  <c r="Y2074" i="1"/>
  <c r="Z2074" i="1"/>
  <c r="AA2074" i="1"/>
  <c r="AB2074" i="1"/>
  <c r="AC2074" i="1"/>
  <c r="AD2074" i="1"/>
  <c r="AE2074" i="1"/>
  <c r="AF2074" i="1"/>
  <c r="AG2074" i="1"/>
  <c r="AH2074" i="1"/>
  <c r="AI2074" i="1"/>
  <c r="AJ2074" i="1"/>
  <c r="AK2074" i="1"/>
  <c r="C2075" i="1"/>
  <c r="H2075" i="1"/>
  <c r="I2075" i="1"/>
  <c r="J2075" i="1"/>
  <c r="K2075" i="1"/>
  <c r="M2075" i="1"/>
  <c r="P2075" i="1"/>
  <c r="R2075" i="1"/>
  <c r="S2075" i="1"/>
  <c r="T2075" i="1"/>
  <c r="U2075" i="1"/>
  <c r="X2075" i="1"/>
  <c r="Y2075" i="1"/>
  <c r="Z2075" i="1"/>
  <c r="AA2075" i="1"/>
  <c r="AB2075" i="1"/>
  <c r="AC2075" i="1"/>
  <c r="AD2075" i="1"/>
  <c r="AE2075" i="1"/>
  <c r="AF2075" i="1"/>
  <c r="AG2075" i="1"/>
  <c r="AH2075" i="1"/>
  <c r="AI2075" i="1"/>
  <c r="AJ2075" i="1"/>
  <c r="AK2075" i="1"/>
  <c r="C2076" i="1"/>
  <c r="H2076" i="1"/>
  <c r="I2076" i="1"/>
  <c r="J2076" i="1"/>
  <c r="K2076" i="1"/>
  <c r="M2076" i="1"/>
  <c r="P2076" i="1"/>
  <c r="R2076" i="1"/>
  <c r="S2076" i="1"/>
  <c r="T2076" i="1"/>
  <c r="U2076" i="1"/>
  <c r="X2076" i="1"/>
  <c r="Y2076" i="1"/>
  <c r="Z2076" i="1"/>
  <c r="AA2076" i="1"/>
  <c r="AB2076" i="1"/>
  <c r="AC2076" i="1"/>
  <c r="AD2076" i="1"/>
  <c r="AE2076" i="1"/>
  <c r="AF2076" i="1"/>
  <c r="AG2076" i="1"/>
  <c r="AH2076" i="1"/>
  <c r="AI2076" i="1"/>
  <c r="AJ2076" i="1"/>
  <c r="AK2076" i="1"/>
  <c r="C2077" i="1"/>
  <c r="H2077" i="1"/>
  <c r="I2077" i="1"/>
  <c r="J2077" i="1"/>
  <c r="K2077" i="1"/>
  <c r="M2077" i="1"/>
  <c r="P2077" i="1"/>
  <c r="R2077" i="1"/>
  <c r="S2077" i="1"/>
  <c r="T2077" i="1"/>
  <c r="U2077" i="1"/>
  <c r="X2077" i="1"/>
  <c r="Y2077" i="1"/>
  <c r="Z2077" i="1"/>
  <c r="AA2077" i="1"/>
  <c r="AB2077" i="1"/>
  <c r="AC2077" i="1"/>
  <c r="AD2077" i="1"/>
  <c r="AE2077" i="1"/>
  <c r="AF2077" i="1"/>
  <c r="AG2077" i="1"/>
  <c r="AH2077" i="1"/>
  <c r="AI2077" i="1"/>
  <c r="AJ2077" i="1"/>
  <c r="AK2077" i="1"/>
  <c r="C2078" i="1"/>
  <c r="H2078" i="1"/>
  <c r="I2078" i="1"/>
  <c r="J2078" i="1"/>
  <c r="K2078" i="1"/>
  <c r="M2078" i="1"/>
  <c r="P2078" i="1"/>
  <c r="R2078" i="1"/>
  <c r="S2078" i="1"/>
  <c r="T2078" i="1"/>
  <c r="U2078" i="1"/>
  <c r="X2078" i="1"/>
  <c r="Y2078" i="1"/>
  <c r="Z2078" i="1"/>
  <c r="AA2078" i="1"/>
  <c r="AB2078" i="1"/>
  <c r="AC2078" i="1"/>
  <c r="AD2078" i="1"/>
  <c r="AE2078" i="1"/>
  <c r="AF2078" i="1"/>
  <c r="AG2078" i="1"/>
  <c r="AH2078" i="1"/>
  <c r="AI2078" i="1"/>
  <c r="AJ2078" i="1"/>
  <c r="AK2078" i="1"/>
  <c r="C2079" i="1"/>
  <c r="H2079" i="1"/>
  <c r="I2079" i="1"/>
  <c r="J2079" i="1"/>
  <c r="K2079" i="1"/>
  <c r="M2079" i="1"/>
  <c r="P2079" i="1"/>
  <c r="R2079" i="1"/>
  <c r="S2079" i="1"/>
  <c r="T2079" i="1"/>
  <c r="U2079" i="1"/>
  <c r="X2079" i="1"/>
  <c r="Y2079" i="1"/>
  <c r="Z2079" i="1"/>
  <c r="AA2079" i="1"/>
  <c r="AB2079" i="1"/>
  <c r="AC2079" i="1"/>
  <c r="AD2079" i="1"/>
  <c r="AE2079" i="1"/>
  <c r="AF2079" i="1"/>
  <c r="AG2079" i="1"/>
  <c r="AH2079" i="1"/>
  <c r="AI2079" i="1"/>
  <c r="AJ2079" i="1"/>
  <c r="AK2079" i="1"/>
  <c r="C2080" i="1"/>
  <c r="H2080" i="1"/>
  <c r="I2080" i="1"/>
  <c r="J2080" i="1"/>
  <c r="K2080" i="1"/>
  <c r="M2080" i="1"/>
  <c r="P2080" i="1"/>
  <c r="R2080" i="1"/>
  <c r="S2080" i="1"/>
  <c r="T2080" i="1"/>
  <c r="U2080" i="1"/>
  <c r="X2080" i="1"/>
  <c r="Y2080" i="1"/>
  <c r="Z2080" i="1"/>
  <c r="AA2080" i="1"/>
  <c r="AB2080" i="1"/>
  <c r="AC2080" i="1"/>
  <c r="AD2080" i="1"/>
  <c r="AE2080" i="1"/>
  <c r="AF2080" i="1"/>
  <c r="AG2080" i="1"/>
  <c r="AH2080" i="1"/>
  <c r="AI2080" i="1"/>
  <c r="AJ2080" i="1"/>
  <c r="AK2080" i="1"/>
  <c r="C2081" i="1"/>
  <c r="H2081" i="1"/>
  <c r="I2081" i="1"/>
  <c r="J2081" i="1"/>
  <c r="K2081" i="1"/>
  <c r="M2081" i="1"/>
  <c r="P2081" i="1"/>
  <c r="R2081" i="1"/>
  <c r="S2081" i="1"/>
  <c r="T2081" i="1"/>
  <c r="U2081" i="1"/>
  <c r="X2081" i="1"/>
  <c r="Y2081" i="1"/>
  <c r="Z2081" i="1"/>
  <c r="AA2081" i="1"/>
  <c r="AB2081" i="1"/>
  <c r="AC2081" i="1"/>
  <c r="AD2081" i="1"/>
  <c r="AE2081" i="1"/>
  <c r="AF2081" i="1"/>
  <c r="AG2081" i="1"/>
  <c r="AH2081" i="1"/>
  <c r="AI2081" i="1"/>
  <c r="AJ2081" i="1"/>
  <c r="AK2081" i="1"/>
  <c r="C2062" i="1"/>
  <c r="H2062" i="1"/>
  <c r="I2062" i="1"/>
  <c r="J2062" i="1"/>
  <c r="K2062" i="1"/>
  <c r="M2062" i="1"/>
  <c r="P2062" i="1"/>
  <c r="R2062" i="1"/>
  <c r="S2062" i="1"/>
  <c r="T2062" i="1"/>
  <c r="U2062" i="1"/>
  <c r="X2062" i="1"/>
  <c r="Y2062" i="1"/>
  <c r="Z2062" i="1"/>
  <c r="AA2062" i="1"/>
  <c r="AB2062" i="1"/>
  <c r="AC2062" i="1"/>
  <c r="AD2062" i="1"/>
  <c r="AE2062" i="1"/>
  <c r="AF2062" i="1"/>
  <c r="AG2062" i="1"/>
  <c r="AH2062" i="1"/>
  <c r="AI2062" i="1"/>
  <c r="AJ2062" i="1"/>
  <c r="AK2062" i="1"/>
  <c r="C2063" i="1"/>
  <c r="H2063" i="1"/>
  <c r="I2063" i="1"/>
  <c r="J2063" i="1"/>
  <c r="K2063" i="1"/>
  <c r="M2063" i="1"/>
  <c r="P2063" i="1"/>
  <c r="R2063" i="1"/>
  <c r="S2063" i="1"/>
  <c r="T2063" i="1"/>
  <c r="U2063" i="1"/>
  <c r="X2063" i="1"/>
  <c r="Y2063" i="1"/>
  <c r="Z2063" i="1"/>
  <c r="AA2063" i="1"/>
  <c r="AB2063" i="1"/>
  <c r="AC2063" i="1"/>
  <c r="AD2063" i="1"/>
  <c r="AE2063" i="1"/>
  <c r="AF2063" i="1"/>
  <c r="AG2063" i="1"/>
  <c r="AH2063" i="1"/>
  <c r="AI2063" i="1"/>
  <c r="AJ2063" i="1"/>
  <c r="AK2063" i="1"/>
  <c r="C2064" i="1"/>
  <c r="H2064" i="1"/>
  <c r="I2064" i="1"/>
  <c r="J2064" i="1"/>
  <c r="K2064" i="1"/>
  <c r="M2064" i="1"/>
  <c r="P2064" i="1"/>
  <c r="R2064" i="1"/>
  <c r="S2064" i="1"/>
  <c r="T2064" i="1"/>
  <c r="U2064" i="1"/>
  <c r="X2064" i="1"/>
  <c r="Y2064" i="1"/>
  <c r="Z2064" i="1"/>
  <c r="AA2064" i="1"/>
  <c r="AB2064" i="1"/>
  <c r="AC2064" i="1"/>
  <c r="AD2064" i="1"/>
  <c r="AE2064" i="1"/>
  <c r="AF2064" i="1"/>
  <c r="AG2064" i="1"/>
  <c r="AH2064" i="1"/>
  <c r="AI2064" i="1"/>
  <c r="AJ2064" i="1"/>
  <c r="AK2064" i="1"/>
  <c r="C2065" i="1"/>
  <c r="H2065" i="1"/>
  <c r="I2065" i="1"/>
  <c r="J2065" i="1"/>
  <c r="K2065" i="1"/>
  <c r="M2065" i="1"/>
  <c r="P2065" i="1"/>
  <c r="R2065" i="1"/>
  <c r="S2065" i="1"/>
  <c r="T2065" i="1"/>
  <c r="U2065" i="1"/>
  <c r="X2065" i="1"/>
  <c r="Y2065" i="1"/>
  <c r="Z2065" i="1"/>
  <c r="AA2065" i="1"/>
  <c r="AB2065" i="1"/>
  <c r="AC2065" i="1"/>
  <c r="AD2065" i="1"/>
  <c r="AE2065" i="1"/>
  <c r="AF2065" i="1"/>
  <c r="AG2065" i="1"/>
  <c r="AH2065" i="1"/>
  <c r="AI2065" i="1"/>
  <c r="AJ2065" i="1"/>
  <c r="AK2065" i="1"/>
  <c r="C2066" i="1"/>
  <c r="H2066" i="1"/>
  <c r="I2066" i="1"/>
  <c r="J2066" i="1"/>
  <c r="K2066" i="1"/>
  <c r="M2066" i="1"/>
  <c r="P2066" i="1"/>
  <c r="R2066" i="1"/>
  <c r="S2066" i="1"/>
  <c r="T2066" i="1"/>
  <c r="U2066" i="1"/>
  <c r="X2066" i="1"/>
  <c r="Y2066" i="1"/>
  <c r="Z2066" i="1"/>
  <c r="AA2066" i="1"/>
  <c r="AB2066" i="1"/>
  <c r="AC2066" i="1"/>
  <c r="AD2066" i="1"/>
  <c r="AE2066" i="1"/>
  <c r="AF2066" i="1"/>
  <c r="AG2066" i="1"/>
  <c r="AH2066" i="1"/>
  <c r="AI2066" i="1"/>
  <c r="AJ2066" i="1"/>
  <c r="AK2066" i="1"/>
  <c r="C2067" i="1"/>
  <c r="H2067" i="1"/>
  <c r="I2067" i="1"/>
  <c r="J2067" i="1"/>
  <c r="K2067" i="1"/>
  <c r="M2067" i="1"/>
  <c r="P2067" i="1"/>
  <c r="R2067" i="1"/>
  <c r="S2067" i="1"/>
  <c r="T2067" i="1"/>
  <c r="U2067" i="1"/>
  <c r="X2067" i="1"/>
  <c r="Y2067" i="1"/>
  <c r="Z2067" i="1"/>
  <c r="AA2067" i="1"/>
  <c r="AB2067" i="1"/>
  <c r="AC2067" i="1"/>
  <c r="AD2067" i="1"/>
  <c r="AE2067" i="1"/>
  <c r="AF2067" i="1"/>
  <c r="AG2067" i="1"/>
  <c r="AH2067" i="1"/>
  <c r="AI2067" i="1"/>
  <c r="AJ2067" i="1"/>
  <c r="AK2067" i="1"/>
  <c r="C2068" i="1"/>
  <c r="H2068" i="1"/>
  <c r="I2068" i="1"/>
  <c r="J2068" i="1"/>
  <c r="K2068" i="1"/>
  <c r="M2068" i="1"/>
  <c r="P2068" i="1"/>
  <c r="R2068" i="1"/>
  <c r="S2068" i="1"/>
  <c r="T2068" i="1"/>
  <c r="U2068" i="1"/>
  <c r="X2068" i="1"/>
  <c r="Y2068" i="1"/>
  <c r="Z2068" i="1"/>
  <c r="AA2068" i="1"/>
  <c r="AB2068" i="1"/>
  <c r="AC2068" i="1"/>
  <c r="AD2068" i="1"/>
  <c r="AE2068" i="1"/>
  <c r="AF2068" i="1"/>
  <c r="AG2068" i="1"/>
  <c r="AH2068" i="1"/>
  <c r="AI2068" i="1"/>
  <c r="AJ2068" i="1"/>
  <c r="AK2068" i="1"/>
  <c r="C2069" i="1"/>
  <c r="H2069" i="1"/>
  <c r="I2069" i="1"/>
  <c r="J2069" i="1"/>
  <c r="K2069" i="1"/>
  <c r="M2069" i="1"/>
  <c r="P2069" i="1"/>
  <c r="R2069" i="1"/>
  <c r="S2069" i="1"/>
  <c r="T2069" i="1"/>
  <c r="U2069" i="1"/>
  <c r="X2069" i="1"/>
  <c r="Y2069" i="1"/>
  <c r="Z2069" i="1"/>
  <c r="AA2069" i="1"/>
  <c r="AB2069" i="1"/>
  <c r="AC2069" i="1"/>
  <c r="AD2069" i="1"/>
  <c r="AE2069" i="1"/>
  <c r="AF2069" i="1"/>
  <c r="AG2069" i="1"/>
  <c r="AH2069" i="1"/>
  <c r="AI2069" i="1"/>
  <c r="AJ2069" i="1"/>
  <c r="AK2069" i="1"/>
  <c r="C2070" i="1"/>
  <c r="H2070" i="1"/>
  <c r="I2070" i="1"/>
  <c r="J2070" i="1"/>
  <c r="K2070" i="1"/>
  <c r="M2070" i="1"/>
  <c r="P2070" i="1"/>
  <c r="R2070" i="1"/>
  <c r="S2070" i="1"/>
  <c r="T2070" i="1"/>
  <c r="U2070" i="1"/>
  <c r="X2070" i="1"/>
  <c r="Y2070" i="1"/>
  <c r="Z2070" i="1"/>
  <c r="AA2070" i="1"/>
  <c r="AB2070" i="1"/>
  <c r="AC2070" i="1"/>
  <c r="AD2070" i="1"/>
  <c r="AE2070" i="1"/>
  <c r="AF2070" i="1"/>
  <c r="AG2070" i="1"/>
  <c r="AH2070" i="1"/>
  <c r="AI2070" i="1"/>
  <c r="AJ2070" i="1"/>
  <c r="AK2070" i="1"/>
  <c r="C2071" i="1"/>
  <c r="H2071" i="1"/>
  <c r="I2071" i="1"/>
  <c r="J2071" i="1"/>
  <c r="K2071" i="1"/>
  <c r="M2071" i="1"/>
  <c r="P2071" i="1"/>
  <c r="R2071" i="1"/>
  <c r="S2071" i="1"/>
  <c r="T2071" i="1"/>
  <c r="U2071" i="1"/>
  <c r="X2071" i="1"/>
  <c r="Y2071" i="1"/>
  <c r="Z2071" i="1"/>
  <c r="AA2071" i="1"/>
  <c r="AB2071" i="1"/>
  <c r="AC2071" i="1"/>
  <c r="AD2071" i="1"/>
  <c r="AE2071" i="1"/>
  <c r="AF2071" i="1"/>
  <c r="AG2071" i="1"/>
  <c r="AH2071" i="1"/>
  <c r="AI2071" i="1"/>
  <c r="AJ2071" i="1"/>
  <c r="AK2071" i="1"/>
  <c r="C2052" i="1"/>
  <c r="H2052" i="1"/>
  <c r="I2052" i="1"/>
  <c r="J2052" i="1"/>
  <c r="K2052" i="1"/>
  <c r="M2052" i="1"/>
  <c r="P2052" i="1"/>
  <c r="R2052" i="1"/>
  <c r="S2052" i="1"/>
  <c r="T2052" i="1"/>
  <c r="U2052" i="1"/>
  <c r="X2052" i="1"/>
  <c r="Y2052" i="1"/>
  <c r="Z2052" i="1"/>
  <c r="AA2052" i="1"/>
  <c r="AB2052" i="1"/>
  <c r="AC2052" i="1"/>
  <c r="AD2052" i="1"/>
  <c r="AE2052" i="1"/>
  <c r="AF2052" i="1"/>
  <c r="AG2052" i="1"/>
  <c r="AH2052" i="1"/>
  <c r="AI2052" i="1"/>
  <c r="AJ2052" i="1"/>
  <c r="AK2052" i="1"/>
  <c r="C2053" i="1"/>
  <c r="H2053" i="1"/>
  <c r="I2053" i="1"/>
  <c r="J2053" i="1"/>
  <c r="K2053" i="1"/>
  <c r="M2053" i="1"/>
  <c r="P2053" i="1"/>
  <c r="R2053" i="1"/>
  <c r="S2053" i="1"/>
  <c r="T2053" i="1"/>
  <c r="U2053" i="1"/>
  <c r="X2053" i="1"/>
  <c r="Y2053" i="1"/>
  <c r="Z2053" i="1"/>
  <c r="AA2053" i="1"/>
  <c r="AB2053" i="1"/>
  <c r="AC2053" i="1"/>
  <c r="AD2053" i="1"/>
  <c r="AE2053" i="1"/>
  <c r="AF2053" i="1"/>
  <c r="AG2053" i="1"/>
  <c r="AH2053" i="1"/>
  <c r="AI2053" i="1"/>
  <c r="AJ2053" i="1"/>
  <c r="AK2053" i="1"/>
  <c r="C2054" i="1"/>
  <c r="H2054" i="1"/>
  <c r="I2054" i="1"/>
  <c r="J2054" i="1"/>
  <c r="K2054" i="1"/>
  <c r="M2054" i="1"/>
  <c r="P2054" i="1"/>
  <c r="R2054" i="1"/>
  <c r="S2054" i="1"/>
  <c r="T2054" i="1"/>
  <c r="U2054" i="1"/>
  <c r="X2054" i="1"/>
  <c r="Y2054" i="1"/>
  <c r="Z2054" i="1"/>
  <c r="AA2054" i="1"/>
  <c r="AB2054" i="1"/>
  <c r="AC2054" i="1"/>
  <c r="AD2054" i="1"/>
  <c r="AE2054" i="1"/>
  <c r="AF2054" i="1"/>
  <c r="AG2054" i="1"/>
  <c r="AH2054" i="1"/>
  <c r="AI2054" i="1"/>
  <c r="AJ2054" i="1"/>
  <c r="AK2054" i="1"/>
  <c r="C2055" i="1"/>
  <c r="H2055" i="1"/>
  <c r="I2055" i="1"/>
  <c r="J2055" i="1"/>
  <c r="K2055" i="1"/>
  <c r="M2055" i="1"/>
  <c r="P2055" i="1"/>
  <c r="R2055" i="1"/>
  <c r="S2055" i="1"/>
  <c r="T2055" i="1"/>
  <c r="U2055" i="1"/>
  <c r="X2055" i="1"/>
  <c r="Y2055" i="1"/>
  <c r="Z2055" i="1"/>
  <c r="AA2055" i="1"/>
  <c r="AB2055" i="1"/>
  <c r="AC2055" i="1"/>
  <c r="AD2055" i="1"/>
  <c r="AE2055" i="1"/>
  <c r="AF2055" i="1"/>
  <c r="AG2055" i="1"/>
  <c r="AH2055" i="1"/>
  <c r="AI2055" i="1"/>
  <c r="AJ2055" i="1"/>
  <c r="AK2055" i="1"/>
  <c r="C2056" i="1"/>
  <c r="H2056" i="1"/>
  <c r="I2056" i="1"/>
  <c r="J2056" i="1"/>
  <c r="K2056" i="1"/>
  <c r="M2056" i="1"/>
  <c r="P2056" i="1"/>
  <c r="R2056" i="1"/>
  <c r="S2056" i="1"/>
  <c r="T2056" i="1"/>
  <c r="U2056" i="1"/>
  <c r="X2056" i="1"/>
  <c r="Y2056" i="1"/>
  <c r="Z2056" i="1"/>
  <c r="AA2056" i="1"/>
  <c r="AB2056" i="1"/>
  <c r="AC2056" i="1"/>
  <c r="AD2056" i="1"/>
  <c r="AE2056" i="1"/>
  <c r="AF2056" i="1"/>
  <c r="AG2056" i="1"/>
  <c r="AH2056" i="1"/>
  <c r="AI2056" i="1"/>
  <c r="AJ2056" i="1"/>
  <c r="AK2056" i="1"/>
  <c r="C2057" i="1"/>
  <c r="H2057" i="1"/>
  <c r="I2057" i="1"/>
  <c r="J2057" i="1"/>
  <c r="K2057" i="1"/>
  <c r="M2057" i="1"/>
  <c r="P2057" i="1"/>
  <c r="R2057" i="1"/>
  <c r="S2057" i="1"/>
  <c r="T2057" i="1"/>
  <c r="U2057" i="1"/>
  <c r="X2057" i="1"/>
  <c r="Y2057" i="1"/>
  <c r="Z2057" i="1"/>
  <c r="AA2057" i="1"/>
  <c r="AB2057" i="1"/>
  <c r="AC2057" i="1"/>
  <c r="AD2057" i="1"/>
  <c r="AE2057" i="1"/>
  <c r="AF2057" i="1"/>
  <c r="AG2057" i="1"/>
  <c r="AH2057" i="1"/>
  <c r="AI2057" i="1"/>
  <c r="AJ2057" i="1"/>
  <c r="AK2057" i="1"/>
  <c r="C2058" i="1"/>
  <c r="H2058" i="1"/>
  <c r="I2058" i="1"/>
  <c r="J2058" i="1"/>
  <c r="K2058" i="1"/>
  <c r="M2058" i="1"/>
  <c r="P2058" i="1"/>
  <c r="R2058" i="1"/>
  <c r="S2058" i="1"/>
  <c r="T2058" i="1"/>
  <c r="U2058" i="1"/>
  <c r="X2058" i="1"/>
  <c r="Y2058" i="1"/>
  <c r="Z2058" i="1"/>
  <c r="AA2058" i="1"/>
  <c r="AB2058" i="1"/>
  <c r="AC2058" i="1"/>
  <c r="AD2058" i="1"/>
  <c r="AE2058" i="1"/>
  <c r="AF2058" i="1"/>
  <c r="AG2058" i="1"/>
  <c r="AH2058" i="1"/>
  <c r="AI2058" i="1"/>
  <c r="AJ2058" i="1"/>
  <c r="AK2058" i="1"/>
  <c r="C2059" i="1"/>
  <c r="H2059" i="1"/>
  <c r="I2059" i="1"/>
  <c r="J2059" i="1"/>
  <c r="K2059" i="1"/>
  <c r="M2059" i="1"/>
  <c r="P2059" i="1"/>
  <c r="R2059" i="1"/>
  <c r="S2059" i="1"/>
  <c r="T2059" i="1"/>
  <c r="U2059" i="1"/>
  <c r="X2059" i="1"/>
  <c r="Y2059" i="1"/>
  <c r="Z2059" i="1"/>
  <c r="AA2059" i="1"/>
  <c r="AB2059" i="1"/>
  <c r="AC2059" i="1"/>
  <c r="AD2059" i="1"/>
  <c r="AE2059" i="1"/>
  <c r="AF2059" i="1"/>
  <c r="AG2059" i="1"/>
  <c r="AH2059" i="1"/>
  <c r="AI2059" i="1"/>
  <c r="AJ2059" i="1"/>
  <c r="AK2059" i="1"/>
  <c r="C2060" i="1"/>
  <c r="H2060" i="1"/>
  <c r="I2060" i="1"/>
  <c r="J2060" i="1"/>
  <c r="K2060" i="1"/>
  <c r="M2060" i="1"/>
  <c r="P2060" i="1"/>
  <c r="R2060" i="1"/>
  <c r="S2060" i="1"/>
  <c r="T2060" i="1"/>
  <c r="U2060" i="1"/>
  <c r="X2060" i="1"/>
  <c r="Y2060" i="1"/>
  <c r="Z2060" i="1"/>
  <c r="AA2060" i="1"/>
  <c r="AB2060" i="1"/>
  <c r="AC2060" i="1"/>
  <c r="AD2060" i="1"/>
  <c r="AE2060" i="1"/>
  <c r="AF2060" i="1"/>
  <c r="AG2060" i="1"/>
  <c r="AH2060" i="1"/>
  <c r="AI2060" i="1"/>
  <c r="AJ2060" i="1"/>
  <c r="AK2060" i="1"/>
  <c r="C2061" i="1"/>
  <c r="H2061" i="1"/>
  <c r="I2061" i="1"/>
  <c r="J2061" i="1"/>
  <c r="K2061" i="1"/>
  <c r="M2061" i="1"/>
  <c r="P2061" i="1"/>
  <c r="R2061" i="1"/>
  <c r="S2061" i="1"/>
  <c r="T2061" i="1"/>
  <c r="U2061" i="1"/>
  <c r="X2061" i="1"/>
  <c r="Y2061" i="1"/>
  <c r="Z2061" i="1"/>
  <c r="AA2061" i="1"/>
  <c r="AB2061" i="1"/>
  <c r="AC2061" i="1"/>
  <c r="AD2061" i="1"/>
  <c r="AE2061" i="1"/>
  <c r="AF2061" i="1"/>
  <c r="AG2061" i="1"/>
  <c r="AH2061" i="1"/>
  <c r="AI2061" i="1"/>
  <c r="AJ2061" i="1"/>
  <c r="AK2061" i="1"/>
  <c r="C2042" i="1"/>
  <c r="H2042" i="1"/>
  <c r="I2042" i="1"/>
  <c r="J2042" i="1"/>
  <c r="K2042" i="1"/>
  <c r="M2042" i="1"/>
  <c r="P2042" i="1"/>
  <c r="R2042" i="1"/>
  <c r="S2042" i="1"/>
  <c r="T2042" i="1"/>
  <c r="U2042" i="1"/>
  <c r="X2042" i="1"/>
  <c r="Y2042" i="1"/>
  <c r="Z2042" i="1"/>
  <c r="AA2042" i="1"/>
  <c r="AB2042" i="1"/>
  <c r="AC2042" i="1"/>
  <c r="AD2042" i="1"/>
  <c r="AE2042" i="1"/>
  <c r="AF2042" i="1"/>
  <c r="AG2042" i="1"/>
  <c r="AH2042" i="1"/>
  <c r="AI2042" i="1"/>
  <c r="AJ2042" i="1"/>
  <c r="AK2042" i="1"/>
  <c r="C2043" i="1"/>
  <c r="H2043" i="1"/>
  <c r="I2043" i="1"/>
  <c r="J2043" i="1"/>
  <c r="K2043" i="1"/>
  <c r="M2043" i="1"/>
  <c r="P2043" i="1"/>
  <c r="R2043" i="1"/>
  <c r="S2043" i="1"/>
  <c r="T2043" i="1"/>
  <c r="U2043" i="1"/>
  <c r="X2043" i="1"/>
  <c r="Y2043" i="1"/>
  <c r="Z2043" i="1"/>
  <c r="AA2043" i="1"/>
  <c r="AB2043" i="1"/>
  <c r="AC2043" i="1"/>
  <c r="AD2043" i="1"/>
  <c r="AE2043" i="1"/>
  <c r="AF2043" i="1"/>
  <c r="AG2043" i="1"/>
  <c r="AH2043" i="1"/>
  <c r="AI2043" i="1"/>
  <c r="AJ2043" i="1"/>
  <c r="AK2043" i="1"/>
  <c r="C2044" i="1"/>
  <c r="H2044" i="1"/>
  <c r="I2044" i="1"/>
  <c r="J2044" i="1"/>
  <c r="K2044" i="1"/>
  <c r="M2044" i="1"/>
  <c r="P2044" i="1"/>
  <c r="R2044" i="1"/>
  <c r="S2044" i="1"/>
  <c r="T2044" i="1"/>
  <c r="U2044" i="1"/>
  <c r="X2044" i="1"/>
  <c r="Y2044" i="1"/>
  <c r="Z2044" i="1"/>
  <c r="AA2044" i="1"/>
  <c r="AB2044" i="1"/>
  <c r="AC2044" i="1"/>
  <c r="AD2044" i="1"/>
  <c r="AE2044" i="1"/>
  <c r="AF2044" i="1"/>
  <c r="AG2044" i="1"/>
  <c r="AH2044" i="1"/>
  <c r="AI2044" i="1"/>
  <c r="AJ2044" i="1"/>
  <c r="AK2044" i="1"/>
  <c r="C2045" i="1"/>
  <c r="H2045" i="1"/>
  <c r="I2045" i="1"/>
  <c r="J2045" i="1"/>
  <c r="K2045" i="1"/>
  <c r="M2045" i="1"/>
  <c r="P2045" i="1"/>
  <c r="R2045" i="1"/>
  <c r="S2045" i="1"/>
  <c r="T2045" i="1"/>
  <c r="U2045" i="1"/>
  <c r="X2045" i="1"/>
  <c r="Y2045" i="1"/>
  <c r="Z2045" i="1"/>
  <c r="AA2045" i="1"/>
  <c r="AB2045" i="1"/>
  <c r="AC2045" i="1"/>
  <c r="AD2045" i="1"/>
  <c r="AE2045" i="1"/>
  <c r="AF2045" i="1"/>
  <c r="AG2045" i="1"/>
  <c r="AH2045" i="1"/>
  <c r="AI2045" i="1"/>
  <c r="AJ2045" i="1"/>
  <c r="AK2045" i="1"/>
  <c r="C2046" i="1"/>
  <c r="H2046" i="1"/>
  <c r="I2046" i="1"/>
  <c r="J2046" i="1"/>
  <c r="K2046" i="1"/>
  <c r="M2046" i="1"/>
  <c r="P2046" i="1"/>
  <c r="R2046" i="1"/>
  <c r="S2046" i="1"/>
  <c r="T2046" i="1"/>
  <c r="U2046" i="1"/>
  <c r="X2046" i="1"/>
  <c r="Y2046" i="1"/>
  <c r="Z2046" i="1"/>
  <c r="AA2046" i="1"/>
  <c r="AB2046" i="1"/>
  <c r="AC2046" i="1"/>
  <c r="AD2046" i="1"/>
  <c r="AE2046" i="1"/>
  <c r="AF2046" i="1"/>
  <c r="AG2046" i="1"/>
  <c r="AH2046" i="1"/>
  <c r="AI2046" i="1"/>
  <c r="AJ2046" i="1"/>
  <c r="AK2046" i="1"/>
  <c r="C2047" i="1"/>
  <c r="H2047" i="1"/>
  <c r="I2047" i="1"/>
  <c r="J2047" i="1"/>
  <c r="K2047" i="1"/>
  <c r="M2047" i="1"/>
  <c r="P2047" i="1"/>
  <c r="R2047" i="1"/>
  <c r="S2047" i="1"/>
  <c r="T2047" i="1"/>
  <c r="U2047" i="1"/>
  <c r="X2047" i="1"/>
  <c r="Y2047" i="1"/>
  <c r="Z2047" i="1"/>
  <c r="AA2047" i="1"/>
  <c r="AB2047" i="1"/>
  <c r="AC2047" i="1"/>
  <c r="AD2047" i="1"/>
  <c r="AE2047" i="1"/>
  <c r="AF2047" i="1"/>
  <c r="AG2047" i="1"/>
  <c r="AH2047" i="1"/>
  <c r="AI2047" i="1"/>
  <c r="AJ2047" i="1"/>
  <c r="AK2047" i="1"/>
  <c r="C2048" i="1"/>
  <c r="H2048" i="1"/>
  <c r="I2048" i="1"/>
  <c r="J2048" i="1"/>
  <c r="K2048" i="1"/>
  <c r="M2048" i="1"/>
  <c r="P2048" i="1"/>
  <c r="R2048" i="1"/>
  <c r="S2048" i="1"/>
  <c r="T2048" i="1"/>
  <c r="U2048" i="1"/>
  <c r="X2048" i="1"/>
  <c r="Y2048" i="1"/>
  <c r="Z2048" i="1"/>
  <c r="AA2048" i="1"/>
  <c r="AB2048" i="1"/>
  <c r="AC2048" i="1"/>
  <c r="AD2048" i="1"/>
  <c r="AE2048" i="1"/>
  <c r="AF2048" i="1"/>
  <c r="AG2048" i="1"/>
  <c r="AH2048" i="1"/>
  <c r="AI2048" i="1"/>
  <c r="AJ2048" i="1"/>
  <c r="AK2048" i="1"/>
  <c r="C2049" i="1"/>
  <c r="H2049" i="1"/>
  <c r="I2049" i="1"/>
  <c r="J2049" i="1"/>
  <c r="K2049" i="1"/>
  <c r="M2049" i="1"/>
  <c r="P2049" i="1"/>
  <c r="R2049" i="1"/>
  <c r="S2049" i="1"/>
  <c r="T2049" i="1"/>
  <c r="U2049" i="1"/>
  <c r="X2049" i="1"/>
  <c r="Y2049" i="1"/>
  <c r="Z2049" i="1"/>
  <c r="AA2049" i="1"/>
  <c r="AB2049" i="1"/>
  <c r="AC2049" i="1"/>
  <c r="AD2049" i="1"/>
  <c r="AE2049" i="1"/>
  <c r="AF2049" i="1"/>
  <c r="AG2049" i="1"/>
  <c r="AH2049" i="1"/>
  <c r="AI2049" i="1"/>
  <c r="AJ2049" i="1"/>
  <c r="AK2049" i="1"/>
  <c r="C2050" i="1"/>
  <c r="H2050" i="1"/>
  <c r="I2050" i="1"/>
  <c r="J2050" i="1"/>
  <c r="K2050" i="1"/>
  <c r="M2050" i="1"/>
  <c r="P2050" i="1"/>
  <c r="R2050" i="1"/>
  <c r="S2050" i="1"/>
  <c r="T2050" i="1"/>
  <c r="U2050" i="1"/>
  <c r="X2050" i="1"/>
  <c r="Y2050" i="1"/>
  <c r="Z2050" i="1"/>
  <c r="AA2050" i="1"/>
  <c r="AB2050" i="1"/>
  <c r="AC2050" i="1"/>
  <c r="AD2050" i="1"/>
  <c r="AE2050" i="1"/>
  <c r="AF2050" i="1"/>
  <c r="AG2050" i="1"/>
  <c r="AH2050" i="1"/>
  <c r="AI2050" i="1"/>
  <c r="AJ2050" i="1"/>
  <c r="AK2050" i="1"/>
  <c r="C2051" i="1"/>
  <c r="H2051" i="1"/>
  <c r="I2051" i="1"/>
  <c r="J2051" i="1"/>
  <c r="K2051" i="1"/>
  <c r="M2051" i="1"/>
  <c r="P2051" i="1"/>
  <c r="R2051" i="1"/>
  <c r="S2051" i="1"/>
  <c r="T2051" i="1"/>
  <c r="U2051" i="1"/>
  <c r="X2051" i="1"/>
  <c r="Y2051" i="1"/>
  <c r="Z2051" i="1"/>
  <c r="AA2051" i="1"/>
  <c r="AB2051" i="1"/>
  <c r="AC2051" i="1"/>
  <c r="AD2051" i="1"/>
  <c r="AE2051" i="1"/>
  <c r="AF2051" i="1"/>
  <c r="AG2051" i="1"/>
  <c r="AH2051" i="1"/>
  <c r="AI2051" i="1"/>
  <c r="AJ2051" i="1"/>
  <c r="AK2051" i="1"/>
  <c r="C2032" i="1"/>
  <c r="H2032" i="1"/>
  <c r="I2032" i="1"/>
  <c r="J2032" i="1"/>
  <c r="K2032" i="1"/>
  <c r="M2032" i="1"/>
  <c r="P2032" i="1"/>
  <c r="R2032" i="1"/>
  <c r="S2032" i="1"/>
  <c r="T2032" i="1"/>
  <c r="U2032" i="1"/>
  <c r="X2032" i="1"/>
  <c r="Y2032" i="1"/>
  <c r="Z2032" i="1"/>
  <c r="AA2032" i="1"/>
  <c r="AB2032" i="1"/>
  <c r="AC2032" i="1"/>
  <c r="AD2032" i="1"/>
  <c r="AE2032" i="1"/>
  <c r="AF2032" i="1"/>
  <c r="AG2032" i="1"/>
  <c r="AH2032" i="1"/>
  <c r="AI2032" i="1"/>
  <c r="AJ2032" i="1"/>
  <c r="AK2032" i="1"/>
  <c r="C2033" i="1"/>
  <c r="H2033" i="1"/>
  <c r="I2033" i="1"/>
  <c r="J2033" i="1"/>
  <c r="K2033" i="1"/>
  <c r="M2033" i="1"/>
  <c r="P2033" i="1"/>
  <c r="R2033" i="1"/>
  <c r="S2033" i="1"/>
  <c r="T2033" i="1"/>
  <c r="U2033" i="1"/>
  <c r="X2033" i="1"/>
  <c r="Y2033" i="1"/>
  <c r="Z2033" i="1"/>
  <c r="AA2033" i="1"/>
  <c r="AB2033" i="1"/>
  <c r="AC2033" i="1"/>
  <c r="AD2033" i="1"/>
  <c r="AE2033" i="1"/>
  <c r="AF2033" i="1"/>
  <c r="AG2033" i="1"/>
  <c r="AH2033" i="1"/>
  <c r="AI2033" i="1"/>
  <c r="AJ2033" i="1"/>
  <c r="AK2033" i="1"/>
  <c r="C2034" i="1"/>
  <c r="H2034" i="1"/>
  <c r="I2034" i="1"/>
  <c r="J2034" i="1"/>
  <c r="K2034" i="1"/>
  <c r="M2034" i="1"/>
  <c r="P2034" i="1"/>
  <c r="R2034" i="1"/>
  <c r="S2034" i="1"/>
  <c r="T2034" i="1"/>
  <c r="U2034" i="1"/>
  <c r="X2034" i="1"/>
  <c r="Y2034" i="1"/>
  <c r="Z2034" i="1"/>
  <c r="AA2034" i="1"/>
  <c r="AB2034" i="1"/>
  <c r="AC2034" i="1"/>
  <c r="AD2034" i="1"/>
  <c r="AE2034" i="1"/>
  <c r="AF2034" i="1"/>
  <c r="AG2034" i="1"/>
  <c r="AH2034" i="1"/>
  <c r="AI2034" i="1"/>
  <c r="AJ2034" i="1"/>
  <c r="AK2034" i="1"/>
  <c r="C2035" i="1"/>
  <c r="H2035" i="1"/>
  <c r="I2035" i="1"/>
  <c r="J2035" i="1"/>
  <c r="K2035" i="1"/>
  <c r="M2035" i="1"/>
  <c r="P2035" i="1"/>
  <c r="R2035" i="1"/>
  <c r="S2035" i="1"/>
  <c r="T2035" i="1"/>
  <c r="U2035" i="1"/>
  <c r="X2035" i="1"/>
  <c r="Y2035" i="1"/>
  <c r="Z2035" i="1"/>
  <c r="AA2035" i="1"/>
  <c r="AB2035" i="1"/>
  <c r="AC2035" i="1"/>
  <c r="AD2035" i="1"/>
  <c r="AE2035" i="1"/>
  <c r="AF2035" i="1"/>
  <c r="AG2035" i="1"/>
  <c r="AH2035" i="1"/>
  <c r="AI2035" i="1"/>
  <c r="AJ2035" i="1"/>
  <c r="AK2035" i="1"/>
  <c r="C2036" i="1"/>
  <c r="H2036" i="1"/>
  <c r="I2036" i="1"/>
  <c r="J2036" i="1"/>
  <c r="K2036" i="1"/>
  <c r="M2036" i="1"/>
  <c r="P2036" i="1"/>
  <c r="R2036" i="1"/>
  <c r="S2036" i="1"/>
  <c r="T2036" i="1"/>
  <c r="U2036" i="1"/>
  <c r="X2036" i="1"/>
  <c r="Y2036" i="1"/>
  <c r="Z2036" i="1"/>
  <c r="AA2036" i="1"/>
  <c r="AB2036" i="1"/>
  <c r="AC2036" i="1"/>
  <c r="AD2036" i="1"/>
  <c r="AE2036" i="1"/>
  <c r="AF2036" i="1"/>
  <c r="AG2036" i="1"/>
  <c r="AH2036" i="1"/>
  <c r="AI2036" i="1"/>
  <c r="AJ2036" i="1"/>
  <c r="AK2036" i="1"/>
  <c r="C2037" i="1"/>
  <c r="H2037" i="1"/>
  <c r="I2037" i="1"/>
  <c r="J2037" i="1"/>
  <c r="K2037" i="1"/>
  <c r="M2037" i="1"/>
  <c r="P2037" i="1"/>
  <c r="R2037" i="1"/>
  <c r="S2037" i="1"/>
  <c r="T2037" i="1"/>
  <c r="U2037" i="1"/>
  <c r="X2037" i="1"/>
  <c r="Y2037" i="1"/>
  <c r="Z2037" i="1"/>
  <c r="AA2037" i="1"/>
  <c r="AB2037" i="1"/>
  <c r="AC2037" i="1"/>
  <c r="AD2037" i="1"/>
  <c r="AE2037" i="1"/>
  <c r="AF2037" i="1"/>
  <c r="AG2037" i="1"/>
  <c r="AH2037" i="1"/>
  <c r="AI2037" i="1"/>
  <c r="AJ2037" i="1"/>
  <c r="AK2037" i="1"/>
  <c r="C2038" i="1"/>
  <c r="H2038" i="1"/>
  <c r="I2038" i="1"/>
  <c r="J2038" i="1"/>
  <c r="K2038" i="1"/>
  <c r="M2038" i="1"/>
  <c r="P2038" i="1"/>
  <c r="R2038" i="1"/>
  <c r="S2038" i="1"/>
  <c r="T2038" i="1"/>
  <c r="U2038" i="1"/>
  <c r="X2038" i="1"/>
  <c r="Y2038" i="1"/>
  <c r="Z2038" i="1"/>
  <c r="AA2038" i="1"/>
  <c r="AB2038" i="1"/>
  <c r="AC2038" i="1"/>
  <c r="AD2038" i="1"/>
  <c r="AE2038" i="1"/>
  <c r="AF2038" i="1"/>
  <c r="AG2038" i="1"/>
  <c r="AH2038" i="1"/>
  <c r="AI2038" i="1"/>
  <c r="AJ2038" i="1"/>
  <c r="AK2038" i="1"/>
  <c r="C2039" i="1"/>
  <c r="H2039" i="1"/>
  <c r="I2039" i="1"/>
  <c r="J2039" i="1"/>
  <c r="K2039" i="1"/>
  <c r="M2039" i="1"/>
  <c r="P2039" i="1"/>
  <c r="R2039" i="1"/>
  <c r="S2039" i="1"/>
  <c r="T2039" i="1"/>
  <c r="U2039" i="1"/>
  <c r="X2039" i="1"/>
  <c r="Y2039" i="1"/>
  <c r="Z2039" i="1"/>
  <c r="AA2039" i="1"/>
  <c r="AB2039" i="1"/>
  <c r="AC2039" i="1"/>
  <c r="AD2039" i="1"/>
  <c r="AE2039" i="1"/>
  <c r="AF2039" i="1"/>
  <c r="AG2039" i="1"/>
  <c r="AH2039" i="1"/>
  <c r="AI2039" i="1"/>
  <c r="AJ2039" i="1"/>
  <c r="AK2039" i="1"/>
  <c r="C2040" i="1"/>
  <c r="H2040" i="1"/>
  <c r="I2040" i="1"/>
  <c r="J2040" i="1"/>
  <c r="K2040" i="1"/>
  <c r="M2040" i="1"/>
  <c r="P2040" i="1"/>
  <c r="R2040" i="1"/>
  <c r="S2040" i="1"/>
  <c r="T2040" i="1"/>
  <c r="U2040" i="1"/>
  <c r="X2040" i="1"/>
  <c r="Y2040" i="1"/>
  <c r="Z2040" i="1"/>
  <c r="AA2040" i="1"/>
  <c r="AB2040" i="1"/>
  <c r="AC2040" i="1"/>
  <c r="AD2040" i="1"/>
  <c r="AE2040" i="1"/>
  <c r="AF2040" i="1"/>
  <c r="AG2040" i="1"/>
  <c r="AH2040" i="1"/>
  <c r="AI2040" i="1"/>
  <c r="AJ2040" i="1"/>
  <c r="AK2040" i="1"/>
  <c r="C2041" i="1"/>
  <c r="H2041" i="1"/>
  <c r="I2041" i="1"/>
  <c r="J2041" i="1"/>
  <c r="K2041" i="1"/>
  <c r="M2041" i="1"/>
  <c r="P2041" i="1"/>
  <c r="R2041" i="1"/>
  <c r="S2041" i="1"/>
  <c r="T2041" i="1"/>
  <c r="U2041" i="1"/>
  <c r="X2041" i="1"/>
  <c r="Y2041" i="1"/>
  <c r="Z2041" i="1"/>
  <c r="AA2041" i="1"/>
  <c r="AB2041" i="1"/>
  <c r="AC2041" i="1"/>
  <c r="AD2041" i="1"/>
  <c r="AE2041" i="1"/>
  <c r="AF2041" i="1"/>
  <c r="AG2041" i="1"/>
  <c r="AH2041" i="1"/>
  <c r="AI2041" i="1"/>
  <c r="AJ2041" i="1"/>
  <c r="AK2041" i="1"/>
  <c r="C2022" i="1"/>
  <c r="H2022" i="1"/>
  <c r="I2022" i="1"/>
  <c r="J2022" i="1"/>
  <c r="K2022" i="1"/>
  <c r="M2022" i="1"/>
  <c r="P2022" i="1"/>
  <c r="R2022" i="1"/>
  <c r="S2022" i="1"/>
  <c r="T2022" i="1"/>
  <c r="U2022" i="1"/>
  <c r="X2022" i="1"/>
  <c r="Y2022" i="1"/>
  <c r="Z2022" i="1"/>
  <c r="AA2022" i="1"/>
  <c r="AB2022" i="1"/>
  <c r="AC2022" i="1"/>
  <c r="AD2022" i="1"/>
  <c r="AE2022" i="1"/>
  <c r="AF2022" i="1"/>
  <c r="AG2022" i="1"/>
  <c r="AH2022" i="1"/>
  <c r="AI2022" i="1"/>
  <c r="AJ2022" i="1"/>
  <c r="AK2022" i="1"/>
  <c r="C2023" i="1"/>
  <c r="H2023" i="1"/>
  <c r="I2023" i="1"/>
  <c r="J2023" i="1"/>
  <c r="K2023" i="1"/>
  <c r="M2023" i="1"/>
  <c r="P2023" i="1"/>
  <c r="R2023" i="1"/>
  <c r="S2023" i="1"/>
  <c r="T2023" i="1"/>
  <c r="U2023" i="1"/>
  <c r="X2023" i="1"/>
  <c r="Y2023" i="1"/>
  <c r="Z2023" i="1"/>
  <c r="AA2023" i="1"/>
  <c r="AB2023" i="1"/>
  <c r="AC2023" i="1"/>
  <c r="AD2023" i="1"/>
  <c r="AE2023" i="1"/>
  <c r="AF2023" i="1"/>
  <c r="AG2023" i="1"/>
  <c r="AH2023" i="1"/>
  <c r="AI2023" i="1"/>
  <c r="AJ2023" i="1"/>
  <c r="AK2023" i="1"/>
  <c r="C2024" i="1"/>
  <c r="H2024" i="1"/>
  <c r="I2024" i="1"/>
  <c r="J2024" i="1"/>
  <c r="K2024" i="1"/>
  <c r="M2024" i="1"/>
  <c r="P2024" i="1"/>
  <c r="R2024" i="1"/>
  <c r="S2024" i="1"/>
  <c r="T2024" i="1"/>
  <c r="U2024" i="1"/>
  <c r="X2024" i="1"/>
  <c r="Y2024" i="1"/>
  <c r="Z2024" i="1"/>
  <c r="AA2024" i="1"/>
  <c r="AB2024" i="1"/>
  <c r="AC2024" i="1"/>
  <c r="AD2024" i="1"/>
  <c r="AE2024" i="1"/>
  <c r="AF2024" i="1"/>
  <c r="AG2024" i="1"/>
  <c r="AH2024" i="1"/>
  <c r="AI2024" i="1"/>
  <c r="AJ2024" i="1"/>
  <c r="AK2024" i="1"/>
  <c r="C2025" i="1"/>
  <c r="H2025" i="1"/>
  <c r="I2025" i="1"/>
  <c r="J2025" i="1"/>
  <c r="K2025" i="1"/>
  <c r="M2025" i="1"/>
  <c r="P2025" i="1"/>
  <c r="R2025" i="1"/>
  <c r="S2025" i="1"/>
  <c r="T2025" i="1"/>
  <c r="U2025" i="1"/>
  <c r="X2025" i="1"/>
  <c r="Y2025" i="1"/>
  <c r="Z2025" i="1"/>
  <c r="AA2025" i="1"/>
  <c r="AB2025" i="1"/>
  <c r="AC2025" i="1"/>
  <c r="AD2025" i="1"/>
  <c r="AE2025" i="1"/>
  <c r="AF2025" i="1"/>
  <c r="AG2025" i="1"/>
  <c r="AH2025" i="1"/>
  <c r="AI2025" i="1"/>
  <c r="AJ2025" i="1"/>
  <c r="AK2025" i="1"/>
  <c r="C2026" i="1"/>
  <c r="H2026" i="1"/>
  <c r="I2026" i="1"/>
  <c r="J2026" i="1"/>
  <c r="K2026" i="1"/>
  <c r="M2026" i="1"/>
  <c r="P2026" i="1"/>
  <c r="R2026" i="1"/>
  <c r="S2026" i="1"/>
  <c r="T2026" i="1"/>
  <c r="U2026" i="1"/>
  <c r="X2026" i="1"/>
  <c r="Y2026" i="1"/>
  <c r="Z2026" i="1"/>
  <c r="AA2026" i="1"/>
  <c r="AB2026" i="1"/>
  <c r="AC2026" i="1"/>
  <c r="AD2026" i="1"/>
  <c r="AE2026" i="1"/>
  <c r="AF2026" i="1"/>
  <c r="AG2026" i="1"/>
  <c r="AH2026" i="1"/>
  <c r="AI2026" i="1"/>
  <c r="AJ2026" i="1"/>
  <c r="AK2026" i="1"/>
  <c r="C2027" i="1"/>
  <c r="H2027" i="1"/>
  <c r="I2027" i="1"/>
  <c r="J2027" i="1"/>
  <c r="K2027" i="1"/>
  <c r="M2027" i="1"/>
  <c r="P2027" i="1"/>
  <c r="R2027" i="1"/>
  <c r="S2027" i="1"/>
  <c r="T2027" i="1"/>
  <c r="U2027" i="1"/>
  <c r="X2027" i="1"/>
  <c r="Y2027" i="1"/>
  <c r="Z2027" i="1"/>
  <c r="AA2027" i="1"/>
  <c r="AB2027" i="1"/>
  <c r="AC2027" i="1"/>
  <c r="AD2027" i="1"/>
  <c r="AE2027" i="1"/>
  <c r="AF2027" i="1"/>
  <c r="AG2027" i="1"/>
  <c r="AH2027" i="1"/>
  <c r="AI2027" i="1"/>
  <c r="AJ2027" i="1"/>
  <c r="AK2027" i="1"/>
  <c r="C2028" i="1"/>
  <c r="H2028" i="1"/>
  <c r="I2028" i="1"/>
  <c r="J2028" i="1"/>
  <c r="K2028" i="1"/>
  <c r="M2028" i="1"/>
  <c r="P2028" i="1"/>
  <c r="R2028" i="1"/>
  <c r="S2028" i="1"/>
  <c r="T2028" i="1"/>
  <c r="U2028" i="1"/>
  <c r="X2028" i="1"/>
  <c r="Y2028" i="1"/>
  <c r="Z2028" i="1"/>
  <c r="AA2028" i="1"/>
  <c r="AB2028" i="1"/>
  <c r="AC2028" i="1"/>
  <c r="AD2028" i="1"/>
  <c r="AE2028" i="1"/>
  <c r="AF2028" i="1"/>
  <c r="AG2028" i="1"/>
  <c r="AH2028" i="1"/>
  <c r="AI2028" i="1"/>
  <c r="AJ2028" i="1"/>
  <c r="AK2028" i="1"/>
  <c r="C2029" i="1"/>
  <c r="H2029" i="1"/>
  <c r="I2029" i="1"/>
  <c r="J2029" i="1"/>
  <c r="K2029" i="1"/>
  <c r="M2029" i="1"/>
  <c r="P2029" i="1"/>
  <c r="R2029" i="1"/>
  <c r="S2029" i="1"/>
  <c r="T2029" i="1"/>
  <c r="U2029" i="1"/>
  <c r="X2029" i="1"/>
  <c r="Y2029" i="1"/>
  <c r="Z2029" i="1"/>
  <c r="AA2029" i="1"/>
  <c r="AB2029" i="1"/>
  <c r="AC2029" i="1"/>
  <c r="AD2029" i="1"/>
  <c r="AE2029" i="1"/>
  <c r="AF2029" i="1"/>
  <c r="AG2029" i="1"/>
  <c r="AH2029" i="1"/>
  <c r="AI2029" i="1"/>
  <c r="AJ2029" i="1"/>
  <c r="AK2029" i="1"/>
  <c r="C2030" i="1"/>
  <c r="H2030" i="1"/>
  <c r="I2030" i="1"/>
  <c r="J2030" i="1"/>
  <c r="K2030" i="1"/>
  <c r="M2030" i="1"/>
  <c r="P2030" i="1"/>
  <c r="R2030" i="1"/>
  <c r="S2030" i="1"/>
  <c r="T2030" i="1"/>
  <c r="U2030" i="1"/>
  <c r="X2030" i="1"/>
  <c r="Y2030" i="1"/>
  <c r="Z2030" i="1"/>
  <c r="AA2030" i="1"/>
  <c r="AB2030" i="1"/>
  <c r="AC2030" i="1"/>
  <c r="AD2030" i="1"/>
  <c r="AE2030" i="1"/>
  <c r="AF2030" i="1"/>
  <c r="AG2030" i="1"/>
  <c r="AH2030" i="1"/>
  <c r="AI2030" i="1"/>
  <c r="AJ2030" i="1"/>
  <c r="AK2030" i="1"/>
  <c r="C2031" i="1"/>
  <c r="H2031" i="1"/>
  <c r="I2031" i="1"/>
  <c r="J2031" i="1"/>
  <c r="K2031" i="1"/>
  <c r="M2031" i="1"/>
  <c r="P2031" i="1"/>
  <c r="R2031" i="1"/>
  <c r="S2031" i="1"/>
  <c r="T2031" i="1"/>
  <c r="U2031" i="1"/>
  <c r="X2031" i="1"/>
  <c r="Y2031" i="1"/>
  <c r="Z2031" i="1"/>
  <c r="AA2031" i="1"/>
  <c r="AB2031" i="1"/>
  <c r="AC2031" i="1"/>
  <c r="AD2031" i="1"/>
  <c r="AE2031" i="1"/>
  <c r="AF2031" i="1"/>
  <c r="AG2031" i="1"/>
  <c r="AH2031" i="1"/>
  <c r="AI2031" i="1"/>
  <c r="AJ2031" i="1"/>
  <c r="AK2031" i="1"/>
  <c r="C2012" i="1"/>
  <c r="H2012" i="1"/>
  <c r="I2012" i="1"/>
  <c r="J2012" i="1"/>
  <c r="K2012" i="1"/>
  <c r="M2012" i="1"/>
  <c r="P2012" i="1"/>
  <c r="R2012" i="1"/>
  <c r="S2012" i="1"/>
  <c r="T2012" i="1"/>
  <c r="U2012" i="1"/>
  <c r="X2012" i="1"/>
  <c r="Y2012" i="1"/>
  <c r="Z2012" i="1"/>
  <c r="AA2012" i="1"/>
  <c r="AB2012" i="1"/>
  <c r="AC2012" i="1"/>
  <c r="AD2012" i="1"/>
  <c r="AE2012" i="1"/>
  <c r="AF2012" i="1"/>
  <c r="AG2012" i="1"/>
  <c r="AH2012" i="1"/>
  <c r="AI2012" i="1"/>
  <c r="AJ2012" i="1"/>
  <c r="AK2012" i="1"/>
  <c r="C2013" i="1"/>
  <c r="H2013" i="1"/>
  <c r="I2013" i="1"/>
  <c r="J2013" i="1"/>
  <c r="K2013" i="1"/>
  <c r="M2013" i="1"/>
  <c r="P2013" i="1"/>
  <c r="R2013" i="1"/>
  <c r="S2013" i="1"/>
  <c r="T2013" i="1"/>
  <c r="U2013" i="1"/>
  <c r="X2013" i="1"/>
  <c r="Y2013" i="1"/>
  <c r="Z2013" i="1"/>
  <c r="AA2013" i="1"/>
  <c r="AB2013" i="1"/>
  <c r="AC2013" i="1"/>
  <c r="AD2013" i="1"/>
  <c r="AE2013" i="1"/>
  <c r="AF2013" i="1"/>
  <c r="AG2013" i="1"/>
  <c r="AH2013" i="1"/>
  <c r="AI2013" i="1"/>
  <c r="AJ2013" i="1"/>
  <c r="AK2013" i="1"/>
  <c r="C2014" i="1"/>
  <c r="H2014" i="1"/>
  <c r="I2014" i="1"/>
  <c r="J2014" i="1"/>
  <c r="K2014" i="1"/>
  <c r="M2014" i="1"/>
  <c r="P2014" i="1"/>
  <c r="R2014" i="1"/>
  <c r="S2014" i="1"/>
  <c r="T2014" i="1"/>
  <c r="U2014" i="1"/>
  <c r="X2014" i="1"/>
  <c r="Y2014" i="1"/>
  <c r="Z2014" i="1"/>
  <c r="AA2014" i="1"/>
  <c r="AB2014" i="1"/>
  <c r="AC2014" i="1"/>
  <c r="AD2014" i="1"/>
  <c r="AE2014" i="1"/>
  <c r="AF2014" i="1"/>
  <c r="AG2014" i="1"/>
  <c r="AH2014" i="1"/>
  <c r="AI2014" i="1"/>
  <c r="AJ2014" i="1"/>
  <c r="AK2014" i="1"/>
  <c r="C2015" i="1"/>
  <c r="H2015" i="1"/>
  <c r="I2015" i="1"/>
  <c r="J2015" i="1"/>
  <c r="K2015" i="1"/>
  <c r="M2015" i="1"/>
  <c r="P2015" i="1"/>
  <c r="R2015" i="1"/>
  <c r="S2015" i="1"/>
  <c r="T2015" i="1"/>
  <c r="U2015" i="1"/>
  <c r="X2015" i="1"/>
  <c r="Y2015" i="1"/>
  <c r="Z2015" i="1"/>
  <c r="AA2015" i="1"/>
  <c r="AB2015" i="1"/>
  <c r="AC2015" i="1"/>
  <c r="AD2015" i="1"/>
  <c r="AE2015" i="1"/>
  <c r="AF2015" i="1"/>
  <c r="AG2015" i="1"/>
  <c r="AH2015" i="1"/>
  <c r="AI2015" i="1"/>
  <c r="AJ2015" i="1"/>
  <c r="AK2015" i="1"/>
  <c r="C2016" i="1"/>
  <c r="H2016" i="1"/>
  <c r="I2016" i="1"/>
  <c r="J2016" i="1"/>
  <c r="K2016" i="1"/>
  <c r="M2016" i="1"/>
  <c r="P2016" i="1"/>
  <c r="R2016" i="1"/>
  <c r="S2016" i="1"/>
  <c r="T2016" i="1"/>
  <c r="U2016" i="1"/>
  <c r="X2016" i="1"/>
  <c r="Y2016" i="1"/>
  <c r="Z2016" i="1"/>
  <c r="AA2016" i="1"/>
  <c r="AB2016" i="1"/>
  <c r="AC2016" i="1"/>
  <c r="AD2016" i="1"/>
  <c r="AE2016" i="1"/>
  <c r="AF2016" i="1"/>
  <c r="AG2016" i="1"/>
  <c r="AH2016" i="1"/>
  <c r="AI2016" i="1"/>
  <c r="AJ2016" i="1"/>
  <c r="AK2016" i="1"/>
  <c r="C2017" i="1"/>
  <c r="H2017" i="1"/>
  <c r="I2017" i="1"/>
  <c r="J2017" i="1"/>
  <c r="K2017" i="1"/>
  <c r="M2017" i="1"/>
  <c r="P2017" i="1"/>
  <c r="R2017" i="1"/>
  <c r="S2017" i="1"/>
  <c r="T2017" i="1"/>
  <c r="U2017" i="1"/>
  <c r="X2017" i="1"/>
  <c r="Y2017" i="1"/>
  <c r="Z2017" i="1"/>
  <c r="AA2017" i="1"/>
  <c r="AB2017" i="1"/>
  <c r="AC2017" i="1"/>
  <c r="AD2017" i="1"/>
  <c r="AE2017" i="1"/>
  <c r="AF2017" i="1"/>
  <c r="AG2017" i="1"/>
  <c r="AH2017" i="1"/>
  <c r="AI2017" i="1"/>
  <c r="AJ2017" i="1"/>
  <c r="AK2017" i="1"/>
  <c r="C2018" i="1"/>
  <c r="H2018" i="1"/>
  <c r="I2018" i="1"/>
  <c r="J2018" i="1"/>
  <c r="K2018" i="1"/>
  <c r="M2018" i="1"/>
  <c r="P2018" i="1"/>
  <c r="R2018" i="1"/>
  <c r="S2018" i="1"/>
  <c r="T2018" i="1"/>
  <c r="U2018" i="1"/>
  <c r="X2018" i="1"/>
  <c r="Y2018" i="1"/>
  <c r="Z2018" i="1"/>
  <c r="AA2018" i="1"/>
  <c r="AB2018" i="1"/>
  <c r="AC2018" i="1"/>
  <c r="AD2018" i="1"/>
  <c r="AE2018" i="1"/>
  <c r="AF2018" i="1"/>
  <c r="AG2018" i="1"/>
  <c r="AH2018" i="1"/>
  <c r="AI2018" i="1"/>
  <c r="AJ2018" i="1"/>
  <c r="AK2018" i="1"/>
  <c r="C2019" i="1"/>
  <c r="H2019" i="1"/>
  <c r="I2019" i="1"/>
  <c r="J2019" i="1"/>
  <c r="K2019" i="1"/>
  <c r="M2019" i="1"/>
  <c r="P2019" i="1"/>
  <c r="R2019" i="1"/>
  <c r="S2019" i="1"/>
  <c r="T2019" i="1"/>
  <c r="U2019" i="1"/>
  <c r="X2019" i="1"/>
  <c r="Y2019" i="1"/>
  <c r="Z2019" i="1"/>
  <c r="AA2019" i="1"/>
  <c r="AB2019" i="1"/>
  <c r="AC2019" i="1"/>
  <c r="AD2019" i="1"/>
  <c r="AE2019" i="1"/>
  <c r="AF2019" i="1"/>
  <c r="AG2019" i="1"/>
  <c r="AH2019" i="1"/>
  <c r="AI2019" i="1"/>
  <c r="AJ2019" i="1"/>
  <c r="AK2019" i="1"/>
  <c r="C2020" i="1"/>
  <c r="H2020" i="1"/>
  <c r="I2020" i="1"/>
  <c r="J2020" i="1"/>
  <c r="K2020" i="1"/>
  <c r="M2020" i="1"/>
  <c r="P2020" i="1"/>
  <c r="R2020" i="1"/>
  <c r="S2020" i="1"/>
  <c r="T2020" i="1"/>
  <c r="U2020" i="1"/>
  <c r="X2020" i="1"/>
  <c r="Y2020" i="1"/>
  <c r="Z2020" i="1"/>
  <c r="AA2020" i="1"/>
  <c r="AB2020" i="1"/>
  <c r="AC2020" i="1"/>
  <c r="AD2020" i="1"/>
  <c r="AE2020" i="1"/>
  <c r="AF2020" i="1"/>
  <c r="AG2020" i="1"/>
  <c r="AH2020" i="1"/>
  <c r="AI2020" i="1"/>
  <c r="AJ2020" i="1"/>
  <c r="AK2020" i="1"/>
  <c r="C2021" i="1"/>
  <c r="H2021" i="1"/>
  <c r="I2021" i="1"/>
  <c r="J2021" i="1"/>
  <c r="K2021" i="1"/>
  <c r="M2021" i="1"/>
  <c r="P2021" i="1"/>
  <c r="R2021" i="1"/>
  <c r="S2021" i="1"/>
  <c r="T2021" i="1"/>
  <c r="U2021" i="1"/>
  <c r="X2021" i="1"/>
  <c r="Y2021" i="1"/>
  <c r="Z2021" i="1"/>
  <c r="AA2021" i="1"/>
  <c r="AB2021" i="1"/>
  <c r="AC2021" i="1"/>
  <c r="AD2021" i="1"/>
  <c r="AE2021" i="1"/>
  <c r="AF2021" i="1"/>
  <c r="AG2021" i="1"/>
  <c r="AH2021" i="1"/>
  <c r="AI2021" i="1"/>
  <c r="AJ2021" i="1"/>
  <c r="AK2021" i="1"/>
  <c r="C2002" i="1"/>
  <c r="H2002" i="1"/>
  <c r="I2002" i="1"/>
  <c r="J2002" i="1"/>
  <c r="K2002" i="1"/>
  <c r="M2002" i="1"/>
  <c r="P2002" i="1"/>
  <c r="R2002" i="1"/>
  <c r="S2002" i="1"/>
  <c r="T2002" i="1"/>
  <c r="U2002" i="1"/>
  <c r="X2002" i="1"/>
  <c r="Y2002" i="1"/>
  <c r="Z2002" i="1"/>
  <c r="AA2002" i="1"/>
  <c r="AB2002" i="1"/>
  <c r="AC2002" i="1"/>
  <c r="AD2002" i="1"/>
  <c r="AE2002" i="1"/>
  <c r="AF2002" i="1"/>
  <c r="AG2002" i="1"/>
  <c r="AH2002" i="1"/>
  <c r="AI2002" i="1"/>
  <c r="AJ2002" i="1"/>
  <c r="AK2002" i="1"/>
  <c r="C2003" i="1"/>
  <c r="H2003" i="1"/>
  <c r="I2003" i="1"/>
  <c r="J2003" i="1"/>
  <c r="K2003" i="1"/>
  <c r="M2003" i="1"/>
  <c r="P2003" i="1"/>
  <c r="R2003" i="1"/>
  <c r="S2003" i="1"/>
  <c r="T2003" i="1"/>
  <c r="U2003" i="1"/>
  <c r="X2003" i="1"/>
  <c r="Y2003" i="1"/>
  <c r="Z2003" i="1"/>
  <c r="AA2003" i="1"/>
  <c r="AB2003" i="1"/>
  <c r="AC2003" i="1"/>
  <c r="AD2003" i="1"/>
  <c r="AE2003" i="1"/>
  <c r="AF2003" i="1"/>
  <c r="AG2003" i="1"/>
  <c r="AH2003" i="1"/>
  <c r="AI2003" i="1"/>
  <c r="AJ2003" i="1"/>
  <c r="AK2003" i="1"/>
  <c r="C2004" i="1"/>
  <c r="H2004" i="1"/>
  <c r="I2004" i="1"/>
  <c r="J2004" i="1"/>
  <c r="K2004" i="1"/>
  <c r="M2004" i="1"/>
  <c r="P2004" i="1"/>
  <c r="R2004" i="1"/>
  <c r="S2004" i="1"/>
  <c r="T2004" i="1"/>
  <c r="U2004" i="1"/>
  <c r="X2004" i="1"/>
  <c r="Y2004" i="1"/>
  <c r="Z2004" i="1"/>
  <c r="AA2004" i="1"/>
  <c r="AB2004" i="1"/>
  <c r="AC2004" i="1"/>
  <c r="AD2004" i="1"/>
  <c r="AE2004" i="1"/>
  <c r="AF2004" i="1"/>
  <c r="AG2004" i="1"/>
  <c r="AH2004" i="1"/>
  <c r="AI2004" i="1"/>
  <c r="AJ2004" i="1"/>
  <c r="AK2004" i="1"/>
  <c r="C2005" i="1"/>
  <c r="H2005" i="1"/>
  <c r="I2005" i="1"/>
  <c r="J2005" i="1"/>
  <c r="K2005" i="1"/>
  <c r="M2005" i="1"/>
  <c r="P2005" i="1"/>
  <c r="R2005" i="1"/>
  <c r="S2005" i="1"/>
  <c r="T2005" i="1"/>
  <c r="U2005" i="1"/>
  <c r="X2005" i="1"/>
  <c r="Y2005" i="1"/>
  <c r="Z2005" i="1"/>
  <c r="AA2005" i="1"/>
  <c r="AB2005" i="1"/>
  <c r="AC2005" i="1"/>
  <c r="AD2005" i="1"/>
  <c r="AE2005" i="1"/>
  <c r="AF2005" i="1"/>
  <c r="AG2005" i="1"/>
  <c r="AH2005" i="1"/>
  <c r="AI2005" i="1"/>
  <c r="AJ2005" i="1"/>
  <c r="AK2005" i="1"/>
  <c r="C2006" i="1"/>
  <c r="H2006" i="1"/>
  <c r="I2006" i="1"/>
  <c r="J2006" i="1"/>
  <c r="K2006" i="1"/>
  <c r="M2006" i="1"/>
  <c r="P2006" i="1"/>
  <c r="R2006" i="1"/>
  <c r="S2006" i="1"/>
  <c r="T2006" i="1"/>
  <c r="U2006" i="1"/>
  <c r="X2006" i="1"/>
  <c r="Y2006" i="1"/>
  <c r="Z2006" i="1"/>
  <c r="AA2006" i="1"/>
  <c r="AB2006" i="1"/>
  <c r="AC2006" i="1"/>
  <c r="AD2006" i="1"/>
  <c r="AE2006" i="1"/>
  <c r="AF2006" i="1"/>
  <c r="AG2006" i="1"/>
  <c r="AH2006" i="1"/>
  <c r="AI2006" i="1"/>
  <c r="AJ2006" i="1"/>
  <c r="AK2006" i="1"/>
  <c r="C2007" i="1"/>
  <c r="H2007" i="1"/>
  <c r="I2007" i="1"/>
  <c r="J2007" i="1"/>
  <c r="K2007" i="1"/>
  <c r="M2007" i="1"/>
  <c r="P2007" i="1"/>
  <c r="R2007" i="1"/>
  <c r="S2007" i="1"/>
  <c r="T2007" i="1"/>
  <c r="U2007" i="1"/>
  <c r="X2007" i="1"/>
  <c r="Y2007" i="1"/>
  <c r="Z2007" i="1"/>
  <c r="AA2007" i="1"/>
  <c r="AB2007" i="1"/>
  <c r="AC2007" i="1"/>
  <c r="AD2007" i="1"/>
  <c r="AE2007" i="1"/>
  <c r="AF2007" i="1"/>
  <c r="AG2007" i="1"/>
  <c r="AH2007" i="1"/>
  <c r="AI2007" i="1"/>
  <c r="AJ2007" i="1"/>
  <c r="AK2007" i="1"/>
  <c r="C2008" i="1"/>
  <c r="H2008" i="1"/>
  <c r="I2008" i="1"/>
  <c r="J2008" i="1"/>
  <c r="K2008" i="1"/>
  <c r="M2008" i="1"/>
  <c r="P2008" i="1"/>
  <c r="R2008" i="1"/>
  <c r="S2008" i="1"/>
  <c r="T2008" i="1"/>
  <c r="U2008" i="1"/>
  <c r="X2008" i="1"/>
  <c r="Y2008" i="1"/>
  <c r="Z2008" i="1"/>
  <c r="AA2008" i="1"/>
  <c r="AB2008" i="1"/>
  <c r="AC2008" i="1"/>
  <c r="AD2008" i="1"/>
  <c r="AE2008" i="1"/>
  <c r="AF2008" i="1"/>
  <c r="AG2008" i="1"/>
  <c r="AH2008" i="1"/>
  <c r="AI2008" i="1"/>
  <c r="AJ2008" i="1"/>
  <c r="AK2008" i="1"/>
  <c r="C2009" i="1"/>
  <c r="H2009" i="1"/>
  <c r="I2009" i="1"/>
  <c r="J2009" i="1"/>
  <c r="K2009" i="1"/>
  <c r="M2009" i="1"/>
  <c r="P2009" i="1"/>
  <c r="R2009" i="1"/>
  <c r="S2009" i="1"/>
  <c r="T2009" i="1"/>
  <c r="U2009" i="1"/>
  <c r="X2009" i="1"/>
  <c r="Y2009" i="1"/>
  <c r="Z2009" i="1"/>
  <c r="AA2009" i="1"/>
  <c r="AB2009" i="1"/>
  <c r="AC2009" i="1"/>
  <c r="AD2009" i="1"/>
  <c r="AE2009" i="1"/>
  <c r="AF2009" i="1"/>
  <c r="AG2009" i="1"/>
  <c r="AH2009" i="1"/>
  <c r="AI2009" i="1"/>
  <c r="AJ2009" i="1"/>
  <c r="AK2009" i="1"/>
  <c r="C2010" i="1"/>
  <c r="H2010" i="1"/>
  <c r="I2010" i="1"/>
  <c r="J2010" i="1"/>
  <c r="K2010" i="1"/>
  <c r="M2010" i="1"/>
  <c r="P2010" i="1"/>
  <c r="R2010" i="1"/>
  <c r="S2010" i="1"/>
  <c r="T2010" i="1"/>
  <c r="U2010" i="1"/>
  <c r="X2010" i="1"/>
  <c r="Y2010" i="1"/>
  <c r="Z2010" i="1"/>
  <c r="AA2010" i="1"/>
  <c r="AB2010" i="1"/>
  <c r="AC2010" i="1"/>
  <c r="AD2010" i="1"/>
  <c r="AE2010" i="1"/>
  <c r="AF2010" i="1"/>
  <c r="AG2010" i="1"/>
  <c r="AH2010" i="1"/>
  <c r="AI2010" i="1"/>
  <c r="AJ2010" i="1"/>
  <c r="AK2010" i="1"/>
  <c r="C2011" i="1"/>
  <c r="H2011" i="1"/>
  <c r="I2011" i="1"/>
  <c r="J2011" i="1"/>
  <c r="K2011" i="1"/>
  <c r="M2011" i="1"/>
  <c r="P2011" i="1"/>
  <c r="R2011" i="1"/>
  <c r="S2011" i="1"/>
  <c r="T2011" i="1"/>
  <c r="U2011" i="1"/>
  <c r="X2011" i="1"/>
  <c r="Y2011" i="1"/>
  <c r="Z2011" i="1"/>
  <c r="AA2011" i="1"/>
  <c r="AB2011" i="1"/>
  <c r="AC2011" i="1"/>
  <c r="AD2011" i="1"/>
  <c r="AE2011" i="1"/>
  <c r="AF2011" i="1"/>
  <c r="AG2011" i="1"/>
  <c r="AH2011" i="1"/>
  <c r="AI2011" i="1"/>
  <c r="AJ2011" i="1"/>
  <c r="AK2011" i="1"/>
  <c r="C1992" i="1"/>
  <c r="H1992" i="1"/>
  <c r="I1992" i="1"/>
  <c r="J1992" i="1"/>
  <c r="K1992" i="1"/>
  <c r="M1992" i="1"/>
  <c r="P1992" i="1"/>
  <c r="R1992" i="1"/>
  <c r="S1992" i="1"/>
  <c r="T1992" i="1"/>
  <c r="U1992" i="1"/>
  <c r="X1992" i="1"/>
  <c r="Y1992" i="1"/>
  <c r="Z1992" i="1"/>
  <c r="AA1992" i="1"/>
  <c r="AB1992" i="1"/>
  <c r="AC1992" i="1"/>
  <c r="AD1992" i="1"/>
  <c r="AE1992" i="1"/>
  <c r="AF1992" i="1"/>
  <c r="AG1992" i="1"/>
  <c r="AH1992" i="1"/>
  <c r="AI1992" i="1"/>
  <c r="AJ1992" i="1"/>
  <c r="AK1992" i="1"/>
  <c r="C1993" i="1"/>
  <c r="H1993" i="1"/>
  <c r="I1993" i="1"/>
  <c r="J1993" i="1"/>
  <c r="K1993" i="1"/>
  <c r="M1993" i="1"/>
  <c r="P1993" i="1"/>
  <c r="R1993" i="1"/>
  <c r="S1993" i="1"/>
  <c r="T1993" i="1"/>
  <c r="U1993" i="1"/>
  <c r="X1993" i="1"/>
  <c r="Y1993" i="1"/>
  <c r="Z1993" i="1"/>
  <c r="AA1993" i="1"/>
  <c r="AB1993" i="1"/>
  <c r="AC1993" i="1"/>
  <c r="AD1993" i="1"/>
  <c r="AE1993" i="1"/>
  <c r="AF1993" i="1"/>
  <c r="AG1993" i="1"/>
  <c r="AH1993" i="1"/>
  <c r="AI1993" i="1"/>
  <c r="AJ1993" i="1"/>
  <c r="AK1993" i="1"/>
  <c r="C1994" i="1"/>
  <c r="H1994" i="1"/>
  <c r="I1994" i="1"/>
  <c r="J1994" i="1"/>
  <c r="K1994" i="1"/>
  <c r="M1994" i="1"/>
  <c r="P1994" i="1"/>
  <c r="R1994" i="1"/>
  <c r="S1994" i="1"/>
  <c r="T1994" i="1"/>
  <c r="U1994" i="1"/>
  <c r="X1994" i="1"/>
  <c r="Y1994" i="1"/>
  <c r="Z1994" i="1"/>
  <c r="AA1994" i="1"/>
  <c r="AB1994" i="1"/>
  <c r="AC1994" i="1"/>
  <c r="AD1994" i="1"/>
  <c r="AE1994" i="1"/>
  <c r="AF1994" i="1"/>
  <c r="AG1994" i="1"/>
  <c r="AH1994" i="1"/>
  <c r="AI1994" i="1"/>
  <c r="AJ1994" i="1"/>
  <c r="AK1994" i="1"/>
  <c r="C1995" i="1"/>
  <c r="H1995" i="1"/>
  <c r="I1995" i="1"/>
  <c r="J1995" i="1"/>
  <c r="K1995" i="1"/>
  <c r="M1995" i="1"/>
  <c r="P1995" i="1"/>
  <c r="R1995" i="1"/>
  <c r="S1995" i="1"/>
  <c r="T1995" i="1"/>
  <c r="U1995" i="1"/>
  <c r="X1995" i="1"/>
  <c r="Y1995" i="1"/>
  <c r="Z1995" i="1"/>
  <c r="AA1995" i="1"/>
  <c r="AB1995" i="1"/>
  <c r="AC1995" i="1"/>
  <c r="AD1995" i="1"/>
  <c r="AE1995" i="1"/>
  <c r="AF1995" i="1"/>
  <c r="AG1995" i="1"/>
  <c r="AH1995" i="1"/>
  <c r="AI1995" i="1"/>
  <c r="AJ1995" i="1"/>
  <c r="AK1995" i="1"/>
  <c r="C1996" i="1"/>
  <c r="H1996" i="1"/>
  <c r="I1996" i="1"/>
  <c r="J1996" i="1"/>
  <c r="K1996" i="1"/>
  <c r="M1996" i="1"/>
  <c r="P1996" i="1"/>
  <c r="R1996" i="1"/>
  <c r="S1996" i="1"/>
  <c r="T1996" i="1"/>
  <c r="U1996" i="1"/>
  <c r="X1996" i="1"/>
  <c r="Y1996" i="1"/>
  <c r="Z1996" i="1"/>
  <c r="AA1996" i="1"/>
  <c r="AB1996" i="1"/>
  <c r="AC1996" i="1"/>
  <c r="AD1996" i="1"/>
  <c r="AE1996" i="1"/>
  <c r="AF1996" i="1"/>
  <c r="AG1996" i="1"/>
  <c r="AH1996" i="1"/>
  <c r="AI1996" i="1"/>
  <c r="AJ1996" i="1"/>
  <c r="AK1996" i="1"/>
  <c r="C1997" i="1"/>
  <c r="H1997" i="1"/>
  <c r="I1997" i="1"/>
  <c r="J1997" i="1"/>
  <c r="K1997" i="1"/>
  <c r="M1997" i="1"/>
  <c r="P1997" i="1"/>
  <c r="R1997" i="1"/>
  <c r="S1997" i="1"/>
  <c r="T1997" i="1"/>
  <c r="U1997" i="1"/>
  <c r="X1997" i="1"/>
  <c r="Y1997" i="1"/>
  <c r="Z1997" i="1"/>
  <c r="AA1997" i="1"/>
  <c r="AB1997" i="1"/>
  <c r="AC1997" i="1"/>
  <c r="AD1997" i="1"/>
  <c r="AE1997" i="1"/>
  <c r="AF1997" i="1"/>
  <c r="AG1997" i="1"/>
  <c r="AH1997" i="1"/>
  <c r="AI1997" i="1"/>
  <c r="AJ1997" i="1"/>
  <c r="AK1997" i="1"/>
  <c r="C1998" i="1"/>
  <c r="H1998" i="1"/>
  <c r="I1998" i="1"/>
  <c r="J1998" i="1"/>
  <c r="K1998" i="1"/>
  <c r="M1998" i="1"/>
  <c r="P1998" i="1"/>
  <c r="R1998" i="1"/>
  <c r="S1998" i="1"/>
  <c r="T1998" i="1"/>
  <c r="U1998" i="1"/>
  <c r="X1998" i="1"/>
  <c r="Y1998" i="1"/>
  <c r="Z1998" i="1"/>
  <c r="AA1998" i="1"/>
  <c r="AB1998" i="1"/>
  <c r="AC1998" i="1"/>
  <c r="AD1998" i="1"/>
  <c r="AE1998" i="1"/>
  <c r="AF1998" i="1"/>
  <c r="AG1998" i="1"/>
  <c r="AH1998" i="1"/>
  <c r="AI1998" i="1"/>
  <c r="AJ1998" i="1"/>
  <c r="AK1998" i="1"/>
  <c r="C1999" i="1"/>
  <c r="H1999" i="1"/>
  <c r="I1999" i="1"/>
  <c r="J1999" i="1"/>
  <c r="K1999" i="1"/>
  <c r="M1999" i="1"/>
  <c r="P1999" i="1"/>
  <c r="R1999" i="1"/>
  <c r="S1999" i="1"/>
  <c r="T1999" i="1"/>
  <c r="U1999" i="1"/>
  <c r="X1999" i="1"/>
  <c r="Y1999" i="1"/>
  <c r="Z1999" i="1"/>
  <c r="AA1999" i="1"/>
  <c r="AB1999" i="1"/>
  <c r="AC1999" i="1"/>
  <c r="AD1999" i="1"/>
  <c r="AE1999" i="1"/>
  <c r="AF1999" i="1"/>
  <c r="AG1999" i="1"/>
  <c r="AH1999" i="1"/>
  <c r="AI1999" i="1"/>
  <c r="AJ1999" i="1"/>
  <c r="AK1999" i="1"/>
  <c r="C2000" i="1"/>
  <c r="H2000" i="1"/>
  <c r="I2000" i="1"/>
  <c r="J2000" i="1"/>
  <c r="K2000" i="1"/>
  <c r="M2000" i="1"/>
  <c r="P2000" i="1"/>
  <c r="R2000" i="1"/>
  <c r="S2000" i="1"/>
  <c r="T2000" i="1"/>
  <c r="U2000" i="1"/>
  <c r="X2000" i="1"/>
  <c r="Y2000" i="1"/>
  <c r="Z2000" i="1"/>
  <c r="AA2000" i="1"/>
  <c r="AB2000" i="1"/>
  <c r="AC2000" i="1"/>
  <c r="AD2000" i="1"/>
  <c r="AE2000" i="1"/>
  <c r="AF2000" i="1"/>
  <c r="AG2000" i="1"/>
  <c r="AH2000" i="1"/>
  <c r="AI2000" i="1"/>
  <c r="AJ2000" i="1"/>
  <c r="AK2000" i="1"/>
  <c r="C2001" i="1"/>
  <c r="H2001" i="1"/>
  <c r="I2001" i="1"/>
  <c r="J2001" i="1"/>
  <c r="K2001" i="1"/>
  <c r="M2001" i="1"/>
  <c r="P2001" i="1"/>
  <c r="R2001" i="1"/>
  <c r="S2001" i="1"/>
  <c r="T2001" i="1"/>
  <c r="U2001" i="1"/>
  <c r="X2001" i="1"/>
  <c r="Y2001" i="1"/>
  <c r="Z2001" i="1"/>
  <c r="AA2001" i="1"/>
  <c r="AB2001" i="1"/>
  <c r="AC2001" i="1"/>
  <c r="AD2001" i="1"/>
  <c r="AE2001" i="1"/>
  <c r="AF2001" i="1"/>
  <c r="AG2001" i="1"/>
  <c r="AH2001" i="1"/>
  <c r="AI2001" i="1"/>
  <c r="AJ2001" i="1"/>
  <c r="AK2001" i="1"/>
  <c r="C1982" i="1"/>
  <c r="H1982" i="1"/>
  <c r="I1982" i="1"/>
  <c r="J1982" i="1"/>
  <c r="K1982" i="1"/>
  <c r="M1982" i="1"/>
  <c r="P1982" i="1"/>
  <c r="R1982" i="1"/>
  <c r="S1982" i="1"/>
  <c r="T1982" i="1"/>
  <c r="U1982" i="1"/>
  <c r="X1982" i="1"/>
  <c r="Y1982" i="1"/>
  <c r="Z1982" i="1"/>
  <c r="AA1982" i="1"/>
  <c r="AB1982" i="1"/>
  <c r="AC1982" i="1"/>
  <c r="AD1982" i="1"/>
  <c r="AE1982" i="1"/>
  <c r="AF1982" i="1"/>
  <c r="AG1982" i="1"/>
  <c r="AH1982" i="1"/>
  <c r="AI1982" i="1"/>
  <c r="AJ1982" i="1"/>
  <c r="AK1982" i="1"/>
  <c r="C1983" i="1"/>
  <c r="H1983" i="1"/>
  <c r="I1983" i="1"/>
  <c r="J1983" i="1"/>
  <c r="K1983" i="1"/>
  <c r="M1983" i="1"/>
  <c r="P1983" i="1"/>
  <c r="R1983" i="1"/>
  <c r="S1983" i="1"/>
  <c r="T1983" i="1"/>
  <c r="U1983" i="1"/>
  <c r="X1983" i="1"/>
  <c r="Y1983" i="1"/>
  <c r="Z1983" i="1"/>
  <c r="AA1983" i="1"/>
  <c r="AB1983" i="1"/>
  <c r="AC1983" i="1"/>
  <c r="AD1983" i="1"/>
  <c r="AE1983" i="1"/>
  <c r="AF1983" i="1"/>
  <c r="AG1983" i="1"/>
  <c r="AH1983" i="1"/>
  <c r="AI1983" i="1"/>
  <c r="AJ1983" i="1"/>
  <c r="AK1983" i="1"/>
  <c r="C1984" i="1"/>
  <c r="H1984" i="1"/>
  <c r="I1984" i="1"/>
  <c r="J1984" i="1"/>
  <c r="K1984" i="1"/>
  <c r="M1984" i="1"/>
  <c r="P1984" i="1"/>
  <c r="R1984" i="1"/>
  <c r="S1984" i="1"/>
  <c r="T1984" i="1"/>
  <c r="U1984" i="1"/>
  <c r="X1984" i="1"/>
  <c r="Y1984" i="1"/>
  <c r="Z1984" i="1"/>
  <c r="AA1984" i="1"/>
  <c r="AB1984" i="1"/>
  <c r="AC1984" i="1"/>
  <c r="AD1984" i="1"/>
  <c r="AE1984" i="1"/>
  <c r="AF1984" i="1"/>
  <c r="AG1984" i="1"/>
  <c r="AH1984" i="1"/>
  <c r="AI1984" i="1"/>
  <c r="AJ1984" i="1"/>
  <c r="AK1984" i="1"/>
  <c r="C1985" i="1"/>
  <c r="H1985" i="1"/>
  <c r="I1985" i="1"/>
  <c r="J1985" i="1"/>
  <c r="K1985" i="1"/>
  <c r="M1985" i="1"/>
  <c r="P1985" i="1"/>
  <c r="R1985" i="1"/>
  <c r="S1985" i="1"/>
  <c r="T1985" i="1"/>
  <c r="U1985" i="1"/>
  <c r="X1985" i="1"/>
  <c r="Y1985" i="1"/>
  <c r="Z1985" i="1"/>
  <c r="AA1985" i="1"/>
  <c r="AB1985" i="1"/>
  <c r="AC1985" i="1"/>
  <c r="AD1985" i="1"/>
  <c r="AE1985" i="1"/>
  <c r="AF1985" i="1"/>
  <c r="AG1985" i="1"/>
  <c r="AH1985" i="1"/>
  <c r="AI1985" i="1"/>
  <c r="AJ1985" i="1"/>
  <c r="AK1985" i="1"/>
  <c r="C1986" i="1"/>
  <c r="H1986" i="1"/>
  <c r="I1986" i="1"/>
  <c r="J1986" i="1"/>
  <c r="K1986" i="1"/>
  <c r="M1986" i="1"/>
  <c r="P1986" i="1"/>
  <c r="R1986" i="1"/>
  <c r="S1986" i="1"/>
  <c r="T1986" i="1"/>
  <c r="U1986" i="1"/>
  <c r="X1986" i="1"/>
  <c r="Y1986" i="1"/>
  <c r="Z1986" i="1"/>
  <c r="AA1986" i="1"/>
  <c r="AB1986" i="1"/>
  <c r="AC1986" i="1"/>
  <c r="AD1986" i="1"/>
  <c r="AE1986" i="1"/>
  <c r="AF1986" i="1"/>
  <c r="AG1986" i="1"/>
  <c r="AH1986" i="1"/>
  <c r="AI1986" i="1"/>
  <c r="AJ1986" i="1"/>
  <c r="AK1986" i="1"/>
  <c r="C1987" i="1"/>
  <c r="H1987" i="1"/>
  <c r="I1987" i="1"/>
  <c r="J1987" i="1"/>
  <c r="K1987" i="1"/>
  <c r="M1987" i="1"/>
  <c r="P1987" i="1"/>
  <c r="R1987" i="1"/>
  <c r="S1987" i="1"/>
  <c r="T1987" i="1"/>
  <c r="U1987" i="1"/>
  <c r="X1987" i="1"/>
  <c r="Y1987" i="1"/>
  <c r="Z1987" i="1"/>
  <c r="AA1987" i="1"/>
  <c r="AB1987" i="1"/>
  <c r="AC1987" i="1"/>
  <c r="AD1987" i="1"/>
  <c r="AE1987" i="1"/>
  <c r="AF1987" i="1"/>
  <c r="AG1987" i="1"/>
  <c r="AH1987" i="1"/>
  <c r="AI1987" i="1"/>
  <c r="AJ1987" i="1"/>
  <c r="AK1987" i="1"/>
  <c r="C1988" i="1"/>
  <c r="H1988" i="1"/>
  <c r="I1988" i="1"/>
  <c r="J1988" i="1"/>
  <c r="K1988" i="1"/>
  <c r="M1988" i="1"/>
  <c r="P1988" i="1"/>
  <c r="R1988" i="1"/>
  <c r="S1988" i="1"/>
  <c r="T1988" i="1"/>
  <c r="U1988" i="1"/>
  <c r="X1988" i="1"/>
  <c r="Y1988" i="1"/>
  <c r="Z1988" i="1"/>
  <c r="AA1988" i="1"/>
  <c r="AB1988" i="1"/>
  <c r="AC1988" i="1"/>
  <c r="AD1988" i="1"/>
  <c r="AE1988" i="1"/>
  <c r="AF1988" i="1"/>
  <c r="AG1988" i="1"/>
  <c r="AH1988" i="1"/>
  <c r="AI1988" i="1"/>
  <c r="AJ1988" i="1"/>
  <c r="AK1988" i="1"/>
  <c r="C1989" i="1"/>
  <c r="H1989" i="1"/>
  <c r="I1989" i="1"/>
  <c r="J1989" i="1"/>
  <c r="K1989" i="1"/>
  <c r="M1989" i="1"/>
  <c r="P1989" i="1"/>
  <c r="R1989" i="1"/>
  <c r="S1989" i="1"/>
  <c r="T1989" i="1"/>
  <c r="U1989" i="1"/>
  <c r="X1989" i="1"/>
  <c r="Y1989" i="1"/>
  <c r="Z1989" i="1"/>
  <c r="AA1989" i="1"/>
  <c r="AB1989" i="1"/>
  <c r="AC1989" i="1"/>
  <c r="AD1989" i="1"/>
  <c r="AE1989" i="1"/>
  <c r="AF1989" i="1"/>
  <c r="AG1989" i="1"/>
  <c r="AH1989" i="1"/>
  <c r="AI1989" i="1"/>
  <c r="AJ1989" i="1"/>
  <c r="AK1989" i="1"/>
  <c r="C1990" i="1"/>
  <c r="H1990" i="1"/>
  <c r="I1990" i="1"/>
  <c r="J1990" i="1"/>
  <c r="K1990" i="1"/>
  <c r="M1990" i="1"/>
  <c r="P1990" i="1"/>
  <c r="R1990" i="1"/>
  <c r="S1990" i="1"/>
  <c r="T1990" i="1"/>
  <c r="U1990" i="1"/>
  <c r="X1990" i="1"/>
  <c r="Y1990" i="1"/>
  <c r="Z1990" i="1"/>
  <c r="AA1990" i="1"/>
  <c r="AB1990" i="1"/>
  <c r="AC1990" i="1"/>
  <c r="AD1990" i="1"/>
  <c r="AE1990" i="1"/>
  <c r="AF1990" i="1"/>
  <c r="AG1990" i="1"/>
  <c r="AH1990" i="1"/>
  <c r="AI1990" i="1"/>
  <c r="AJ1990" i="1"/>
  <c r="AK1990" i="1"/>
  <c r="C1991" i="1"/>
  <c r="H1991" i="1"/>
  <c r="I1991" i="1"/>
  <c r="J1991" i="1"/>
  <c r="K1991" i="1"/>
  <c r="M1991" i="1"/>
  <c r="P1991" i="1"/>
  <c r="R1991" i="1"/>
  <c r="S1991" i="1"/>
  <c r="T1991" i="1"/>
  <c r="U1991" i="1"/>
  <c r="X1991" i="1"/>
  <c r="Y1991" i="1"/>
  <c r="Z1991" i="1"/>
  <c r="AA1991" i="1"/>
  <c r="AB1991" i="1"/>
  <c r="AC1991" i="1"/>
  <c r="AD1991" i="1"/>
  <c r="AE1991" i="1"/>
  <c r="AF1991" i="1"/>
  <c r="AG1991" i="1"/>
  <c r="AH1991" i="1"/>
  <c r="AI1991" i="1"/>
  <c r="AJ1991" i="1"/>
  <c r="AK1991" i="1"/>
  <c r="C1972" i="1"/>
  <c r="H1972" i="1"/>
  <c r="I1972" i="1"/>
  <c r="J1972" i="1"/>
  <c r="K1972" i="1"/>
  <c r="M1972" i="1"/>
  <c r="P1972" i="1"/>
  <c r="R1972" i="1"/>
  <c r="S1972" i="1"/>
  <c r="T1972" i="1"/>
  <c r="U1972" i="1"/>
  <c r="X1972" i="1"/>
  <c r="Y1972" i="1"/>
  <c r="Z1972" i="1"/>
  <c r="AA1972" i="1"/>
  <c r="AB1972" i="1"/>
  <c r="AC1972" i="1"/>
  <c r="AD1972" i="1"/>
  <c r="AE1972" i="1"/>
  <c r="AF1972" i="1"/>
  <c r="AG1972" i="1"/>
  <c r="AH1972" i="1"/>
  <c r="AI1972" i="1"/>
  <c r="AJ1972" i="1"/>
  <c r="AK1972" i="1"/>
  <c r="C1973" i="1"/>
  <c r="H1973" i="1"/>
  <c r="I1973" i="1"/>
  <c r="J1973" i="1"/>
  <c r="K1973" i="1"/>
  <c r="M1973" i="1"/>
  <c r="P1973" i="1"/>
  <c r="R1973" i="1"/>
  <c r="S1973" i="1"/>
  <c r="T1973" i="1"/>
  <c r="U1973" i="1"/>
  <c r="X1973" i="1"/>
  <c r="Y1973" i="1"/>
  <c r="Z1973" i="1"/>
  <c r="AA1973" i="1"/>
  <c r="AB1973" i="1"/>
  <c r="AC1973" i="1"/>
  <c r="AD1973" i="1"/>
  <c r="AE1973" i="1"/>
  <c r="AF1973" i="1"/>
  <c r="AG1973" i="1"/>
  <c r="AH1973" i="1"/>
  <c r="AI1973" i="1"/>
  <c r="AJ1973" i="1"/>
  <c r="AK1973" i="1"/>
  <c r="C1974" i="1"/>
  <c r="H1974" i="1"/>
  <c r="I1974" i="1"/>
  <c r="J1974" i="1"/>
  <c r="K1974" i="1"/>
  <c r="M1974" i="1"/>
  <c r="P1974" i="1"/>
  <c r="R1974" i="1"/>
  <c r="S1974" i="1"/>
  <c r="T1974" i="1"/>
  <c r="U1974" i="1"/>
  <c r="X1974" i="1"/>
  <c r="Y1974" i="1"/>
  <c r="Z1974" i="1"/>
  <c r="AA1974" i="1"/>
  <c r="AB1974" i="1"/>
  <c r="AC1974" i="1"/>
  <c r="AD1974" i="1"/>
  <c r="AE1974" i="1"/>
  <c r="AF1974" i="1"/>
  <c r="AG1974" i="1"/>
  <c r="AH1974" i="1"/>
  <c r="AI1974" i="1"/>
  <c r="AJ1974" i="1"/>
  <c r="AK1974" i="1"/>
  <c r="C1975" i="1"/>
  <c r="H1975" i="1"/>
  <c r="I1975" i="1"/>
  <c r="J1975" i="1"/>
  <c r="K1975" i="1"/>
  <c r="M1975" i="1"/>
  <c r="P1975" i="1"/>
  <c r="R1975" i="1"/>
  <c r="S1975" i="1"/>
  <c r="T1975" i="1"/>
  <c r="U1975" i="1"/>
  <c r="X1975" i="1"/>
  <c r="Y1975" i="1"/>
  <c r="Z1975" i="1"/>
  <c r="AA1975" i="1"/>
  <c r="AB1975" i="1"/>
  <c r="AC1975" i="1"/>
  <c r="AD1975" i="1"/>
  <c r="AE1975" i="1"/>
  <c r="AF1975" i="1"/>
  <c r="AG1975" i="1"/>
  <c r="AH1975" i="1"/>
  <c r="AI1975" i="1"/>
  <c r="AJ1975" i="1"/>
  <c r="AK1975" i="1"/>
  <c r="C1976" i="1"/>
  <c r="H1976" i="1"/>
  <c r="I1976" i="1"/>
  <c r="J1976" i="1"/>
  <c r="K1976" i="1"/>
  <c r="M1976" i="1"/>
  <c r="P1976" i="1"/>
  <c r="R1976" i="1"/>
  <c r="S1976" i="1"/>
  <c r="T1976" i="1"/>
  <c r="U1976" i="1"/>
  <c r="X1976" i="1"/>
  <c r="Y1976" i="1"/>
  <c r="Z1976" i="1"/>
  <c r="AA1976" i="1"/>
  <c r="AB1976" i="1"/>
  <c r="AC1976" i="1"/>
  <c r="AD1976" i="1"/>
  <c r="AE1976" i="1"/>
  <c r="AF1976" i="1"/>
  <c r="AG1976" i="1"/>
  <c r="AH1976" i="1"/>
  <c r="AI1976" i="1"/>
  <c r="AJ1976" i="1"/>
  <c r="AK1976" i="1"/>
  <c r="C1977" i="1"/>
  <c r="H1977" i="1"/>
  <c r="I1977" i="1"/>
  <c r="J1977" i="1"/>
  <c r="K1977" i="1"/>
  <c r="M1977" i="1"/>
  <c r="P1977" i="1"/>
  <c r="R1977" i="1"/>
  <c r="S1977" i="1"/>
  <c r="T1977" i="1"/>
  <c r="U1977" i="1"/>
  <c r="X1977" i="1"/>
  <c r="Y1977" i="1"/>
  <c r="Z1977" i="1"/>
  <c r="AA1977" i="1"/>
  <c r="AB1977" i="1"/>
  <c r="AC1977" i="1"/>
  <c r="AD1977" i="1"/>
  <c r="AE1977" i="1"/>
  <c r="AF1977" i="1"/>
  <c r="AG1977" i="1"/>
  <c r="AH1977" i="1"/>
  <c r="AI1977" i="1"/>
  <c r="AJ1977" i="1"/>
  <c r="AK1977" i="1"/>
  <c r="C1978" i="1"/>
  <c r="H1978" i="1"/>
  <c r="I1978" i="1"/>
  <c r="J1978" i="1"/>
  <c r="K1978" i="1"/>
  <c r="M1978" i="1"/>
  <c r="P1978" i="1"/>
  <c r="R1978" i="1"/>
  <c r="S1978" i="1"/>
  <c r="T1978" i="1"/>
  <c r="U1978" i="1"/>
  <c r="X1978" i="1"/>
  <c r="Y1978" i="1"/>
  <c r="Z1978" i="1"/>
  <c r="AA1978" i="1"/>
  <c r="AB1978" i="1"/>
  <c r="AC1978" i="1"/>
  <c r="AD1978" i="1"/>
  <c r="AE1978" i="1"/>
  <c r="AF1978" i="1"/>
  <c r="AG1978" i="1"/>
  <c r="AH1978" i="1"/>
  <c r="AI1978" i="1"/>
  <c r="AJ1978" i="1"/>
  <c r="AK1978" i="1"/>
  <c r="C1979" i="1"/>
  <c r="H1979" i="1"/>
  <c r="I1979" i="1"/>
  <c r="J1979" i="1"/>
  <c r="K1979" i="1"/>
  <c r="M1979" i="1"/>
  <c r="P1979" i="1"/>
  <c r="R1979" i="1"/>
  <c r="S1979" i="1"/>
  <c r="T1979" i="1"/>
  <c r="U1979" i="1"/>
  <c r="X1979" i="1"/>
  <c r="Y1979" i="1"/>
  <c r="Z1979" i="1"/>
  <c r="AA1979" i="1"/>
  <c r="AB1979" i="1"/>
  <c r="AC1979" i="1"/>
  <c r="AD1979" i="1"/>
  <c r="AE1979" i="1"/>
  <c r="AF1979" i="1"/>
  <c r="AG1979" i="1"/>
  <c r="AH1979" i="1"/>
  <c r="AI1979" i="1"/>
  <c r="AJ1979" i="1"/>
  <c r="AK1979" i="1"/>
  <c r="C1980" i="1"/>
  <c r="H1980" i="1"/>
  <c r="I1980" i="1"/>
  <c r="J1980" i="1"/>
  <c r="K1980" i="1"/>
  <c r="M1980" i="1"/>
  <c r="P1980" i="1"/>
  <c r="R1980" i="1"/>
  <c r="S1980" i="1"/>
  <c r="T1980" i="1"/>
  <c r="U1980" i="1"/>
  <c r="X1980" i="1"/>
  <c r="Y1980" i="1"/>
  <c r="Z1980" i="1"/>
  <c r="AA1980" i="1"/>
  <c r="AB1980" i="1"/>
  <c r="AC1980" i="1"/>
  <c r="AD1980" i="1"/>
  <c r="AE1980" i="1"/>
  <c r="AF1980" i="1"/>
  <c r="AG1980" i="1"/>
  <c r="AH1980" i="1"/>
  <c r="AI1980" i="1"/>
  <c r="AJ1980" i="1"/>
  <c r="AK1980" i="1"/>
  <c r="C1981" i="1"/>
  <c r="H1981" i="1"/>
  <c r="I1981" i="1"/>
  <c r="J1981" i="1"/>
  <c r="K1981" i="1"/>
  <c r="M1981" i="1"/>
  <c r="P1981" i="1"/>
  <c r="R1981" i="1"/>
  <c r="S1981" i="1"/>
  <c r="T1981" i="1"/>
  <c r="U1981" i="1"/>
  <c r="X1981" i="1"/>
  <c r="Y1981" i="1"/>
  <c r="Z1981" i="1"/>
  <c r="AA1981" i="1"/>
  <c r="AB1981" i="1"/>
  <c r="AC1981" i="1"/>
  <c r="AD1981" i="1"/>
  <c r="AE1981" i="1"/>
  <c r="AF1981" i="1"/>
  <c r="AG1981" i="1"/>
  <c r="AH1981" i="1"/>
  <c r="AI1981" i="1"/>
  <c r="AJ1981" i="1"/>
  <c r="AK1981" i="1"/>
  <c r="C1962" i="1"/>
  <c r="H1962" i="1"/>
  <c r="I1962" i="1"/>
  <c r="J1962" i="1"/>
  <c r="K1962" i="1"/>
  <c r="M1962" i="1"/>
  <c r="P1962" i="1"/>
  <c r="R1962" i="1"/>
  <c r="S1962" i="1"/>
  <c r="T1962" i="1"/>
  <c r="U1962" i="1"/>
  <c r="X1962" i="1"/>
  <c r="Y1962" i="1"/>
  <c r="Z1962" i="1"/>
  <c r="AA1962" i="1"/>
  <c r="AB1962" i="1"/>
  <c r="AC1962" i="1"/>
  <c r="AD1962" i="1"/>
  <c r="AE1962" i="1"/>
  <c r="AF1962" i="1"/>
  <c r="AG1962" i="1"/>
  <c r="AH1962" i="1"/>
  <c r="AI1962" i="1"/>
  <c r="AJ1962" i="1"/>
  <c r="AK1962" i="1"/>
  <c r="C1963" i="1"/>
  <c r="H1963" i="1"/>
  <c r="I1963" i="1"/>
  <c r="J1963" i="1"/>
  <c r="K1963" i="1"/>
  <c r="M1963" i="1"/>
  <c r="P1963" i="1"/>
  <c r="R1963" i="1"/>
  <c r="S1963" i="1"/>
  <c r="T1963" i="1"/>
  <c r="U1963" i="1"/>
  <c r="X1963" i="1"/>
  <c r="Y1963" i="1"/>
  <c r="Z1963" i="1"/>
  <c r="AA1963" i="1"/>
  <c r="AB1963" i="1"/>
  <c r="AC1963" i="1"/>
  <c r="AD1963" i="1"/>
  <c r="AE1963" i="1"/>
  <c r="AF1963" i="1"/>
  <c r="AG1963" i="1"/>
  <c r="AH1963" i="1"/>
  <c r="AI1963" i="1"/>
  <c r="AJ1963" i="1"/>
  <c r="AK1963" i="1"/>
  <c r="C1964" i="1"/>
  <c r="H1964" i="1"/>
  <c r="I1964" i="1"/>
  <c r="J1964" i="1"/>
  <c r="K1964" i="1"/>
  <c r="M1964" i="1"/>
  <c r="P1964" i="1"/>
  <c r="R1964" i="1"/>
  <c r="S1964" i="1"/>
  <c r="T1964" i="1"/>
  <c r="U1964" i="1"/>
  <c r="X1964" i="1"/>
  <c r="Y1964" i="1"/>
  <c r="Z1964" i="1"/>
  <c r="AA1964" i="1"/>
  <c r="AB1964" i="1"/>
  <c r="AC1964" i="1"/>
  <c r="AD1964" i="1"/>
  <c r="AE1964" i="1"/>
  <c r="AF1964" i="1"/>
  <c r="AG1964" i="1"/>
  <c r="AH1964" i="1"/>
  <c r="AI1964" i="1"/>
  <c r="AJ1964" i="1"/>
  <c r="AK1964" i="1"/>
  <c r="C1965" i="1"/>
  <c r="H1965" i="1"/>
  <c r="I1965" i="1"/>
  <c r="J1965" i="1"/>
  <c r="K1965" i="1"/>
  <c r="M1965" i="1"/>
  <c r="P1965" i="1"/>
  <c r="R1965" i="1"/>
  <c r="S1965" i="1"/>
  <c r="T1965" i="1"/>
  <c r="U1965" i="1"/>
  <c r="X1965" i="1"/>
  <c r="Y1965" i="1"/>
  <c r="Z1965" i="1"/>
  <c r="AA1965" i="1"/>
  <c r="AB1965" i="1"/>
  <c r="AC1965" i="1"/>
  <c r="AD1965" i="1"/>
  <c r="AE1965" i="1"/>
  <c r="AF1965" i="1"/>
  <c r="AG1965" i="1"/>
  <c r="AH1965" i="1"/>
  <c r="AI1965" i="1"/>
  <c r="AJ1965" i="1"/>
  <c r="AK1965" i="1"/>
  <c r="C1966" i="1"/>
  <c r="H1966" i="1"/>
  <c r="I1966" i="1"/>
  <c r="J1966" i="1"/>
  <c r="K1966" i="1"/>
  <c r="M1966" i="1"/>
  <c r="P1966" i="1"/>
  <c r="R1966" i="1"/>
  <c r="S1966" i="1"/>
  <c r="T1966" i="1"/>
  <c r="U1966" i="1"/>
  <c r="X1966" i="1"/>
  <c r="Y1966" i="1"/>
  <c r="Z1966" i="1"/>
  <c r="AA1966" i="1"/>
  <c r="AB1966" i="1"/>
  <c r="AC1966" i="1"/>
  <c r="AD1966" i="1"/>
  <c r="AE1966" i="1"/>
  <c r="AF1966" i="1"/>
  <c r="AG1966" i="1"/>
  <c r="AH1966" i="1"/>
  <c r="AI1966" i="1"/>
  <c r="AJ1966" i="1"/>
  <c r="AK1966" i="1"/>
  <c r="C1967" i="1"/>
  <c r="H1967" i="1"/>
  <c r="I1967" i="1"/>
  <c r="J1967" i="1"/>
  <c r="K1967" i="1"/>
  <c r="M1967" i="1"/>
  <c r="P1967" i="1"/>
  <c r="R1967" i="1"/>
  <c r="S1967" i="1"/>
  <c r="T1967" i="1"/>
  <c r="U1967" i="1"/>
  <c r="X1967" i="1"/>
  <c r="Y1967" i="1"/>
  <c r="Z1967" i="1"/>
  <c r="AA1967" i="1"/>
  <c r="AB1967" i="1"/>
  <c r="AC1967" i="1"/>
  <c r="AD1967" i="1"/>
  <c r="AE1967" i="1"/>
  <c r="AF1967" i="1"/>
  <c r="AG1967" i="1"/>
  <c r="AH1967" i="1"/>
  <c r="AI1967" i="1"/>
  <c r="AJ1967" i="1"/>
  <c r="AK1967" i="1"/>
  <c r="C1968" i="1"/>
  <c r="H1968" i="1"/>
  <c r="I1968" i="1"/>
  <c r="J1968" i="1"/>
  <c r="K1968" i="1"/>
  <c r="M1968" i="1"/>
  <c r="P1968" i="1"/>
  <c r="R1968" i="1"/>
  <c r="S1968" i="1"/>
  <c r="T1968" i="1"/>
  <c r="U1968" i="1"/>
  <c r="X1968" i="1"/>
  <c r="Y1968" i="1"/>
  <c r="Z1968" i="1"/>
  <c r="AA1968" i="1"/>
  <c r="AB1968" i="1"/>
  <c r="AC1968" i="1"/>
  <c r="AD1968" i="1"/>
  <c r="AE1968" i="1"/>
  <c r="AF1968" i="1"/>
  <c r="AG1968" i="1"/>
  <c r="AH1968" i="1"/>
  <c r="AI1968" i="1"/>
  <c r="AJ1968" i="1"/>
  <c r="AK1968" i="1"/>
  <c r="C1969" i="1"/>
  <c r="H1969" i="1"/>
  <c r="I1969" i="1"/>
  <c r="J1969" i="1"/>
  <c r="K1969" i="1"/>
  <c r="M1969" i="1"/>
  <c r="P1969" i="1"/>
  <c r="R1969" i="1"/>
  <c r="S1969" i="1"/>
  <c r="T1969" i="1"/>
  <c r="U1969" i="1"/>
  <c r="X1969" i="1"/>
  <c r="Y1969" i="1"/>
  <c r="Z1969" i="1"/>
  <c r="AA1969" i="1"/>
  <c r="AB1969" i="1"/>
  <c r="AC1969" i="1"/>
  <c r="AD1969" i="1"/>
  <c r="AE1969" i="1"/>
  <c r="AF1969" i="1"/>
  <c r="AG1969" i="1"/>
  <c r="AH1969" i="1"/>
  <c r="AI1969" i="1"/>
  <c r="AJ1969" i="1"/>
  <c r="AK1969" i="1"/>
  <c r="C1970" i="1"/>
  <c r="H1970" i="1"/>
  <c r="I1970" i="1"/>
  <c r="J1970" i="1"/>
  <c r="K1970" i="1"/>
  <c r="M1970" i="1"/>
  <c r="P1970" i="1"/>
  <c r="R1970" i="1"/>
  <c r="S1970" i="1"/>
  <c r="T1970" i="1"/>
  <c r="U1970" i="1"/>
  <c r="X1970" i="1"/>
  <c r="Y1970" i="1"/>
  <c r="Z1970" i="1"/>
  <c r="AA1970" i="1"/>
  <c r="AB1970" i="1"/>
  <c r="AC1970" i="1"/>
  <c r="AD1970" i="1"/>
  <c r="AE1970" i="1"/>
  <c r="AF1970" i="1"/>
  <c r="AG1970" i="1"/>
  <c r="AH1970" i="1"/>
  <c r="AI1970" i="1"/>
  <c r="AJ1970" i="1"/>
  <c r="AK1970" i="1"/>
  <c r="C1971" i="1"/>
  <c r="H1971" i="1"/>
  <c r="I1971" i="1"/>
  <c r="J1971" i="1"/>
  <c r="K1971" i="1"/>
  <c r="M1971" i="1"/>
  <c r="P1971" i="1"/>
  <c r="R1971" i="1"/>
  <c r="S1971" i="1"/>
  <c r="T1971" i="1"/>
  <c r="U1971" i="1"/>
  <c r="X1971" i="1"/>
  <c r="Y1971" i="1"/>
  <c r="Z1971" i="1"/>
  <c r="AA1971" i="1"/>
  <c r="AB1971" i="1"/>
  <c r="AC1971" i="1"/>
  <c r="AD1971" i="1"/>
  <c r="AE1971" i="1"/>
  <c r="AF1971" i="1"/>
  <c r="AG1971" i="1"/>
  <c r="AH1971" i="1"/>
  <c r="AI1971" i="1"/>
  <c r="AJ1971" i="1"/>
  <c r="AK1971" i="1"/>
  <c r="C1952" i="1"/>
  <c r="H1952" i="1"/>
  <c r="I1952" i="1"/>
  <c r="J1952" i="1"/>
  <c r="K1952" i="1"/>
  <c r="M1952" i="1"/>
  <c r="P1952" i="1"/>
  <c r="R1952" i="1"/>
  <c r="S1952" i="1"/>
  <c r="T1952" i="1"/>
  <c r="U1952" i="1"/>
  <c r="X1952" i="1"/>
  <c r="Y1952" i="1"/>
  <c r="Z1952" i="1"/>
  <c r="AA1952" i="1"/>
  <c r="AB1952" i="1"/>
  <c r="AC1952" i="1"/>
  <c r="AD1952" i="1"/>
  <c r="AE1952" i="1"/>
  <c r="AF1952" i="1"/>
  <c r="AG1952" i="1"/>
  <c r="AH1952" i="1"/>
  <c r="AI1952" i="1"/>
  <c r="AJ1952" i="1"/>
  <c r="AK1952" i="1"/>
  <c r="C1953" i="1"/>
  <c r="H1953" i="1"/>
  <c r="I1953" i="1"/>
  <c r="J1953" i="1"/>
  <c r="K1953" i="1"/>
  <c r="M1953" i="1"/>
  <c r="P1953" i="1"/>
  <c r="R1953" i="1"/>
  <c r="S1953" i="1"/>
  <c r="T1953" i="1"/>
  <c r="U1953" i="1"/>
  <c r="X1953" i="1"/>
  <c r="Y1953" i="1"/>
  <c r="Z1953" i="1"/>
  <c r="AA1953" i="1"/>
  <c r="AB1953" i="1"/>
  <c r="AC1953" i="1"/>
  <c r="AD1953" i="1"/>
  <c r="AE1953" i="1"/>
  <c r="AF1953" i="1"/>
  <c r="AG1953" i="1"/>
  <c r="AH1953" i="1"/>
  <c r="AI1953" i="1"/>
  <c r="AJ1953" i="1"/>
  <c r="AK1953" i="1"/>
  <c r="C1954" i="1"/>
  <c r="H1954" i="1"/>
  <c r="I1954" i="1"/>
  <c r="J1954" i="1"/>
  <c r="K1954" i="1"/>
  <c r="M1954" i="1"/>
  <c r="P1954" i="1"/>
  <c r="R1954" i="1"/>
  <c r="S1954" i="1"/>
  <c r="T1954" i="1"/>
  <c r="U1954" i="1"/>
  <c r="X1954" i="1"/>
  <c r="Y1954" i="1"/>
  <c r="Z1954" i="1"/>
  <c r="AA1954" i="1"/>
  <c r="AB1954" i="1"/>
  <c r="AC1954" i="1"/>
  <c r="AD1954" i="1"/>
  <c r="AE1954" i="1"/>
  <c r="AF1954" i="1"/>
  <c r="AG1954" i="1"/>
  <c r="AH1954" i="1"/>
  <c r="AI1954" i="1"/>
  <c r="AJ1954" i="1"/>
  <c r="AK1954" i="1"/>
  <c r="C1955" i="1"/>
  <c r="H1955" i="1"/>
  <c r="I1955" i="1"/>
  <c r="J1955" i="1"/>
  <c r="K1955" i="1"/>
  <c r="M1955" i="1"/>
  <c r="P1955" i="1"/>
  <c r="R1955" i="1"/>
  <c r="S1955" i="1"/>
  <c r="T1955" i="1"/>
  <c r="U1955" i="1"/>
  <c r="X1955" i="1"/>
  <c r="Y1955" i="1"/>
  <c r="Z1955" i="1"/>
  <c r="AA1955" i="1"/>
  <c r="AB1955" i="1"/>
  <c r="AC1955" i="1"/>
  <c r="AD1955" i="1"/>
  <c r="AE1955" i="1"/>
  <c r="AF1955" i="1"/>
  <c r="AG1955" i="1"/>
  <c r="AH1955" i="1"/>
  <c r="AI1955" i="1"/>
  <c r="AJ1955" i="1"/>
  <c r="AK1955" i="1"/>
  <c r="C1956" i="1"/>
  <c r="H1956" i="1"/>
  <c r="I1956" i="1"/>
  <c r="J1956" i="1"/>
  <c r="K1956" i="1"/>
  <c r="M1956" i="1"/>
  <c r="P1956" i="1"/>
  <c r="R1956" i="1"/>
  <c r="S1956" i="1"/>
  <c r="T1956" i="1"/>
  <c r="U1956" i="1"/>
  <c r="X1956" i="1"/>
  <c r="Y1956" i="1"/>
  <c r="Z1956" i="1"/>
  <c r="AA1956" i="1"/>
  <c r="AB1956" i="1"/>
  <c r="AC1956" i="1"/>
  <c r="AD1956" i="1"/>
  <c r="AE1956" i="1"/>
  <c r="AF1956" i="1"/>
  <c r="AG1956" i="1"/>
  <c r="AH1956" i="1"/>
  <c r="AI1956" i="1"/>
  <c r="AJ1956" i="1"/>
  <c r="AK1956" i="1"/>
  <c r="C1957" i="1"/>
  <c r="H1957" i="1"/>
  <c r="I1957" i="1"/>
  <c r="J1957" i="1"/>
  <c r="K1957" i="1"/>
  <c r="M1957" i="1"/>
  <c r="P1957" i="1"/>
  <c r="R1957" i="1"/>
  <c r="S1957" i="1"/>
  <c r="T1957" i="1"/>
  <c r="U1957" i="1"/>
  <c r="X1957" i="1"/>
  <c r="Y1957" i="1"/>
  <c r="Z1957" i="1"/>
  <c r="AA1957" i="1"/>
  <c r="AB1957" i="1"/>
  <c r="AC1957" i="1"/>
  <c r="AD1957" i="1"/>
  <c r="AE1957" i="1"/>
  <c r="AF1957" i="1"/>
  <c r="AG1957" i="1"/>
  <c r="AH1957" i="1"/>
  <c r="AI1957" i="1"/>
  <c r="AJ1957" i="1"/>
  <c r="AK1957" i="1"/>
  <c r="C1958" i="1"/>
  <c r="H1958" i="1"/>
  <c r="I1958" i="1"/>
  <c r="J1958" i="1"/>
  <c r="K1958" i="1"/>
  <c r="M1958" i="1"/>
  <c r="P1958" i="1"/>
  <c r="R1958" i="1"/>
  <c r="S1958" i="1"/>
  <c r="T1958" i="1"/>
  <c r="U1958" i="1"/>
  <c r="X1958" i="1"/>
  <c r="Y1958" i="1"/>
  <c r="Z1958" i="1"/>
  <c r="AA1958" i="1"/>
  <c r="AB1958" i="1"/>
  <c r="AC1958" i="1"/>
  <c r="AD1958" i="1"/>
  <c r="AE1958" i="1"/>
  <c r="AF1958" i="1"/>
  <c r="AG1958" i="1"/>
  <c r="AH1958" i="1"/>
  <c r="AI1958" i="1"/>
  <c r="AJ1958" i="1"/>
  <c r="AK1958" i="1"/>
  <c r="C1959" i="1"/>
  <c r="H1959" i="1"/>
  <c r="I1959" i="1"/>
  <c r="J1959" i="1"/>
  <c r="K1959" i="1"/>
  <c r="M1959" i="1"/>
  <c r="P1959" i="1"/>
  <c r="R1959" i="1"/>
  <c r="S1959" i="1"/>
  <c r="T1959" i="1"/>
  <c r="U1959" i="1"/>
  <c r="X1959" i="1"/>
  <c r="Y1959" i="1"/>
  <c r="Z1959" i="1"/>
  <c r="AA1959" i="1"/>
  <c r="AB1959" i="1"/>
  <c r="AC1959" i="1"/>
  <c r="AD1959" i="1"/>
  <c r="AE1959" i="1"/>
  <c r="AF1959" i="1"/>
  <c r="AG1959" i="1"/>
  <c r="AH1959" i="1"/>
  <c r="AI1959" i="1"/>
  <c r="AJ1959" i="1"/>
  <c r="AK1959" i="1"/>
  <c r="C1960" i="1"/>
  <c r="H1960" i="1"/>
  <c r="I1960" i="1"/>
  <c r="J1960" i="1"/>
  <c r="K1960" i="1"/>
  <c r="M1960" i="1"/>
  <c r="P1960" i="1"/>
  <c r="R1960" i="1"/>
  <c r="S1960" i="1"/>
  <c r="T1960" i="1"/>
  <c r="U1960" i="1"/>
  <c r="X1960" i="1"/>
  <c r="Y1960" i="1"/>
  <c r="Z1960" i="1"/>
  <c r="AA1960" i="1"/>
  <c r="AB1960" i="1"/>
  <c r="AC1960" i="1"/>
  <c r="AD1960" i="1"/>
  <c r="AE1960" i="1"/>
  <c r="AF1960" i="1"/>
  <c r="AG1960" i="1"/>
  <c r="AH1960" i="1"/>
  <c r="AI1960" i="1"/>
  <c r="AJ1960" i="1"/>
  <c r="AK1960" i="1"/>
  <c r="C1961" i="1"/>
  <c r="H1961" i="1"/>
  <c r="I1961" i="1"/>
  <c r="J1961" i="1"/>
  <c r="K1961" i="1"/>
  <c r="M1961" i="1"/>
  <c r="P1961" i="1"/>
  <c r="R1961" i="1"/>
  <c r="S1961" i="1"/>
  <c r="T1961" i="1"/>
  <c r="U1961" i="1"/>
  <c r="X1961" i="1"/>
  <c r="Y1961" i="1"/>
  <c r="Z1961" i="1"/>
  <c r="AA1961" i="1"/>
  <c r="AB1961" i="1"/>
  <c r="AC1961" i="1"/>
  <c r="AD1961" i="1"/>
  <c r="AE1961" i="1"/>
  <c r="AF1961" i="1"/>
  <c r="AG1961" i="1"/>
  <c r="AH1961" i="1"/>
  <c r="AI1961" i="1"/>
  <c r="AJ1961" i="1"/>
  <c r="AK1961" i="1"/>
  <c r="C1942" i="1"/>
  <c r="H1942" i="1"/>
  <c r="I1942" i="1"/>
  <c r="J1942" i="1"/>
  <c r="K1942" i="1"/>
  <c r="M1942" i="1"/>
  <c r="P1942" i="1"/>
  <c r="R1942" i="1"/>
  <c r="S1942" i="1"/>
  <c r="T1942" i="1"/>
  <c r="U1942" i="1"/>
  <c r="X1942" i="1"/>
  <c r="Y1942" i="1"/>
  <c r="Z1942" i="1"/>
  <c r="AA1942" i="1"/>
  <c r="AB1942" i="1"/>
  <c r="AC1942" i="1"/>
  <c r="AD1942" i="1"/>
  <c r="AE1942" i="1"/>
  <c r="AF1942" i="1"/>
  <c r="AG1942" i="1"/>
  <c r="AH1942" i="1"/>
  <c r="AI1942" i="1"/>
  <c r="AJ1942" i="1"/>
  <c r="AK1942" i="1"/>
  <c r="C1943" i="1"/>
  <c r="H1943" i="1"/>
  <c r="I1943" i="1"/>
  <c r="J1943" i="1"/>
  <c r="K1943" i="1"/>
  <c r="M1943" i="1"/>
  <c r="P1943" i="1"/>
  <c r="R1943" i="1"/>
  <c r="S1943" i="1"/>
  <c r="T1943" i="1"/>
  <c r="U1943" i="1"/>
  <c r="X1943" i="1"/>
  <c r="Y1943" i="1"/>
  <c r="Z1943" i="1"/>
  <c r="AA1943" i="1"/>
  <c r="AB1943" i="1"/>
  <c r="AC1943" i="1"/>
  <c r="AD1943" i="1"/>
  <c r="AE1943" i="1"/>
  <c r="AF1943" i="1"/>
  <c r="AG1943" i="1"/>
  <c r="AH1943" i="1"/>
  <c r="AI1943" i="1"/>
  <c r="AJ1943" i="1"/>
  <c r="AK1943" i="1"/>
  <c r="C1944" i="1"/>
  <c r="H1944" i="1"/>
  <c r="I1944" i="1"/>
  <c r="J1944" i="1"/>
  <c r="K1944" i="1"/>
  <c r="M1944" i="1"/>
  <c r="P1944" i="1"/>
  <c r="R1944" i="1"/>
  <c r="S1944" i="1"/>
  <c r="T1944" i="1"/>
  <c r="U1944" i="1"/>
  <c r="X1944" i="1"/>
  <c r="Y1944" i="1"/>
  <c r="Z1944" i="1"/>
  <c r="AA1944" i="1"/>
  <c r="AB1944" i="1"/>
  <c r="AC1944" i="1"/>
  <c r="AD1944" i="1"/>
  <c r="AE1944" i="1"/>
  <c r="AF1944" i="1"/>
  <c r="AG1944" i="1"/>
  <c r="AH1944" i="1"/>
  <c r="AI1944" i="1"/>
  <c r="AJ1944" i="1"/>
  <c r="AK1944" i="1"/>
  <c r="C1945" i="1"/>
  <c r="H1945" i="1"/>
  <c r="I1945" i="1"/>
  <c r="J1945" i="1"/>
  <c r="K1945" i="1"/>
  <c r="M1945" i="1"/>
  <c r="P1945" i="1"/>
  <c r="R1945" i="1"/>
  <c r="S1945" i="1"/>
  <c r="T1945" i="1"/>
  <c r="U1945" i="1"/>
  <c r="X1945" i="1"/>
  <c r="Y1945" i="1"/>
  <c r="Z1945" i="1"/>
  <c r="AA1945" i="1"/>
  <c r="AB1945" i="1"/>
  <c r="AC1945" i="1"/>
  <c r="AD1945" i="1"/>
  <c r="AE1945" i="1"/>
  <c r="AF1945" i="1"/>
  <c r="AG1945" i="1"/>
  <c r="AH1945" i="1"/>
  <c r="AI1945" i="1"/>
  <c r="AJ1945" i="1"/>
  <c r="AK1945" i="1"/>
  <c r="C1946" i="1"/>
  <c r="H1946" i="1"/>
  <c r="I1946" i="1"/>
  <c r="J1946" i="1"/>
  <c r="K1946" i="1"/>
  <c r="M1946" i="1"/>
  <c r="P1946" i="1"/>
  <c r="R1946" i="1"/>
  <c r="S1946" i="1"/>
  <c r="T1946" i="1"/>
  <c r="U1946" i="1"/>
  <c r="X1946" i="1"/>
  <c r="Y1946" i="1"/>
  <c r="Z1946" i="1"/>
  <c r="AA1946" i="1"/>
  <c r="AB1946" i="1"/>
  <c r="AC1946" i="1"/>
  <c r="AD1946" i="1"/>
  <c r="AE1946" i="1"/>
  <c r="AF1946" i="1"/>
  <c r="AG1946" i="1"/>
  <c r="AH1946" i="1"/>
  <c r="AI1946" i="1"/>
  <c r="AJ1946" i="1"/>
  <c r="AK1946" i="1"/>
  <c r="C1947" i="1"/>
  <c r="H1947" i="1"/>
  <c r="I1947" i="1"/>
  <c r="J1947" i="1"/>
  <c r="K1947" i="1"/>
  <c r="M1947" i="1"/>
  <c r="P1947" i="1"/>
  <c r="R1947" i="1"/>
  <c r="S1947" i="1"/>
  <c r="T1947" i="1"/>
  <c r="U1947" i="1"/>
  <c r="X1947" i="1"/>
  <c r="Y1947" i="1"/>
  <c r="Z1947" i="1"/>
  <c r="AA1947" i="1"/>
  <c r="AB1947" i="1"/>
  <c r="AC1947" i="1"/>
  <c r="AD1947" i="1"/>
  <c r="AE1947" i="1"/>
  <c r="AF1947" i="1"/>
  <c r="AG1947" i="1"/>
  <c r="AH1947" i="1"/>
  <c r="AI1947" i="1"/>
  <c r="AJ1947" i="1"/>
  <c r="AK1947" i="1"/>
  <c r="C1948" i="1"/>
  <c r="H1948" i="1"/>
  <c r="I1948" i="1"/>
  <c r="J1948" i="1"/>
  <c r="K1948" i="1"/>
  <c r="M1948" i="1"/>
  <c r="P1948" i="1"/>
  <c r="R1948" i="1"/>
  <c r="S1948" i="1"/>
  <c r="T1948" i="1"/>
  <c r="U1948" i="1"/>
  <c r="X1948" i="1"/>
  <c r="Y1948" i="1"/>
  <c r="Z1948" i="1"/>
  <c r="AA1948" i="1"/>
  <c r="AB1948" i="1"/>
  <c r="AC1948" i="1"/>
  <c r="AD1948" i="1"/>
  <c r="AE1948" i="1"/>
  <c r="AF1948" i="1"/>
  <c r="AG1948" i="1"/>
  <c r="AH1948" i="1"/>
  <c r="AI1948" i="1"/>
  <c r="AJ1948" i="1"/>
  <c r="AK1948" i="1"/>
  <c r="C1949" i="1"/>
  <c r="H1949" i="1"/>
  <c r="I1949" i="1"/>
  <c r="J1949" i="1"/>
  <c r="K1949" i="1"/>
  <c r="M1949" i="1"/>
  <c r="P1949" i="1"/>
  <c r="R1949" i="1"/>
  <c r="S1949" i="1"/>
  <c r="T1949" i="1"/>
  <c r="U1949" i="1"/>
  <c r="X1949" i="1"/>
  <c r="Y1949" i="1"/>
  <c r="Z1949" i="1"/>
  <c r="AA1949" i="1"/>
  <c r="AB1949" i="1"/>
  <c r="AC1949" i="1"/>
  <c r="AD1949" i="1"/>
  <c r="AE1949" i="1"/>
  <c r="AF1949" i="1"/>
  <c r="AG1949" i="1"/>
  <c r="AH1949" i="1"/>
  <c r="AI1949" i="1"/>
  <c r="AJ1949" i="1"/>
  <c r="AK1949" i="1"/>
  <c r="C1950" i="1"/>
  <c r="H1950" i="1"/>
  <c r="I1950" i="1"/>
  <c r="J1950" i="1"/>
  <c r="K1950" i="1"/>
  <c r="M1950" i="1"/>
  <c r="P1950" i="1"/>
  <c r="R1950" i="1"/>
  <c r="S1950" i="1"/>
  <c r="T1950" i="1"/>
  <c r="U1950" i="1"/>
  <c r="X1950" i="1"/>
  <c r="Y1950" i="1"/>
  <c r="Z1950" i="1"/>
  <c r="AA1950" i="1"/>
  <c r="AB1950" i="1"/>
  <c r="AC1950" i="1"/>
  <c r="AD1950" i="1"/>
  <c r="AE1950" i="1"/>
  <c r="AF1950" i="1"/>
  <c r="AG1950" i="1"/>
  <c r="AH1950" i="1"/>
  <c r="AI1950" i="1"/>
  <c r="AJ1950" i="1"/>
  <c r="AK1950" i="1"/>
  <c r="C1951" i="1"/>
  <c r="H1951" i="1"/>
  <c r="I1951" i="1"/>
  <c r="J1951" i="1"/>
  <c r="K1951" i="1"/>
  <c r="M1951" i="1"/>
  <c r="P1951" i="1"/>
  <c r="R1951" i="1"/>
  <c r="S1951" i="1"/>
  <c r="T1951" i="1"/>
  <c r="U1951" i="1"/>
  <c r="X1951" i="1"/>
  <c r="Y1951" i="1"/>
  <c r="Z1951" i="1"/>
  <c r="AA1951" i="1"/>
  <c r="AB1951" i="1"/>
  <c r="AC1951" i="1"/>
  <c r="AD1951" i="1"/>
  <c r="AE1951" i="1"/>
  <c r="AF1951" i="1"/>
  <c r="AG1951" i="1"/>
  <c r="AH1951" i="1"/>
  <c r="AI1951" i="1"/>
  <c r="AJ1951" i="1"/>
  <c r="AK1951" i="1"/>
  <c r="C1932" i="1"/>
  <c r="H1932" i="1"/>
  <c r="I1932" i="1"/>
  <c r="J1932" i="1"/>
  <c r="K1932" i="1"/>
  <c r="M1932" i="1"/>
  <c r="P1932" i="1"/>
  <c r="R1932" i="1"/>
  <c r="S1932" i="1"/>
  <c r="T1932" i="1"/>
  <c r="U1932" i="1"/>
  <c r="X1932" i="1"/>
  <c r="Y1932" i="1"/>
  <c r="Z1932" i="1"/>
  <c r="AA1932" i="1"/>
  <c r="AB1932" i="1"/>
  <c r="AC1932" i="1"/>
  <c r="AD1932" i="1"/>
  <c r="AE1932" i="1"/>
  <c r="AF1932" i="1"/>
  <c r="AG1932" i="1"/>
  <c r="AH1932" i="1"/>
  <c r="AI1932" i="1"/>
  <c r="AJ1932" i="1"/>
  <c r="AK1932" i="1"/>
  <c r="C1933" i="1"/>
  <c r="H1933" i="1"/>
  <c r="I1933" i="1"/>
  <c r="J1933" i="1"/>
  <c r="K1933" i="1"/>
  <c r="M1933" i="1"/>
  <c r="P1933" i="1"/>
  <c r="R1933" i="1"/>
  <c r="S1933" i="1"/>
  <c r="T1933" i="1"/>
  <c r="U1933" i="1"/>
  <c r="X1933" i="1"/>
  <c r="Y1933" i="1"/>
  <c r="Z1933" i="1"/>
  <c r="AA1933" i="1"/>
  <c r="AB1933" i="1"/>
  <c r="AC1933" i="1"/>
  <c r="AD1933" i="1"/>
  <c r="AE1933" i="1"/>
  <c r="AF1933" i="1"/>
  <c r="AG1933" i="1"/>
  <c r="AH1933" i="1"/>
  <c r="AI1933" i="1"/>
  <c r="AJ1933" i="1"/>
  <c r="AK1933" i="1"/>
  <c r="C1934" i="1"/>
  <c r="H1934" i="1"/>
  <c r="I1934" i="1"/>
  <c r="J1934" i="1"/>
  <c r="K1934" i="1"/>
  <c r="M1934" i="1"/>
  <c r="P1934" i="1"/>
  <c r="R1934" i="1"/>
  <c r="S1934" i="1"/>
  <c r="T1934" i="1"/>
  <c r="U1934" i="1"/>
  <c r="X1934" i="1"/>
  <c r="Y1934" i="1"/>
  <c r="Z1934" i="1"/>
  <c r="AA1934" i="1"/>
  <c r="AB1934" i="1"/>
  <c r="AC1934" i="1"/>
  <c r="AD1934" i="1"/>
  <c r="AE1934" i="1"/>
  <c r="AF1934" i="1"/>
  <c r="AG1934" i="1"/>
  <c r="AH1934" i="1"/>
  <c r="AI1934" i="1"/>
  <c r="AJ1934" i="1"/>
  <c r="AK1934" i="1"/>
  <c r="C1935" i="1"/>
  <c r="H1935" i="1"/>
  <c r="I1935" i="1"/>
  <c r="J1935" i="1"/>
  <c r="K1935" i="1"/>
  <c r="M1935" i="1"/>
  <c r="P1935" i="1"/>
  <c r="R1935" i="1"/>
  <c r="S1935" i="1"/>
  <c r="T1935" i="1"/>
  <c r="U1935" i="1"/>
  <c r="X1935" i="1"/>
  <c r="Y1935" i="1"/>
  <c r="Z1935" i="1"/>
  <c r="AA1935" i="1"/>
  <c r="AB1935" i="1"/>
  <c r="AC1935" i="1"/>
  <c r="AD1935" i="1"/>
  <c r="AE1935" i="1"/>
  <c r="AF1935" i="1"/>
  <c r="AG1935" i="1"/>
  <c r="AH1935" i="1"/>
  <c r="AI1935" i="1"/>
  <c r="AJ1935" i="1"/>
  <c r="AK1935" i="1"/>
  <c r="C1936" i="1"/>
  <c r="H1936" i="1"/>
  <c r="I1936" i="1"/>
  <c r="J1936" i="1"/>
  <c r="K1936" i="1"/>
  <c r="M1936" i="1"/>
  <c r="P1936" i="1"/>
  <c r="R1936" i="1"/>
  <c r="S1936" i="1"/>
  <c r="T1936" i="1"/>
  <c r="U1936" i="1"/>
  <c r="X1936" i="1"/>
  <c r="Y1936" i="1"/>
  <c r="Z1936" i="1"/>
  <c r="AA1936" i="1"/>
  <c r="AB1936" i="1"/>
  <c r="AC1936" i="1"/>
  <c r="AD1936" i="1"/>
  <c r="AE1936" i="1"/>
  <c r="AF1936" i="1"/>
  <c r="AG1936" i="1"/>
  <c r="AH1936" i="1"/>
  <c r="AI1936" i="1"/>
  <c r="AJ1936" i="1"/>
  <c r="AK1936" i="1"/>
  <c r="C1937" i="1"/>
  <c r="H1937" i="1"/>
  <c r="I1937" i="1"/>
  <c r="J1937" i="1"/>
  <c r="K1937" i="1"/>
  <c r="M1937" i="1"/>
  <c r="P1937" i="1"/>
  <c r="R1937" i="1"/>
  <c r="S1937" i="1"/>
  <c r="T1937" i="1"/>
  <c r="U1937" i="1"/>
  <c r="X1937" i="1"/>
  <c r="Y1937" i="1"/>
  <c r="Z1937" i="1"/>
  <c r="AA1937" i="1"/>
  <c r="AB1937" i="1"/>
  <c r="AC1937" i="1"/>
  <c r="AD1937" i="1"/>
  <c r="AE1937" i="1"/>
  <c r="AF1937" i="1"/>
  <c r="AG1937" i="1"/>
  <c r="AH1937" i="1"/>
  <c r="AI1937" i="1"/>
  <c r="AJ1937" i="1"/>
  <c r="AK1937" i="1"/>
  <c r="C1938" i="1"/>
  <c r="H1938" i="1"/>
  <c r="I1938" i="1"/>
  <c r="J1938" i="1"/>
  <c r="K1938" i="1"/>
  <c r="M1938" i="1"/>
  <c r="P1938" i="1"/>
  <c r="R1938" i="1"/>
  <c r="S1938" i="1"/>
  <c r="T1938" i="1"/>
  <c r="U1938" i="1"/>
  <c r="X1938" i="1"/>
  <c r="Y1938" i="1"/>
  <c r="Z1938" i="1"/>
  <c r="AA1938" i="1"/>
  <c r="AB1938" i="1"/>
  <c r="AC1938" i="1"/>
  <c r="AD1938" i="1"/>
  <c r="AE1938" i="1"/>
  <c r="AF1938" i="1"/>
  <c r="AG1938" i="1"/>
  <c r="AH1938" i="1"/>
  <c r="AI1938" i="1"/>
  <c r="AJ1938" i="1"/>
  <c r="AK1938" i="1"/>
  <c r="C1939" i="1"/>
  <c r="H1939" i="1"/>
  <c r="I1939" i="1"/>
  <c r="J1939" i="1"/>
  <c r="K1939" i="1"/>
  <c r="M1939" i="1"/>
  <c r="P1939" i="1"/>
  <c r="R1939" i="1"/>
  <c r="S1939" i="1"/>
  <c r="T1939" i="1"/>
  <c r="U1939" i="1"/>
  <c r="X1939" i="1"/>
  <c r="Y1939" i="1"/>
  <c r="Z1939" i="1"/>
  <c r="AA1939" i="1"/>
  <c r="AB1939" i="1"/>
  <c r="AC1939" i="1"/>
  <c r="AD1939" i="1"/>
  <c r="AE1939" i="1"/>
  <c r="AF1939" i="1"/>
  <c r="AG1939" i="1"/>
  <c r="AH1939" i="1"/>
  <c r="AI1939" i="1"/>
  <c r="AJ1939" i="1"/>
  <c r="AK1939" i="1"/>
  <c r="C1940" i="1"/>
  <c r="H1940" i="1"/>
  <c r="I1940" i="1"/>
  <c r="J1940" i="1"/>
  <c r="K1940" i="1"/>
  <c r="M1940" i="1"/>
  <c r="P1940" i="1"/>
  <c r="R1940" i="1"/>
  <c r="S1940" i="1"/>
  <c r="T1940" i="1"/>
  <c r="U1940" i="1"/>
  <c r="X1940" i="1"/>
  <c r="Y1940" i="1"/>
  <c r="Z1940" i="1"/>
  <c r="AA1940" i="1"/>
  <c r="AB1940" i="1"/>
  <c r="AC1940" i="1"/>
  <c r="AD1940" i="1"/>
  <c r="AE1940" i="1"/>
  <c r="AF1940" i="1"/>
  <c r="AG1940" i="1"/>
  <c r="AH1940" i="1"/>
  <c r="AI1940" i="1"/>
  <c r="AJ1940" i="1"/>
  <c r="AK1940" i="1"/>
  <c r="C1941" i="1"/>
  <c r="H1941" i="1"/>
  <c r="I1941" i="1"/>
  <c r="J1941" i="1"/>
  <c r="K1941" i="1"/>
  <c r="M1941" i="1"/>
  <c r="P1941" i="1"/>
  <c r="R1941" i="1"/>
  <c r="S1941" i="1"/>
  <c r="T1941" i="1"/>
  <c r="U1941" i="1"/>
  <c r="X1941" i="1"/>
  <c r="Y1941" i="1"/>
  <c r="Z1941" i="1"/>
  <c r="AA1941" i="1"/>
  <c r="AB1941" i="1"/>
  <c r="AC1941" i="1"/>
  <c r="AD1941" i="1"/>
  <c r="AE1941" i="1"/>
  <c r="AF1941" i="1"/>
  <c r="AG1941" i="1"/>
  <c r="AH1941" i="1"/>
  <c r="AI1941" i="1"/>
  <c r="AJ1941" i="1"/>
  <c r="AK1941" i="1"/>
  <c r="C1922" i="1"/>
  <c r="H1922" i="1"/>
  <c r="I1922" i="1"/>
  <c r="J1922" i="1"/>
  <c r="K1922" i="1"/>
  <c r="M1922" i="1"/>
  <c r="P1922" i="1"/>
  <c r="R1922" i="1"/>
  <c r="S1922" i="1"/>
  <c r="T1922" i="1"/>
  <c r="U1922" i="1"/>
  <c r="X1922" i="1"/>
  <c r="Y1922" i="1"/>
  <c r="Z1922" i="1"/>
  <c r="AA1922" i="1"/>
  <c r="AB1922" i="1"/>
  <c r="AC1922" i="1"/>
  <c r="AD1922" i="1"/>
  <c r="AE1922" i="1"/>
  <c r="AF1922" i="1"/>
  <c r="AG1922" i="1"/>
  <c r="AH1922" i="1"/>
  <c r="AI1922" i="1"/>
  <c r="AJ1922" i="1"/>
  <c r="AK1922" i="1"/>
  <c r="C1923" i="1"/>
  <c r="H1923" i="1"/>
  <c r="I1923" i="1"/>
  <c r="J1923" i="1"/>
  <c r="K1923" i="1"/>
  <c r="M1923" i="1"/>
  <c r="P1923" i="1"/>
  <c r="R1923" i="1"/>
  <c r="S1923" i="1"/>
  <c r="T1923" i="1"/>
  <c r="U1923" i="1"/>
  <c r="X1923" i="1"/>
  <c r="Y1923" i="1"/>
  <c r="Z1923" i="1"/>
  <c r="AA1923" i="1"/>
  <c r="AB1923" i="1"/>
  <c r="AC1923" i="1"/>
  <c r="AD1923" i="1"/>
  <c r="AE1923" i="1"/>
  <c r="AF1923" i="1"/>
  <c r="AG1923" i="1"/>
  <c r="AH1923" i="1"/>
  <c r="AI1923" i="1"/>
  <c r="AJ1923" i="1"/>
  <c r="AK1923" i="1"/>
  <c r="C1924" i="1"/>
  <c r="H1924" i="1"/>
  <c r="I1924" i="1"/>
  <c r="J1924" i="1"/>
  <c r="K1924" i="1"/>
  <c r="M1924" i="1"/>
  <c r="P1924" i="1"/>
  <c r="R1924" i="1"/>
  <c r="S1924" i="1"/>
  <c r="T1924" i="1"/>
  <c r="U1924" i="1"/>
  <c r="X1924" i="1"/>
  <c r="Y1924" i="1"/>
  <c r="Z1924" i="1"/>
  <c r="AA1924" i="1"/>
  <c r="AB1924" i="1"/>
  <c r="AC1924" i="1"/>
  <c r="AD1924" i="1"/>
  <c r="AE1924" i="1"/>
  <c r="AF1924" i="1"/>
  <c r="AG1924" i="1"/>
  <c r="AH1924" i="1"/>
  <c r="AI1924" i="1"/>
  <c r="AJ1924" i="1"/>
  <c r="AK1924" i="1"/>
  <c r="C1925" i="1"/>
  <c r="H1925" i="1"/>
  <c r="I1925" i="1"/>
  <c r="J1925" i="1"/>
  <c r="K1925" i="1"/>
  <c r="M1925" i="1"/>
  <c r="P1925" i="1"/>
  <c r="R1925" i="1"/>
  <c r="S1925" i="1"/>
  <c r="T1925" i="1"/>
  <c r="U1925" i="1"/>
  <c r="X1925" i="1"/>
  <c r="Y1925" i="1"/>
  <c r="Z1925" i="1"/>
  <c r="AA1925" i="1"/>
  <c r="AB1925" i="1"/>
  <c r="AC1925" i="1"/>
  <c r="AD1925" i="1"/>
  <c r="AE1925" i="1"/>
  <c r="AF1925" i="1"/>
  <c r="AG1925" i="1"/>
  <c r="AH1925" i="1"/>
  <c r="AI1925" i="1"/>
  <c r="AJ1925" i="1"/>
  <c r="AK1925" i="1"/>
  <c r="C1926" i="1"/>
  <c r="H1926" i="1"/>
  <c r="I1926" i="1"/>
  <c r="J1926" i="1"/>
  <c r="K1926" i="1"/>
  <c r="M1926" i="1"/>
  <c r="P1926" i="1"/>
  <c r="R1926" i="1"/>
  <c r="S1926" i="1"/>
  <c r="T1926" i="1"/>
  <c r="U1926" i="1"/>
  <c r="X1926" i="1"/>
  <c r="Y1926" i="1"/>
  <c r="Z1926" i="1"/>
  <c r="AA1926" i="1"/>
  <c r="AB1926" i="1"/>
  <c r="AC1926" i="1"/>
  <c r="AD1926" i="1"/>
  <c r="AE1926" i="1"/>
  <c r="AF1926" i="1"/>
  <c r="AG1926" i="1"/>
  <c r="AH1926" i="1"/>
  <c r="AI1926" i="1"/>
  <c r="AJ1926" i="1"/>
  <c r="AK1926" i="1"/>
  <c r="C1927" i="1"/>
  <c r="H1927" i="1"/>
  <c r="I1927" i="1"/>
  <c r="J1927" i="1"/>
  <c r="K1927" i="1"/>
  <c r="M1927" i="1"/>
  <c r="P1927" i="1"/>
  <c r="R1927" i="1"/>
  <c r="S1927" i="1"/>
  <c r="T1927" i="1"/>
  <c r="U1927" i="1"/>
  <c r="X1927" i="1"/>
  <c r="Y1927" i="1"/>
  <c r="Z1927" i="1"/>
  <c r="AA1927" i="1"/>
  <c r="AB1927" i="1"/>
  <c r="AC1927" i="1"/>
  <c r="AD1927" i="1"/>
  <c r="AE1927" i="1"/>
  <c r="AF1927" i="1"/>
  <c r="AG1927" i="1"/>
  <c r="AH1927" i="1"/>
  <c r="AI1927" i="1"/>
  <c r="AJ1927" i="1"/>
  <c r="AK1927" i="1"/>
  <c r="C1928" i="1"/>
  <c r="H1928" i="1"/>
  <c r="I1928" i="1"/>
  <c r="J1928" i="1"/>
  <c r="K1928" i="1"/>
  <c r="M1928" i="1"/>
  <c r="P1928" i="1"/>
  <c r="R1928" i="1"/>
  <c r="S1928" i="1"/>
  <c r="T1928" i="1"/>
  <c r="U1928" i="1"/>
  <c r="X1928" i="1"/>
  <c r="Y1928" i="1"/>
  <c r="Z1928" i="1"/>
  <c r="AA1928" i="1"/>
  <c r="AB1928" i="1"/>
  <c r="AC1928" i="1"/>
  <c r="AD1928" i="1"/>
  <c r="AE1928" i="1"/>
  <c r="AF1928" i="1"/>
  <c r="AG1928" i="1"/>
  <c r="AH1928" i="1"/>
  <c r="AI1928" i="1"/>
  <c r="AJ1928" i="1"/>
  <c r="AK1928" i="1"/>
  <c r="C1929" i="1"/>
  <c r="H1929" i="1"/>
  <c r="I1929" i="1"/>
  <c r="J1929" i="1"/>
  <c r="K1929" i="1"/>
  <c r="M1929" i="1"/>
  <c r="P1929" i="1"/>
  <c r="R1929" i="1"/>
  <c r="S1929" i="1"/>
  <c r="T1929" i="1"/>
  <c r="U1929" i="1"/>
  <c r="X1929" i="1"/>
  <c r="Y1929" i="1"/>
  <c r="Z1929" i="1"/>
  <c r="AA1929" i="1"/>
  <c r="AB1929" i="1"/>
  <c r="AC1929" i="1"/>
  <c r="AD1929" i="1"/>
  <c r="AE1929" i="1"/>
  <c r="AF1929" i="1"/>
  <c r="AG1929" i="1"/>
  <c r="AH1929" i="1"/>
  <c r="AI1929" i="1"/>
  <c r="AJ1929" i="1"/>
  <c r="AK1929" i="1"/>
  <c r="C1930" i="1"/>
  <c r="H1930" i="1"/>
  <c r="I1930" i="1"/>
  <c r="J1930" i="1"/>
  <c r="K1930" i="1"/>
  <c r="M1930" i="1"/>
  <c r="P1930" i="1"/>
  <c r="R1930" i="1"/>
  <c r="S1930" i="1"/>
  <c r="T1930" i="1"/>
  <c r="U1930" i="1"/>
  <c r="X1930" i="1"/>
  <c r="Y1930" i="1"/>
  <c r="Z1930" i="1"/>
  <c r="AA1930" i="1"/>
  <c r="AB1930" i="1"/>
  <c r="AC1930" i="1"/>
  <c r="AD1930" i="1"/>
  <c r="AE1930" i="1"/>
  <c r="AF1930" i="1"/>
  <c r="AG1930" i="1"/>
  <c r="AH1930" i="1"/>
  <c r="AI1930" i="1"/>
  <c r="AJ1930" i="1"/>
  <c r="AK1930" i="1"/>
  <c r="C1931" i="1"/>
  <c r="H1931" i="1"/>
  <c r="I1931" i="1"/>
  <c r="J1931" i="1"/>
  <c r="K1931" i="1"/>
  <c r="M1931" i="1"/>
  <c r="P1931" i="1"/>
  <c r="R1931" i="1"/>
  <c r="S1931" i="1"/>
  <c r="T1931" i="1"/>
  <c r="U1931" i="1"/>
  <c r="X1931" i="1"/>
  <c r="Y1931" i="1"/>
  <c r="Z1931" i="1"/>
  <c r="AA1931" i="1"/>
  <c r="AB1931" i="1"/>
  <c r="AC1931" i="1"/>
  <c r="AD1931" i="1"/>
  <c r="AE1931" i="1"/>
  <c r="AF1931" i="1"/>
  <c r="AG1931" i="1"/>
  <c r="AH1931" i="1"/>
  <c r="AI1931" i="1"/>
  <c r="AJ1931" i="1"/>
  <c r="AK1931" i="1"/>
  <c r="C1912" i="1"/>
  <c r="H1912" i="1"/>
  <c r="I1912" i="1"/>
  <c r="J1912" i="1"/>
  <c r="K1912" i="1"/>
  <c r="M1912" i="1"/>
  <c r="P1912" i="1"/>
  <c r="R1912" i="1"/>
  <c r="S1912" i="1"/>
  <c r="T1912" i="1"/>
  <c r="U1912" i="1"/>
  <c r="X1912" i="1"/>
  <c r="Y1912" i="1"/>
  <c r="Z1912" i="1"/>
  <c r="AA1912" i="1"/>
  <c r="AB1912" i="1"/>
  <c r="AC1912" i="1"/>
  <c r="AD1912" i="1"/>
  <c r="AE1912" i="1"/>
  <c r="AF1912" i="1"/>
  <c r="AG1912" i="1"/>
  <c r="AH1912" i="1"/>
  <c r="AI1912" i="1"/>
  <c r="AJ1912" i="1"/>
  <c r="AK1912" i="1"/>
  <c r="C1913" i="1"/>
  <c r="H1913" i="1"/>
  <c r="I1913" i="1"/>
  <c r="J1913" i="1"/>
  <c r="K1913" i="1"/>
  <c r="M1913" i="1"/>
  <c r="P1913" i="1"/>
  <c r="R1913" i="1"/>
  <c r="S1913" i="1"/>
  <c r="T1913" i="1"/>
  <c r="U1913" i="1"/>
  <c r="X1913" i="1"/>
  <c r="Y1913" i="1"/>
  <c r="Z1913" i="1"/>
  <c r="AA1913" i="1"/>
  <c r="AB1913" i="1"/>
  <c r="AC1913" i="1"/>
  <c r="AD1913" i="1"/>
  <c r="AE1913" i="1"/>
  <c r="AF1913" i="1"/>
  <c r="AG1913" i="1"/>
  <c r="AH1913" i="1"/>
  <c r="AI1913" i="1"/>
  <c r="AJ1913" i="1"/>
  <c r="AK1913" i="1"/>
  <c r="C1914" i="1"/>
  <c r="H1914" i="1"/>
  <c r="I1914" i="1"/>
  <c r="J1914" i="1"/>
  <c r="K1914" i="1"/>
  <c r="M1914" i="1"/>
  <c r="P1914" i="1"/>
  <c r="R1914" i="1"/>
  <c r="S1914" i="1"/>
  <c r="T1914" i="1"/>
  <c r="U1914" i="1"/>
  <c r="X1914" i="1"/>
  <c r="Y1914" i="1"/>
  <c r="Z1914" i="1"/>
  <c r="AA1914" i="1"/>
  <c r="AB1914" i="1"/>
  <c r="AC1914" i="1"/>
  <c r="AD1914" i="1"/>
  <c r="AE1914" i="1"/>
  <c r="AF1914" i="1"/>
  <c r="AG1914" i="1"/>
  <c r="AH1914" i="1"/>
  <c r="AI1914" i="1"/>
  <c r="AJ1914" i="1"/>
  <c r="AK1914" i="1"/>
  <c r="C1915" i="1"/>
  <c r="H1915" i="1"/>
  <c r="I1915" i="1"/>
  <c r="J1915" i="1"/>
  <c r="K1915" i="1"/>
  <c r="M1915" i="1"/>
  <c r="P1915" i="1"/>
  <c r="R1915" i="1"/>
  <c r="S1915" i="1"/>
  <c r="T1915" i="1"/>
  <c r="U1915" i="1"/>
  <c r="X1915" i="1"/>
  <c r="Y1915" i="1"/>
  <c r="Z1915" i="1"/>
  <c r="AA1915" i="1"/>
  <c r="AB1915" i="1"/>
  <c r="AC1915" i="1"/>
  <c r="AD1915" i="1"/>
  <c r="AE1915" i="1"/>
  <c r="AF1915" i="1"/>
  <c r="AG1915" i="1"/>
  <c r="AH1915" i="1"/>
  <c r="AI1915" i="1"/>
  <c r="AJ1915" i="1"/>
  <c r="AK1915" i="1"/>
  <c r="C1916" i="1"/>
  <c r="H1916" i="1"/>
  <c r="I1916" i="1"/>
  <c r="J1916" i="1"/>
  <c r="K1916" i="1"/>
  <c r="M1916" i="1"/>
  <c r="P1916" i="1"/>
  <c r="R1916" i="1"/>
  <c r="S1916" i="1"/>
  <c r="T1916" i="1"/>
  <c r="U1916" i="1"/>
  <c r="X1916" i="1"/>
  <c r="Y1916" i="1"/>
  <c r="Z1916" i="1"/>
  <c r="AA1916" i="1"/>
  <c r="AB1916" i="1"/>
  <c r="AC1916" i="1"/>
  <c r="AD1916" i="1"/>
  <c r="AE1916" i="1"/>
  <c r="AF1916" i="1"/>
  <c r="AG1916" i="1"/>
  <c r="AH1916" i="1"/>
  <c r="AI1916" i="1"/>
  <c r="AJ1916" i="1"/>
  <c r="AK1916" i="1"/>
  <c r="C1917" i="1"/>
  <c r="H1917" i="1"/>
  <c r="I1917" i="1"/>
  <c r="J1917" i="1"/>
  <c r="K1917" i="1"/>
  <c r="M1917" i="1"/>
  <c r="P1917" i="1"/>
  <c r="R1917" i="1"/>
  <c r="S1917" i="1"/>
  <c r="T1917" i="1"/>
  <c r="U1917" i="1"/>
  <c r="X1917" i="1"/>
  <c r="Y1917" i="1"/>
  <c r="Z1917" i="1"/>
  <c r="AA1917" i="1"/>
  <c r="AB1917" i="1"/>
  <c r="AC1917" i="1"/>
  <c r="AD1917" i="1"/>
  <c r="AE1917" i="1"/>
  <c r="AF1917" i="1"/>
  <c r="AG1917" i="1"/>
  <c r="AH1917" i="1"/>
  <c r="AI1917" i="1"/>
  <c r="AJ1917" i="1"/>
  <c r="AK1917" i="1"/>
  <c r="C1918" i="1"/>
  <c r="H1918" i="1"/>
  <c r="I1918" i="1"/>
  <c r="J1918" i="1"/>
  <c r="K1918" i="1"/>
  <c r="M1918" i="1"/>
  <c r="P1918" i="1"/>
  <c r="R1918" i="1"/>
  <c r="S1918" i="1"/>
  <c r="T1918" i="1"/>
  <c r="U1918" i="1"/>
  <c r="X1918" i="1"/>
  <c r="Y1918" i="1"/>
  <c r="Z1918" i="1"/>
  <c r="AA1918" i="1"/>
  <c r="AB1918" i="1"/>
  <c r="AC1918" i="1"/>
  <c r="AD1918" i="1"/>
  <c r="AE1918" i="1"/>
  <c r="AF1918" i="1"/>
  <c r="AG1918" i="1"/>
  <c r="AH1918" i="1"/>
  <c r="AI1918" i="1"/>
  <c r="AJ1918" i="1"/>
  <c r="AK1918" i="1"/>
  <c r="C1919" i="1"/>
  <c r="H1919" i="1"/>
  <c r="I1919" i="1"/>
  <c r="J1919" i="1"/>
  <c r="K1919" i="1"/>
  <c r="M1919" i="1"/>
  <c r="P1919" i="1"/>
  <c r="R1919" i="1"/>
  <c r="S1919" i="1"/>
  <c r="T1919" i="1"/>
  <c r="U1919" i="1"/>
  <c r="X1919" i="1"/>
  <c r="Y1919" i="1"/>
  <c r="Z1919" i="1"/>
  <c r="AA1919" i="1"/>
  <c r="AB1919" i="1"/>
  <c r="AC1919" i="1"/>
  <c r="AD1919" i="1"/>
  <c r="AE1919" i="1"/>
  <c r="AF1919" i="1"/>
  <c r="AG1919" i="1"/>
  <c r="AH1919" i="1"/>
  <c r="AI1919" i="1"/>
  <c r="AJ1919" i="1"/>
  <c r="AK1919" i="1"/>
  <c r="C1920" i="1"/>
  <c r="H1920" i="1"/>
  <c r="I1920" i="1"/>
  <c r="J1920" i="1"/>
  <c r="K1920" i="1"/>
  <c r="M1920" i="1"/>
  <c r="P1920" i="1"/>
  <c r="R1920" i="1"/>
  <c r="S1920" i="1"/>
  <c r="T1920" i="1"/>
  <c r="U1920" i="1"/>
  <c r="X1920" i="1"/>
  <c r="Y1920" i="1"/>
  <c r="Z1920" i="1"/>
  <c r="AA1920" i="1"/>
  <c r="AB1920" i="1"/>
  <c r="AC1920" i="1"/>
  <c r="AD1920" i="1"/>
  <c r="AE1920" i="1"/>
  <c r="AF1920" i="1"/>
  <c r="AG1920" i="1"/>
  <c r="AH1920" i="1"/>
  <c r="AI1920" i="1"/>
  <c r="AJ1920" i="1"/>
  <c r="AK1920" i="1"/>
  <c r="C1921" i="1"/>
  <c r="H1921" i="1"/>
  <c r="I1921" i="1"/>
  <c r="J1921" i="1"/>
  <c r="K1921" i="1"/>
  <c r="M1921" i="1"/>
  <c r="P1921" i="1"/>
  <c r="R1921" i="1"/>
  <c r="S1921" i="1"/>
  <c r="T1921" i="1"/>
  <c r="U1921" i="1"/>
  <c r="X1921" i="1"/>
  <c r="Y1921" i="1"/>
  <c r="Z1921" i="1"/>
  <c r="AA1921" i="1"/>
  <c r="AB1921" i="1"/>
  <c r="AC1921" i="1"/>
  <c r="AD1921" i="1"/>
  <c r="AE1921" i="1"/>
  <c r="AF1921" i="1"/>
  <c r="AG1921" i="1"/>
  <c r="AH1921" i="1"/>
  <c r="AI1921" i="1"/>
  <c r="AJ1921" i="1"/>
  <c r="AK1921" i="1"/>
  <c r="C1902" i="1"/>
  <c r="H1902" i="1"/>
  <c r="I1902" i="1"/>
  <c r="J1902" i="1"/>
  <c r="K1902" i="1"/>
  <c r="M1902" i="1"/>
  <c r="P1902" i="1"/>
  <c r="R1902" i="1"/>
  <c r="S1902" i="1"/>
  <c r="T1902" i="1"/>
  <c r="U1902" i="1"/>
  <c r="X1902" i="1"/>
  <c r="Y1902" i="1"/>
  <c r="Z1902" i="1"/>
  <c r="AA1902" i="1"/>
  <c r="AB1902" i="1"/>
  <c r="AC1902" i="1"/>
  <c r="AD1902" i="1"/>
  <c r="AE1902" i="1"/>
  <c r="AF1902" i="1"/>
  <c r="AG1902" i="1"/>
  <c r="AH1902" i="1"/>
  <c r="AI1902" i="1"/>
  <c r="AJ1902" i="1"/>
  <c r="AK1902" i="1"/>
  <c r="C1903" i="1"/>
  <c r="H1903" i="1"/>
  <c r="I1903" i="1"/>
  <c r="J1903" i="1"/>
  <c r="K1903" i="1"/>
  <c r="M1903" i="1"/>
  <c r="P1903" i="1"/>
  <c r="R1903" i="1"/>
  <c r="S1903" i="1"/>
  <c r="T1903" i="1"/>
  <c r="U1903" i="1"/>
  <c r="X1903" i="1"/>
  <c r="Y1903" i="1"/>
  <c r="Z1903" i="1"/>
  <c r="AA1903" i="1"/>
  <c r="AB1903" i="1"/>
  <c r="AC1903" i="1"/>
  <c r="AD1903" i="1"/>
  <c r="AE1903" i="1"/>
  <c r="AF1903" i="1"/>
  <c r="AG1903" i="1"/>
  <c r="AH1903" i="1"/>
  <c r="AI1903" i="1"/>
  <c r="AJ1903" i="1"/>
  <c r="AK1903" i="1"/>
  <c r="C1904" i="1"/>
  <c r="H1904" i="1"/>
  <c r="I1904" i="1"/>
  <c r="J1904" i="1"/>
  <c r="K1904" i="1"/>
  <c r="M1904" i="1"/>
  <c r="P1904" i="1"/>
  <c r="R1904" i="1"/>
  <c r="S1904" i="1"/>
  <c r="T1904" i="1"/>
  <c r="U1904" i="1"/>
  <c r="X1904" i="1"/>
  <c r="Y1904" i="1"/>
  <c r="Z1904" i="1"/>
  <c r="AA1904" i="1"/>
  <c r="AB1904" i="1"/>
  <c r="AC1904" i="1"/>
  <c r="AD1904" i="1"/>
  <c r="AE1904" i="1"/>
  <c r="AF1904" i="1"/>
  <c r="AG1904" i="1"/>
  <c r="AH1904" i="1"/>
  <c r="AI1904" i="1"/>
  <c r="AJ1904" i="1"/>
  <c r="AK1904" i="1"/>
  <c r="C1905" i="1"/>
  <c r="H1905" i="1"/>
  <c r="I1905" i="1"/>
  <c r="J1905" i="1"/>
  <c r="K1905" i="1"/>
  <c r="M1905" i="1"/>
  <c r="P1905" i="1"/>
  <c r="R1905" i="1"/>
  <c r="S1905" i="1"/>
  <c r="T1905" i="1"/>
  <c r="U1905" i="1"/>
  <c r="X1905" i="1"/>
  <c r="Y1905" i="1"/>
  <c r="Z1905" i="1"/>
  <c r="AA1905" i="1"/>
  <c r="AB1905" i="1"/>
  <c r="AC1905" i="1"/>
  <c r="AD1905" i="1"/>
  <c r="AE1905" i="1"/>
  <c r="AF1905" i="1"/>
  <c r="AG1905" i="1"/>
  <c r="AH1905" i="1"/>
  <c r="AI1905" i="1"/>
  <c r="AJ1905" i="1"/>
  <c r="AK1905" i="1"/>
  <c r="C1906" i="1"/>
  <c r="H1906" i="1"/>
  <c r="I1906" i="1"/>
  <c r="J1906" i="1"/>
  <c r="K1906" i="1"/>
  <c r="M1906" i="1"/>
  <c r="P1906" i="1"/>
  <c r="R1906" i="1"/>
  <c r="S1906" i="1"/>
  <c r="T1906" i="1"/>
  <c r="U1906" i="1"/>
  <c r="X1906" i="1"/>
  <c r="Y1906" i="1"/>
  <c r="Z1906" i="1"/>
  <c r="AA1906" i="1"/>
  <c r="AB1906" i="1"/>
  <c r="AC1906" i="1"/>
  <c r="AD1906" i="1"/>
  <c r="AE1906" i="1"/>
  <c r="AF1906" i="1"/>
  <c r="AG1906" i="1"/>
  <c r="AH1906" i="1"/>
  <c r="AI1906" i="1"/>
  <c r="AJ1906" i="1"/>
  <c r="AK1906" i="1"/>
  <c r="C1907" i="1"/>
  <c r="H1907" i="1"/>
  <c r="I1907" i="1"/>
  <c r="J1907" i="1"/>
  <c r="K1907" i="1"/>
  <c r="M1907" i="1"/>
  <c r="P1907" i="1"/>
  <c r="R1907" i="1"/>
  <c r="S1907" i="1"/>
  <c r="T1907" i="1"/>
  <c r="U1907" i="1"/>
  <c r="X1907" i="1"/>
  <c r="Y1907" i="1"/>
  <c r="Z1907" i="1"/>
  <c r="AA1907" i="1"/>
  <c r="AB1907" i="1"/>
  <c r="AC1907" i="1"/>
  <c r="AD1907" i="1"/>
  <c r="AE1907" i="1"/>
  <c r="AF1907" i="1"/>
  <c r="AG1907" i="1"/>
  <c r="AH1907" i="1"/>
  <c r="AI1907" i="1"/>
  <c r="AJ1907" i="1"/>
  <c r="AK1907" i="1"/>
  <c r="C1908" i="1"/>
  <c r="H1908" i="1"/>
  <c r="I1908" i="1"/>
  <c r="J1908" i="1"/>
  <c r="K1908" i="1"/>
  <c r="M1908" i="1"/>
  <c r="P1908" i="1"/>
  <c r="R1908" i="1"/>
  <c r="S1908" i="1"/>
  <c r="T1908" i="1"/>
  <c r="U1908" i="1"/>
  <c r="X1908" i="1"/>
  <c r="Y1908" i="1"/>
  <c r="Z1908" i="1"/>
  <c r="AA1908" i="1"/>
  <c r="AB1908" i="1"/>
  <c r="AC1908" i="1"/>
  <c r="AD1908" i="1"/>
  <c r="AE1908" i="1"/>
  <c r="AF1908" i="1"/>
  <c r="AG1908" i="1"/>
  <c r="AH1908" i="1"/>
  <c r="AI1908" i="1"/>
  <c r="AJ1908" i="1"/>
  <c r="AK1908" i="1"/>
  <c r="C1909" i="1"/>
  <c r="H1909" i="1"/>
  <c r="I1909" i="1"/>
  <c r="J1909" i="1"/>
  <c r="K1909" i="1"/>
  <c r="M1909" i="1"/>
  <c r="P1909" i="1"/>
  <c r="R1909" i="1"/>
  <c r="S1909" i="1"/>
  <c r="T1909" i="1"/>
  <c r="U1909" i="1"/>
  <c r="X1909" i="1"/>
  <c r="Y1909" i="1"/>
  <c r="Z1909" i="1"/>
  <c r="AA1909" i="1"/>
  <c r="AB1909" i="1"/>
  <c r="AC1909" i="1"/>
  <c r="AD1909" i="1"/>
  <c r="AE1909" i="1"/>
  <c r="AF1909" i="1"/>
  <c r="AG1909" i="1"/>
  <c r="AH1909" i="1"/>
  <c r="AI1909" i="1"/>
  <c r="AJ1909" i="1"/>
  <c r="AK1909" i="1"/>
  <c r="C1910" i="1"/>
  <c r="H1910" i="1"/>
  <c r="I1910" i="1"/>
  <c r="J1910" i="1"/>
  <c r="K1910" i="1"/>
  <c r="M1910" i="1"/>
  <c r="P1910" i="1"/>
  <c r="R1910" i="1"/>
  <c r="S1910" i="1"/>
  <c r="T1910" i="1"/>
  <c r="U1910" i="1"/>
  <c r="X1910" i="1"/>
  <c r="Y1910" i="1"/>
  <c r="Z1910" i="1"/>
  <c r="AA1910" i="1"/>
  <c r="AB1910" i="1"/>
  <c r="AC1910" i="1"/>
  <c r="AD1910" i="1"/>
  <c r="AE1910" i="1"/>
  <c r="AF1910" i="1"/>
  <c r="AG1910" i="1"/>
  <c r="AH1910" i="1"/>
  <c r="AI1910" i="1"/>
  <c r="AJ1910" i="1"/>
  <c r="AK1910" i="1"/>
  <c r="C1911" i="1"/>
  <c r="H1911" i="1"/>
  <c r="I1911" i="1"/>
  <c r="J1911" i="1"/>
  <c r="K1911" i="1"/>
  <c r="M1911" i="1"/>
  <c r="P1911" i="1"/>
  <c r="R1911" i="1"/>
  <c r="S1911" i="1"/>
  <c r="T1911" i="1"/>
  <c r="U1911" i="1"/>
  <c r="X1911" i="1"/>
  <c r="Y1911" i="1"/>
  <c r="Z1911" i="1"/>
  <c r="AA1911" i="1"/>
  <c r="AB1911" i="1"/>
  <c r="AC1911" i="1"/>
  <c r="AD1911" i="1"/>
  <c r="AE1911" i="1"/>
  <c r="AF1911" i="1"/>
  <c r="AG1911" i="1"/>
  <c r="AH1911" i="1"/>
  <c r="AI1911" i="1"/>
  <c r="AJ1911" i="1"/>
  <c r="AK1911" i="1"/>
  <c r="C1892" i="1"/>
  <c r="H1892" i="1"/>
  <c r="I1892" i="1"/>
  <c r="J1892" i="1"/>
  <c r="K1892" i="1"/>
  <c r="M1892" i="1"/>
  <c r="P1892" i="1"/>
  <c r="R1892" i="1"/>
  <c r="S1892" i="1"/>
  <c r="T1892" i="1"/>
  <c r="U1892" i="1"/>
  <c r="X1892" i="1"/>
  <c r="Y1892" i="1"/>
  <c r="Z1892" i="1"/>
  <c r="AA1892" i="1"/>
  <c r="AB1892" i="1"/>
  <c r="AC1892" i="1"/>
  <c r="AD1892" i="1"/>
  <c r="AE1892" i="1"/>
  <c r="AF1892" i="1"/>
  <c r="AG1892" i="1"/>
  <c r="AH1892" i="1"/>
  <c r="AI1892" i="1"/>
  <c r="AJ1892" i="1"/>
  <c r="AK1892" i="1"/>
  <c r="C1893" i="1"/>
  <c r="H1893" i="1"/>
  <c r="I1893" i="1"/>
  <c r="J1893" i="1"/>
  <c r="K1893" i="1"/>
  <c r="M1893" i="1"/>
  <c r="P1893" i="1"/>
  <c r="R1893" i="1"/>
  <c r="S1893" i="1"/>
  <c r="T1893" i="1"/>
  <c r="U1893" i="1"/>
  <c r="X1893" i="1"/>
  <c r="Y1893" i="1"/>
  <c r="Z1893" i="1"/>
  <c r="AA1893" i="1"/>
  <c r="AB1893" i="1"/>
  <c r="AC1893" i="1"/>
  <c r="AD1893" i="1"/>
  <c r="AE1893" i="1"/>
  <c r="AF1893" i="1"/>
  <c r="AG1893" i="1"/>
  <c r="AH1893" i="1"/>
  <c r="AI1893" i="1"/>
  <c r="AJ1893" i="1"/>
  <c r="AK1893" i="1"/>
  <c r="C1894" i="1"/>
  <c r="H1894" i="1"/>
  <c r="I1894" i="1"/>
  <c r="J1894" i="1"/>
  <c r="K1894" i="1"/>
  <c r="M1894" i="1"/>
  <c r="P1894" i="1"/>
  <c r="R1894" i="1"/>
  <c r="S1894" i="1"/>
  <c r="T1894" i="1"/>
  <c r="U1894" i="1"/>
  <c r="X1894" i="1"/>
  <c r="Y1894" i="1"/>
  <c r="Z1894" i="1"/>
  <c r="AA1894" i="1"/>
  <c r="AB1894" i="1"/>
  <c r="AC1894" i="1"/>
  <c r="AD1894" i="1"/>
  <c r="AE1894" i="1"/>
  <c r="AF1894" i="1"/>
  <c r="AG1894" i="1"/>
  <c r="AH1894" i="1"/>
  <c r="AI1894" i="1"/>
  <c r="AJ1894" i="1"/>
  <c r="AK1894" i="1"/>
  <c r="C1895" i="1"/>
  <c r="H1895" i="1"/>
  <c r="I1895" i="1"/>
  <c r="J1895" i="1"/>
  <c r="K1895" i="1"/>
  <c r="M1895" i="1"/>
  <c r="P1895" i="1"/>
  <c r="R1895" i="1"/>
  <c r="S1895" i="1"/>
  <c r="T1895" i="1"/>
  <c r="U1895" i="1"/>
  <c r="X1895" i="1"/>
  <c r="Y1895" i="1"/>
  <c r="Z1895" i="1"/>
  <c r="AA1895" i="1"/>
  <c r="AB1895" i="1"/>
  <c r="AC1895" i="1"/>
  <c r="AD1895" i="1"/>
  <c r="AE1895" i="1"/>
  <c r="AF1895" i="1"/>
  <c r="AG1895" i="1"/>
  <c r="AH1895" i="1"/>
  <c r="AI1895" i="1"/>
  <c r="AJ1895" i="1"/>
  <c r="AK1895" i="1"/>
  <c r="C1896" i="1"/>
  <c r="H1896" i="1"/>
  <c r="I1896" i="1"/>
  <c r="J1896" i="1"/>
  <c r="K1896" i="1"/>
  <c r="M1896" i="1"/>
  <c r="P1896" i="1"/>
  <c r="R1896" i="1"/>
  <c r="S1896" i="1"/>
  <c r="T1896" i="1"/>
  <c r="U1896" i="1"/>
  <c r="X1896" i="1"/>
  <c r="Y1896" i="1"/>
  <c r="Z1896" i="1"/>
  <c r="AA1896" i="1"/>
  <c r="AB1896" i="1"/>
  <c r="AC1896" i="1"/>
  <c r="AD1896" i="1"/>
  <c r="AE1896" i="1"/>
  <c r="AF1896" i="1"/>
  <c r="AG1896" i="1"/>
  <c r="AH1896" i="1"/>
  <c r="AI1896" i="1"/>
  <c r="AJ1896" i="1"/>
  <c r="AK1896" i="1"/>
  <c r="C1897" i="1"/>
  <c r="H1897" i="1"/>
  <c r="I1897" i="1"/>
  <c r="J1897" i="1"/>
  <c r="K1897" i="1"/>
  <c r="M1897" i="1"/>
  <c r="P1897" i="1"/>
  <c r="R1897" i="1"/>
  <c r="S1897" i="1"/>
  <c r="T1897" i="1"/>
  <c r="U1897" i="1"/>
  <c r="X1897" i="1"/>
  <c r="Y1897" i="1"/>
  <c r="Z1897" i="1"/>
  <c r="AA1897" i="1"/>
  <c r="AB1897" i="1"/>
  <c r="AC1897" i="1"/>
  <c r="AD1897" i="1"/>
  <c r="AE1897" i="1"/>
  <c r="AF1897" i="1"/>
  <c r="AG1897" i="1"/>
  <c r="AH1897" i="1"/>
  <c r="AI1897" i="1"/>
  <c r="AJ1897" i="1"/>
  <c r="AK1897" i="1"/>
  <c r="C1898" i="1"/>
  <c r="H1898" i="1"/>
  <c r="I1898" i="1"/>
  <c r="J1898" i="1"/>
  <c r="K1898" i="1"/>
  <c r="M1898" i="1"/>
  <c r="P1898" i="1"/>
  <c r="R1898" i="1"/>
  <c r="S1898" i="1"/>
  <c r="T1898" i="1"/>
  <c r="U1898" i="1"/>
  <c r="X1898" i="1"/>
  <c r="Y1898" i="1"/>
  <c r="Z1898" i="1"/>
  <c r="AA1898" i="1"/>
  <c r="AB1898" i="1"/>
  <c r="AC1898" i="1"/>
  <c r="AD1898" i="1"/>
  <c r="AE1898" i="1"/>
  <c r="AF1898" i="1"/>
  <c r="AG1898" i="1"/>
  <c r="AH1898" i="1"/>
  <c r="AI1898" i="1"/>
  <c r="AJ1898" i="1"/>
  <c r="AK1898" i="1"/>
  <c r="C1899" i="1"/>
  <c r="H1899" i="1"/>
  <c r="I1899" i="1"/>
  <c r="J1899" i="1"/>
  <c r="K1899" i="1"/>
  <c r="M1899" i="1"/>
  <c r="P1899" i="1"/>
  <c r="R1899" i="1"/>
  <c r="S1899" i="1"/>
  <c r="T1899" i="1"/>
  <c r="U1899" i="1"/>
  <c r="X1899" i="1"/>
  <c r="Y1899" i="1"/>
  <c r="Z1899" i="1"/>
  <c r="AA1899" i="1"/>
  <c r="AB1899" i="1"/>
  <c r="AC1899" i="1"/>
  <c r="AD1899" i="1"/>
  <c r="AE1899" i="1"/>
  <c r="AF1899" i="1"/>
  <c r="AG1899" i="1"/>
  <c r="AH1899" i="1"/>
  <c r="AI1899" i="1"/>
  <c r="AJ1899" i="1"/>
  <c r="AK1899" i="1"/>
  <c r="C1900" i="1"/>
  <c r="H1900" i="1"/>
  <c r="I1900" i="1"/>
  <c r="J1900" i="1"/>
  <c r="K1900" i="1"/>
  <c r="M1900" i="1"/>
  <c r="P1900" i="1"/>
  <c r="R1900" i="1"/>
  <c r="S1900" i="1"/>
  <c r="T1900" i="1"/>
  <c r="U1900" i="1"/>
  <c r="X1900" i="1"/>
  <c r="Y1900" i="1"/>
  <c r="Z1900" i="1"/>
  <c r="AA1900" i="1"/>
  <c r="AB1900" i="1"/>
  <c r="AC1900" i="1"/>
  <c r="AD1900" i="1"/>
  <c r="AE1900" i="1"/>
  <c r="AF1900" i="1"/>
  <c r="AG1900" i="1"/>
  <c r="AH1900" i="1"/>
  <c r="AI1900" i="1"/>
  <c r="AJ1900" i="1"/>
  <c r="AK1900" i="1"/>
  <c r="C1901" i="1"/>
  <c r="H1901" i="1"/>
  <c r="I1901" i="1"/>
  <c r="J1901" i="1"/>
  <c r="K1901" i="1"/>
  <c r="M1901" i="1"/>
  <c r="P1901" i="1"/>
  <c r="R1901" i="1"/>
  <c r="S1901" i="1"/>
  <c r="T1901" i="1"/>
  <c r="U1901" i="1"/>
  <c r="X1901" i="1"/>
  <c r="Y1901" i="1"/>
  <c r="Z1901" i="1"/>
  <c r="AA1901" i="1"/>
  <c r="AB1901" i="1"/>
  <c r="AC1901" i="1"/>
  <c r="AD1901" i="1"/>
  <c r="AE1901" i="1"/>
  <c r="AF1901" i="1"/>
  <c r="AG1901" i="1"/>
  <c r="AH1901" i="1"/>
  <c r="AI1901" i="1"/>
  <c r="AJ1901" i="1"/>
  <c r="AK1901" i="1"/>
  <c r="C1882" i="1"/>
  <c r="H1882" i="1"/>
  <c r="I1882" i="1"/>
  <c r="J1882" i="1"/>
  <c r="K1882" i="1"/>
  <c r="M1882" i="1"/>
  <c r="P1882" i="1"/>
  <c r="R1882" i="1"/>
  <c r="S1882" i="1"/>
  <c r="T1882" i="1"/>
  <c r="U1882" i="1"/>
  <c r="X1882" i="1"/>
  <c r="Y1882" i="1"/>
  <c r="Z1882" i="1"/>
  <c r="AA1882" i="1"/>
  <c r="AB1882" i="1"/>
  <c r="AC1882" i="1"/>
  <c r="AD1882" i="1"/>
  <c r="AE1882" i="1"/>
  <c r="AF1882" i="1"/>
  <c r="AG1882" i="1"/>
  <c r="AH1882" i="1"/>
  <c r="AI1882" i="1"/>
  <c r="AJ1882" i="1"/>
  <c r="AK1882" i="1"/>
  <c r="C1883" i="1"/>
  <c r="H1883" i="1"/>
  <c r="I1883" i="1"/>
  <c r="J1883" i="1"/>
  <c r="K1883" i="1"/>
  <c r="M1883" i="1"/>
  <c r="P1883" i="1"/>
  <c r="R1883" i="1"/>
  <c r="S1883" i="1"/>
  <c r="T1883" i="1"/>
  <c r="U1883" i="1"/>
  <c r="X1883" i="1"/>
  <c r="Y1883" i="1"/>
  <c r="Z1883" i="1"/>
  <c r="AA1883" i="1"/>
  <c r="AB1883" i="1"/>
  <c r="AC1883" i="1"/>
  <c r="AD1883" i="1"/>
  <c r="AE1883" i="1"/>
  <c r="AF1883" i="1"/>
  <c r="AG1883" i="1"/>
  <c r="AH1883" i="1"/>
  <c r="AI1883" i="1"/>
  <c r="AJ1883" i="1"/>
  <c r="AK1883" i="1"/>
  <c r="C1884" i="1"/>
  <c r="H1884" i="1"/>
  <c r="I1884" i="1"/>
  <c r="J1884" i="1"/>
  <c r="K1884" i="1"/>
  <c r="M1884" i="1"/>
  <c r="P1884" i="1"/>
  <c r="R1884" i="1"/>
  <c r="S1884" i="1"/>
  <c r="T1884" i="1"/>
  <c r="U1884" i="1"/>
  <c r="X1884" i="1"/>
  <c r="Y1884" i="1"/>
  <c r="Z1884" i="1"/>
  <c r="AA1884" i="1"/>
  <c r="AB1884" i="1"/>
  <c r="AC1884" i="1"/>
  <c r="AD1884" i="1"/>
  <c r="AE1884" i="1"/>
  <c r="AF1884" i="1"/>
  <c r="AG1884" i="1"/>
  <c r="AH1884" i="1"/>
  <c r="AI1884" i="1"/>
  <c r="AJ1884" i="1"/>
  <c r="AK1884" i="1"/>
  <c r="C1885" i="1"/>
  <c r="H1885" i="1"/>
  <c r="I1885" i="1"/>
  <c r="J1885" i="1"/>
  <c r="K1885" i="1"/>
  <c r="M1885" i="1"/>
  <c r="P1885" i="1"/>
  <c r="R1885" i="1"/>
  <c r="S1885" i="1"/>
  <c r="T1885" i="1"/>
  <c r="U1885" i="1"/>
  <c r="X1885" i="1"/>
  <c r="Y1885" i="1"/>
  <c r="Z1885" i="1"/>
  <c r="AA1885" i="1"/>
  <c r="AB1885" i="1"/>
  <c r="AC1885" i="1"/>
  <c r="AD1885" i="1"/>
  <c r="AE1885" i="1"/>
  <c r="AF1885" i="1"/>
  <c r="AG1885" i="1"/>
  <c r="AH1885" i="1"/>
  <c r="AI1885" i="1"/>
  <c r="AJ1885" i="1"/>
  <c r="AK1885" i="1"/>
  <c r="C1886" i="1"/>
  <c r="H1886" i="1"/>
  <c r="I1886" i="1"/>
  <c r="J1886" i="1"/>
  <c r="K1886" i="1"/>
  <c r="M1886" i="1"/>
  <c r="P1886" i="1"/>
  <c r="R1886" i="1"/>
  <c r="S1886" i="1"/>
  <c r="T1886" i="1"/>
  <c r="U1886" i="1"/>
  <c r="X1886" i="1"/>
  <c r="Y1886" i="1"/>
  <c r="Z1886" i="1"/>
  <c r="AA1886" i="1"/>
  <c r="AB1886" i="1"/>
  <c r="AC1886" i="1"/>
  <c r="AD1886" i="1"/>
  <c r="AE1886" i="1"/>
  <c r="AF1886" i="1"/>
  <c r="AG1886" i="1"/>
  <c r="AH1886" i="1"/>
  <c r="AI1886" i="1"/>
  <c r="AJ1886" i="1"/>
  <c r="AK1886" i="1"/>
  <c r="C1887" i="1"/>
  <c r="H1887" i="1"/>
  <c r="I1887" i="1"/>
  <c r="J1887" i="1"/>
  <c r="K1887" i="1"/>
  <c r="M1887" i="1"/>
  <c r="P1887" i="1"/>
  <c r="R1887" i="1"/>
  <c r="S1887" i="1"/>
  <c r="T1887" i="1"/>
  <c r="U1887" i="1"/>
  <c r="X1887" i="1"/>
  <c r="Y1887" i="1"/>
  <c r="Z1887" i="1"/>
  <c r="AA1887" i="1"/>
  <c r="AB1887" i="1"/>
  <c r="AC1887" i="1"/>
  <c r="AD1887" i="1"/>
  <c r="AE1887" i="1"/>
  <c r="AF1887" i="1"/>
  <c r="AG1887" i="1"/>
  <c r="AH1887" i="1"/>
  <c r="AI1887" i="1"/>
  <c r="AJ1887" i="1"/>
  <c r="AK1887" i="1"/>
  <c r="C1888" i="1"/>
  <c r="H1888" i="1"/>
  <c r="I1888" i="1"/>
  <c r="J1888" i="1"/>
  <c r="K1888" i="1"/>
  <c r="M1888" i="1"/>
  <c r="P1888" i="1"/>
  <c r="R1888" i="1"/>
  <c r="S1888" i="1"/>
  <c r="T1888" i="1"/>
  <c r="U1888" i="1"/>
  <c r="X1888" i="1"/>
  <c r="Y1888" i="1"/>
  <c r="Z1888" i="1"/>
  <c r="AA1888" i="1"/>
  <c r="AB1888" i="1"/>
  <c r="AC1888" i="1"/>
  <c r="AD1888" i="1"/>
  <c r="AE1888" i="1"/>
  <c r="AF1888" i="1"/>
  <c r="AG1888" i="1"/>
  <c r="AH1888" i="1"/>
  <c r="AI1888" i="1"/>
  <c r="AJ1888" i="1"/>
  <c r="AK1888" i="1"/>
  <c r="C1889" i="1"/>
  <c r="H1889" i="1"/>
  <c r="I1889" i="1"/>
  <c r="J1889" i="1"/>
  <c r="K1889" i="1"/>
  <c r="M1889" i="1"/>
  <c r="P1889" i="1"/>
  <c r="R1889" i="1"/>
  <c r="S1889" i="1"/>
  <c r="T1889" i="1"/>
  <c r="U1889" i="1"/>
  <c r="X1889" i="1"/>
  <c r="Y1889" i="1"/>
  <c r="Z1889" i="1"/>
  <c r="AA1889" i="1"/>
  <c r="AB1889" i="1"/>
  <c r="AC1889" i="1"/>
  <c r="AD1889" i="1"/>
  <c r="AE1889" i="1"/>
  <c r="AF1889" i="1"/>
  <c r="AG1889" i="1"/>
  <c r="AH1889" i="1"/>
  <c r="AI1889" i="1"/>
  <c r="AJ1889" i="1"/>
  <c r="AK1889" i="1"/>
  <c r="C1890" i="1"/>
  <c r="H1890" i="1"/>
  <c r="I1890" i="1"/>
  <c r="J1890" i="1"/>
  <c r="K1890" i="1"/>
  <c r="M1890" i="1"/>
  <c r="P1890" i="1"/>
  <c r="R1890" i="1"/>
  <c r="S1890" i="1"/>
  <c r="T1890" i="1"/>
  <c r="U1890" i="1"/>
  <c r="X1890" i="1"/>
  <c r="Y1890" i="1"/>
  <c r="Z1890" i="1"/>
  <c r="AA1890" i="1"/>
  <c r="AB1890" i="1"/>
  <c r="AC1890" i="1"/>
  <c r="AD1890" i="1"/>
  <c r="AE1890" i="1"/>
  <c r="AF1890" i="1"/>
  <c r="AG1890" i="1"/>
  <c r="AH1890" i="1"/>
  <c r="AI1890" i="1"/>
  <c r="AJ1890" i="1"/>
  <c r="AK1890" i="1"/>
  <c r="C1891" i="1"/>
  <c r="H1891" i="1"/>
  <c r="I1891" i="1"/>
  <c r="J1891" i="1"/>
  <c r="K1891" i="1"/>
  <c r="M1891" i="1"/>
  <c r="P1891" i="1"/>
  <c r="R1891" i="1"/>
  <c r="S1891" i="1"/>
  <c r="T1891" i="1"/>
  <c r="U1891" i="1"/>
  <c r="X1891" i="1"/>
  <c r="Y1891" i="1"/>
  <c r="Z1891" i="1"/>
  <c r="AA1891" i="1"/>
  <c r="AB1891" i="1"/>
  <c r="AC1891" i="1"/>
  <c r="AD1891" i="1"/>
  <c r="AE1891" i="1"/>
  <c r="AF1891" i="1"/>
  <c r="AG1891" i="1"/>
  <c r="AH1891" i="1"/>
  <c r="AI1891" i="1"/>
  <c r="AJ1891" i="1"/>
  <c r="AK1891" i="1"/>
  <c r="C1872" i="1"/>
  <c r="H1872" i="1"/>
  <c r="I1872" i="1"/>
  <c r="J1872" i="1"/>
  <c r="K1872" i="1"/>
  <c r="M1872" i="1"/>
  <c r="P1872" i="1"/>
  <c r="R1872" i="1"/>
  <c r="S1872" i="1"/>
  <c r="T1872" i="1"/>
  <c r="U1872" i="1"/>
  <c r="X1872" i="1"/>
  <c r="Y1872" i="1"/>
  <c r="Z1872" i="1"/>
  <c r="AA1872" i="1"/>
  <c r="AB1872" i="1"/>
  <c r="AC1872" i="1"/>
  <c r="AD1872" i="1"/>
  <c r="AE1872" i="1"/>
  <c r="AF1872" i="1"/>
  <c r="AG1872" i="1"/>
  <c r="AH1872" i="1"/>
  <c r="AI1872" i="1"/>
  <c r="AJ1872" i="1"/>
  <c r="AK1872" i="1"/>
  <c r="C1873" i="1"/>
  <c r="H1873" i="1"/>
  <c r="I1873" i="1"/>
  <c r="J1873" i="1"/>
  <c r="K1873" i="1"/>
  <c r="M1873" i="1"/>
  <c r="P1873" i="1"/>
  <c r="R1873" i="1"/>
  <c r="S1873" i="1"/>
  <c r="T1873" i="1"/>
  <c r="U1873" i="1"/>
  <c r="X1873" i="1"/>
  <c r="Y1873" i="1"/>
  <c r="Z1873" i="1"/>
  <c r="AA1873" i="1"/>
  <c r="AB1873" i="1"/>
  <c r="AC1873" i="1"/>
  <c r="AD1873" i="1"/>
  <c r="AE1873" i="1"/>
  <c r="AF1873" i="1"/>
  <c r="AG1873" i="1"/>
  <c r="AH1873" i="1"/>
  <c r="AI1873" i="1"/>
  <c r="AJ1873" i="1"/>
  <c r="AK1873" i="1"/>
  <c r="C1874" i="1"/>
  <c r="H1874" i="1"/>
  <c r="I1874" i="1"/>
  <c r="J1874" i="1"/>
  <c r="K1874" i="1"/>
  <c r="M1874" i="1"/>
  <c r="P1874" i="1"/>
  <c r="R1874" i="1"/>
  <c r="S1874" i="1"/>
  <c r="T1874" i="1"/>
  <c r="U1874" i="1"/>
  <c r="X1874" i="1"/>
  <c r="Y1874" i="1"/>
  <c r="Z1874" i="1"/>
  <c r="AA1874" i="1"/>
  <c r="AB1874" i="1"/>
  <c r="AC1874" i="1"/>
  <c r="AD1874" i="1"/>
  <c r="AE1874" i="1"/>
  <c r="AF1874" i="1"/>
  <c r="AG1874" i="1"/>
  <c r="AH1874" i="1"/>
  <c r="AI1874" i="1"/>
  <c r="AJ1874" i="1"/>
  <c r="AK1874" i="1"/>
  <c r="C1875" i="1"/>
  <c r="H1875" i="1"/>
  <c r="I1875" i="1"/>
  <c r="J1875" i="1"/>
  <c r="K1875" i="1"/>
  <c r="M1875" i="1"/>
  <c r="P1875" i="1"/>
  <c r="R1875" i="1"/>
  <c r="S1875" i="1"/>
  <c r="T1875" i="1"/>
  <c r="U1875" i="1"/>
  <c r="X1875" i="1"/>
  <c r="Y1875" i="1"/>
  <c r="Z1875" i="1"/>
  <c r="AA1875" i="1"/>
  <c r="AB1875" i="1"/>
  <c r="AC1875" i="1"/>
  <c r="AD1875" i="1"/>
  <c r="AE1875" i="1"/>
  <c r="AF1875" i="1"/>
  <c r="AG1875" i="1"/>
  <c r="AH1875" i="1"/>
  <c r="AI1875" i="1"/>
  <c r="AJ1875" i="1"/>
  <c r="AK1875" i="1"/>
  <c r="C1876" i="1"/>
  <c r="H1876" i="1"/>
  <c r="I1876" i="1"/>
  <c r="J1876" i="1"/>
  <c r="K1876" i="1"/>
  <c r="M1876" i="1"/>
  <c r="P1876" i="1"/>
  <c r="R1876" i="1"/>
  <c r="S1876" i="1"/>
  <c r="T1876" i="1"/>
  <c r="U1876" i="1"/>
  <c r="X1876" i="1"/>
  <c r="Y1876" i="1"/>
  <c r="Z1876" i="1"/>
  <c r="AA1876" i="1"/>
  <c r="AB1876" i="1"/>
  <c r="AC1876" i="1"/>
  <c r="AD1876" i="1"/>
  <c r="AE1876" i="1"/>
  <c r="AF1876" i="1"/>
  <c r="AG1876" i="1"/>
  <c r="AH1876" i="1"/>
  <c r="AI1876" i="1"/>
  <c r="AJ1876" i="1"/>
  <c r="AK1876" i="1"/>
  <c r="C1877" i="1"/>
  <c r="H1877" i="1"/>
  <c r="I1877" i="1"/>
  <c r="J1877" i="1"/>
  <c r="K1877" i="1"/>
  <c r="M1877" i="1"/>
  <c r="P1877" i="1"/>
  <c r="R1877" i="1"/>
  <c r="S1877" i="1"/>
  <c r="T1877" i="1"/>
  <c r="U1877" i="1"/>
  <c r="X1877" i="1"/>
  <c r="Y1877" i="1"/>
  <c r="Z1877" i="1"/>
  <c r="AA1877" i="1"/>
  <c r="AB1877" i="1"/>
  <c r="AC1877" i="1"/>
  <c r="AD1877" i="1"/>
  <c r="AE1877" i="1"/>
  <c r="AF1877" i="1"/>
  <c r="AG1877" i="1"/>
  <c r="AH1877" i="1"/>
  <c r="AI1877" i="1"/>
  <c r="AJ1877" i="1"/>
  <c r="AK1877" i="1"/>
  <c r="C1878" i="1"/>
  <c r="H1878" i="1"/>
  <c r="I1878" i="1"/>
  <c r="J1878" i="1"/>
  <c r="K1878" i="1"/>
  <c r="M1878" i="1"/>
  <c r="P1878" i="1"/>
  <c r="R1878" i="1"/>
  <c r="S1878" i="1"/>
  <c r="T1878" i="1"/>
  <c r="U1878" i="1"/>
  <c r="X1878" i="1"/>
  <c r="Y1878" i="1"/>
  <c r="Z1878" i="1"/>
  <c r="AA1878" i="1"/>
  <c r="AB1878" i="1"/>
  <c r="AC1878" i="1"/>
  <c r="AD1878" i="1"/>
  <c r="AE1878" i="1"/>
  <c r="AF1878" i="1"/>
  <c r="AG1878" i="1"/>
  <c r="AH1878" i="1"/>
  <c r="AI1878" i="1"/>
  <c r="AJ1878" i="1"/>
  <c r="AK1878" i="1"/>
  <c r="C1879" i="1"/>
  <c r="H1879" i="1"/>
  <c r="I1879" i="1"/>
  <c r="J1879" i="1"/>
  <c r="K1879" i="1"/>
  <c r="M1879" i="1"/>
  <c r="P1879" i="1"/>
  <c r="R1879" i="1"/>
  <c r="S1879" i="1"/>
  <c r="T1879" i="1"/>
  <c r="U1879" i="1"/>
  <c r="X1879" i="1"/>
  <c r="Y1879" i="1"/>
  <c r="Z1879" i="1"/>
  <c r="AA1879" i="1"/>
  <c r="AB1879" i="1"/>
  <c r="AC1879" i="1"/>
  <c r="AD1879" i="1"/>
  <c r="AE1879" i="1"/>
  <c r="AF1879" i="1"/>
  <c r="AG1879" i="1"/>
  <c r="AH1879" i="1"/>
  <c r="AI1879" i="1"/>
  <c r="AJ1879" i="1"/>
  <c r="AK1879" i="1"/>
  <c r="C1880" i="1"/>
  <c r="H1880" i="1"/>
  <c r="I1880" i="1"/>
  <c r="J1880" i="1"/>
  <c r="K1880" i="1"/>
  <c r="M1880" i="1"/>
  <c r="P1880" i="1"/>
  <c r="R1880" i="1"/>
  <c r="S1880" i="1"/>
  <c r="T1880" i="1"/>
  <c r="U1880" i="1"/>
  <c r="X1880" i="1"/>
  <c r="Y1880" i="1"/>
  <c r="Z1880" i="1"/>
  <c r="AA1880" i="1"/>
  <c r="AB1880" i="1"/>
  <c r="AC1880" i="1"/>
  <c r="AD1880" i="1"/>
  <c r="AE1880" i="1"/>
  <c r="AF1880" i="1"/>
  <c r="AG1880" i="1"/>
  <c r="AH1880" i="1"/>
  <c r="AI1880" i="1"/>
  <c r="AJ1880" i="1"/>
  <c r="AK1880" i="1"/>
  <c r="C1881" i="1"/>
  <c r="H1881" i="1"/>
  <c r="I1881" i="1"/>
  <c r="J1881" i="1"/>
  <c r="K1881" i="1"/>
  <c r="M1881" i="1"/>
  <c r="P1881" i="1"/>
  <c r="R1881" i="1"/>
  <c r="S1881" i="1"/>
  <c r="T1881" i="1"/>
  <c r="U1881" i="1"/>
  <c r="X1881" i="1"/>
  <c r="Y1881" i="1"/>
  <c r="Z1881" i="1"/>
  <c r="AA1881" i="1"/>
  <c r="AB1881" i="1"/>
  <c r="AC1881" i="1"/>
  <c r="AD1881" i="1"/>
  <c r="AE1881" i="1"/>
  <c r="AF1881" i="1"/>
  <c r="AG1881" i="1"/>
  <c r="AH1881" i="1"/>
  <c r="AI1881" i="1"/>
  <c r="AJ1881" i="1"/>
  <c r="AK1881" i="1"/>
  <c r="C1862" i="1"/>
  <c r="H1862" i="1"/>
  <c r="I1862" i="1"/>
  <c r="J1862" i="1"/>
  <c r="K1862" i="1"/>
  <c r="M1862" i="1"/>
  <c r="P1862" i="1"/>
  <c r="R1862" i="1"/>
  <c r="S1862" i="1"/>
  <c r="T1862" i="1"/>
  <c r="U1862" i="1"/>
  <c r="X1862" i="1"/>
  <c r="Y1862" i="1"/>
  <c r="Z1862" i="1"/>
  <c r="AA1862" i="1"/>
  <c r="AB1862" i="1"/>
  <c r="AC1862" i="1"/>
  <c r="AD1862" i="1"/>
  <c r="AE1862" i="1"/>
  <c r="AF1862" i="1"/>
  <c r="AG1862" i="1"/>
  <c r="AH1862" i="1"/>
  <c r="AI1862" i="1"/>
  <c r="AJ1862" i="1"/>
  <c r="AK1862" i="1"/>
  <c r="C1863" i="1"/>
  <c r="H1863" i="1"/>
  <c r="I1863" i="1"/>
  <c r="J1863" i="1"/>
  <c r="K1863" i="1"/>
  <c r="M1863" i="1"/>
  <c r="P1863" i="1"/>
  <c r="R1863" i="1"/>
  <c r="S1863" i="1"/>
  <c r="T1863" i="1"/>
  <c r="U1863" i="1"/>
  <c r="X1863" i="1"/>
  <c r="Y1863" i="1"/>
  <c r="Z1863" i="1"/>
  <c r="AA1863" i="1"/>
  <c r="AB1863" i="1"/>
  <c r="AC1863" i="1"/>
  <c r="AD1863" i="1"/>
  <c r="AE1863" i="1"/>
  <c r="AF1863" i="1"/>
  <c r="AG1863" i="1"/>
  <c r="AH1863" i="1"/>
  <c r="AI1863" i="1"/>
  <c r="AJ1863" i="1"/>
  <c r="AK1863" i="1"/>
  <c r="C1864" i="1"/>
  <c r="H1864" i="1"/>
  <c r="I1864" i="1"/>
  <c r="J1864" i="1"/>
  <c r="K1864" i="1"/>
  <c r="M1864" i="1"/>
  <c r="P1864" i="1"/>
  <c r="R1864" i="1"/>
  <c r="S1864" i="1"/>
  <c r="T1864" i="1"/>
  <c r="U1864" i="1"/>
  <c r="X1864" i="1"/>
  <c r="Y1864" i="1"/>
  <c r="Z1864" i="1"/>
  <c r="AA1864" i="1"/>
  <c r="AB1864" i="1"/>
  <c r="AC1864" i="1"/>
  <c r="AD1864" i="1"/>
  <c r="AE1864" i="1"/>
  <c r="AF1864" i="1"/>
  <c r="AG1864" i="1"/>
  <c r="AH1864" i="1"/>
  <c r="AI1864" i="1"/>
  <c r="AJ1864" i="1"/>
  <c r="AK1864" i="1"/>
  <c r="C1865" i="1"/>
  <c r="H1865" i="1"/>
  <c r="I1865" i="1"/>
  <c r="J1865" i="1"/>
  <c r="K1865" i="1"/>
  <c r="M1865" i="1"/>
  <c r="P1865" i="1"/>
  <c r="R1865" i="1"/>
  <c r="S1865" i="1"/>
  <c r="T1865" i="1"/>
  <c r="U1865" i="1"/>
  <c r="X1865" i="1"/>
  <c r="Y1865" i="1"/>
  <c r="Z1865" i="1"/>
  <c r="AA1865" i="1"/>
  <c r="AB1865" i="1"/>
  <c r="AC1865" i="1"/>
  <c r="AD1865" i="1"/>
  <c r="AE1865" i="1"/>
  <c r="AF1865" i="1"/>
  <c r="AG1865" i="1"/>
  <c r="AH1865" i="1"/>
  <c r="AI1865" i="1"/>
  <c r="AJ1865" i="1"/>
  <c r="AK1865" i="1"/>
  <c r="C1866" i="1"/>
  <c r="H1866" i="1"/>
  <c r="I1866" i="1"/>
  <c r="J1866" i="1"/>
  <c r="K1866" i="1"/>
  <c r="M1866" i="1"/>
  <c r="P1866" i="1"/>
  <c r="R1866" i="1"/>
  <c r="S1866" i="1"/>
  <c r="T1866" i="1"/>
  <c r="U1866" i="1"/>
  <c r="X1866" i="1"/>
  <c r="Y1866" i="1"/>
  <c r="Z1866" i="1"/>
  <c r="AA1866" i="1"/>
  <c r="AB1866" i="1"/>
  <c r="AC1866" i="1"/>
  <c r="AD1866" i="1"/>
  <c r="AE1866" i="1"/>
  <c r="AF1866" i="1"/>
  <c r="AG1866" i="1"/>
  <c r="AH1866" i="1"/>
  <c r="AI1866" i="1"/>
  <c r="AJ1866" i="1"/>
  <c r="AK1866" i="1"/>
  <c r="C1867" i="1"/>
  <c r="H1867" i="1"/>
  <c r="I1867" i="1"/>
  <c r="J1867" i="1"/>
  <c r="K1867" i="1"/>
  <c r="M1867" i="1"/>
  <c r="P1867" i="1"/>
  <c r="R1867" i="1"/>
  <c r="S1867" i="1"/>
  <c r="T1867" i="1"/>
  <c r="U1867" i="1"/>
  <c r="X1867" i="1"/>
  <c r="Y1867" i="1"/>
  <c r="Z1867" i="1"/>
  <c r="AA1867" i="1"/>
  <c r="AB1867" i="1"/>
  <c r="AC1867" i="1"/>
  <c r="AD1867" i="1"/>
  <c r="AE1867" i="1"/>
  <c r="AF1867" i="1"/>
  <c r="AG1867" i="1"/>
  <c r="AH1867" i="1"/>
  <c r="AI1867" i="1"/>
  <c r="AJ1867" i="1"/>
  <c r="AK1867" i="1"/>
  <c r="C1868" i="1"/>
  <c r="H1868" i="1"/>
  <c r="I1868" i="1"/>
  <c r="J1868" i="1"/>
  <c r="K1868" i="1"/>
  <c r="M1868" i="1"/>
  <c r="P1868" i="1"/>
  <c r="R1868" i="1"/>
  <c r="S1868" i="1"/>
  <c r="T1868" i="1"/>
  <c r="U1868" i="1"/>
  <c r="X1868" i="1"/>
  <c r="Y1868" i="1"/>
  <c r="Z1868" i="1"/>
  <c r="AA1868" i="1"/>
  <c r="AB1868" i="1"/>
  <c r="AC1868" i="1"/>
  <c r="AD1868" i="1"/>
  <c r="AE1868" i="1"/>
  <c r="AF1868" i="1"/>
  <c r="AG1868" i="1"/>
  <c r="AH1868" i="1"/>
  <c r="AI1868" i="1"/>
  <c r="AJ1868" i="1"/>
  <c r="AK1868" i="1"/>
  <c r="C1869" i="1"/>
  <c r="H1869" i="1"/>
  <c r="I1869" i="1"/>
  <c r="J1869" i="1"/>
  <c r="K1869" i="1"/>
  <c r="M1869" i="1"/>
  <c r="P1869" i="1"/>
  <c r="R1869" i="1"/>
  <c r="S1869" i="1"/>
  <c r="T1869" i="1"/>
  <c r="U1869" i="1"/>
  <c r="X1869" i="1"/>
  <c r="Y1869" i="1"/>
  <c r="Z1869" i="1"/>
  <c r="AA1869" i="1"/>
  <c r="AB1869" i="1"/>
  <c r="AC1869" i="1"/>
  <c r="AD1869" i="1"/>
  <c r="AE1869" i="1"/>
  <c r="AF1869" i="1"/>
  <c r="AG1869" i="1"/>
  <c r="AH1869" i="1"/>
  <c r="AI1869" i="1"/>
  <c r="AJ1869" i="1"/>
  <c r="AK1869" i="1"/>
  <c r="C1870" i="1"/>
  <c r="H1870" i="1"/>
  <c r="I1870" i="1"/>
  <c r="J1870" i="1"/>
  <c r="K1870" i="1"/>
  <c r="M1870" i="1"/>
  <c r="P1870" i="1"/>
  <c r="R1870" i="1"/>
  <c r="S1870" i="1"/>
  <c r="T1870" i="1"/>
  <c r="U1870" i="1"/>
  <c r="X1870" i="1"/>
  <c r="Y1870" i="1"/>
  <c r="Z1870" i="1"/>
  <c r="AA1870" i="1"/>
  <c r="AB1870" i="1"/>
  <c r="AC1870" i="1"/>
  <c r="AD1870" i="1"/>
  <c r="AE1870" i="1"/>
  <c r="AF1870" i="1"/>
  <c r="AG1870" i="1"/>
  <c r="AH1870" i="1"/>
  <c r="AI1870" i="1"/>
  <c r="AJ1870" i="1"/>
  <c r="AK1870" i="1"/>
  <c r="C1871" i="1"/>
  <c r="H1871" i="1"/>
  <c r="I1871" i="1"/>
  <c r="J1871" i="1"/>
  <c r="K1871" i="1"/>
  <c r="M1871" i="1"/>
  <c r="P1871" i="1"/>
  <c r="R1871" i="1"/>
  <c r="S1871" i="1"/>
  <c r="T1871" i="1"/>
  <c r="U1871" i="1"/>
  <c r="X1871" i="1"/>
  <c r="Y1871" i="1"/>
  <c r="Z1871" i="1"/>
  <c r="AA1871" i="1"/>
  <c r="AB1871" i="1"/>
  <c r="AC1871" i="1"/>
  <c r="AD1871" i="1"/>
  <c r="AE1871" i="1"/>
  <c r="AF1871" i="1"/>
  <c r="AG1871" i="1"/>
  <c r="AH1871" i="1"/>
  <c r="AI1871" i="1"/>
  <c r="AJ1871" i="1"/>
  <c r="AK1871" i="1"/>
  <c r="C1852" i="1"/>
  <c r="H1852" i="1"/>
  <c r="I1852" i="1"/>
  <c r="J1852" i="1"/>
  <c r="K1852" i="1"/>
  <c r="M1852" i="1"/>
  <c r="P1852" i="1"/>
  <c r="R1852" i="1"/>
  <c r="S1852" i="1"/>
  <c r="T1852" i="1"/>
  <c r="U1852" i="1"/>
  <c r="X1852" i="1"/>
  <c r="Y1852" i="1"/>
  <c r="Z1852" i="1"/>
  <c r="AA1852" i="1"/>
  <c r="AB1852" i="1"/>
  <c r="AC1852" i="1"/>
  <c r="AD1852" i="1"/>
  <c r="AE1852" i="1"/>
  <c r="AF1852" i="1"/>
  <c r="AG1852" i="1"/>
  <c r="AH1852" i="1"/>
  <c r="AI1852" i="1"/>
  <c r="AJ1852" i="1"/>
  <c r="AK1852" i="1"/>
  <c r="C1853" i="1"/>
  <c r="H1853" i="1"/>
  <c r="I1853" i="1"/>
  <c r="J1853" i="1"/>
  <c r="K1853" i="1"/>
  <c r="M1853" i="1"/>
  <c r="P1853" i="1"/>
  <c r="R1853" i="1"/>
  <c r="S1853" i="1"/>
  <c r="T1853" i="1"/>
  <c r="U1853" i="1"/>
  <c r="X1853" i="1"/>
  <c r="Y1853" i="1"/>
  <c r="Z1853" i="1"/>
  <c r="AA1853" i="1"/>
  <c r="AB1853" i="1"/>
  <c r="AC1853" i="1"/>
  <c r="AD1853" i="1"/>
  <c r="AE1853" i="1"/>
  <c r="AF1853" i="1"/>
  <c r="AG1853" i="1"/>
  <c r="AH1853" i="1"/>
  <c r="AI1853" i="1"/>
  <c r="AJ1853" i="1"/>
  <c r="AK1853" i="1"/>
  <c r="C1854" i="1"/>
  <c r="H1854" i="1"/>
  <c r="I1854" i="1"/>
  <c r="J1854" i="1"/>
  <c r="K1854" i="1"/>
  <c r="M1854" i="1"/>
  <c r="P1854" i="1"/>
  <c r="R1854" i="1"/>
  <c r="S1854" i="1"/>
  <c r="T1854" i="1"/>
  <c r="U1854" i="1"/>
  <c r="X1854" i="1"/>
  <c r="Y1854" i="1"/>
  <c r="Z1854" i="1"/>
  <c r="AA1854" i="1"/>
  <c r="AB1854" i="1"/>
  <c r="AC1854" i="1"/>
  <c r="AD1854" i="1"/>
  <c r="AE1854" i="1"/>
  <c r="AF1854" i="1"/>
  <c r="AG1854" i="1"/>
  <c r="AH1854" i="1"/>
  <c r="AI1854" i="1"/>
  <c r="AJ1854" i="1"/>
  <c r="AK1854" i="1"/>
  <c r="C1855" i="1"/>
  <c r="H1855" i="1"/>
  <c r="I1855" i="1"/>
  <c r="J1855" i="1"/>
  <c r="K1855" i="1"/>
  <c r="M1855" i="1"/>
  <c r="P1855" i="1"/>
  <c r="R1855" i="1"/>
  <c r="S1855" i="1"/>
  <c r="T1855" i="1"/>
  <c r="U1855" i="1"/>
  <c r="X1855" i="1"/>
  <c r="Y1855" i="1"/>
  <c r="Z1855" i="1"/>
  <c r="AA1855" i="1"/>
  <c r="AB1855" i="1"/>
  <c r="AC1855" i="1"/>
  <c r="AD1855" i="1"/>
  <c r="AE1855" i="1"/>
  <c r="AF1855" i="1"/>
  <c r="AG1855" i="1"/>
  <c r="AH1855" i="1"/>
  <c r="AI1855" i="1"/>
  <c r="AJ1855" i="1"/>
  <c r="AK1855" i="1"/>
  <c r="C1856" i="1"/>
  <c r="H1856" i="1"/>
  <c r="I1856" i="1"/>
  <c r="J1856" i="1"/>
  <c r="K1856" i="1"/>
  <c r="M1856" i="1"/>
  <c r="P1856" i="1"/>
  <c r="R1856" i="1"/>
  <c r="S1856" i="1"/>
  <c r="T1856" i="1"/>
  <c r="U1856" i="1"/>
  <c r="X1856" i="1"/>
  <c r="Y1856" i="1"/>
  <c r="Z1856" i="1"/>
  <c r="AA1856" i="1"/>
  <c r="AB1856" i="1"/>
  <c r="AC1856" i="1"/>
  <c r="AD1856" i="1"/>
  <c r="AE1856" i="1"/>
  <c r="AF1856" i="1"/>
  <c r="AG1856" i="1"/>
  <c r="AH1856" i="1"/>
  <c r="AI1856" i="1"/>
  <c r="AJ1856" i="1"/>
  <c r="AK1856" i="1"/>
  <c r="C1857" i="1"/>
  <c r="H1857" i="1"/>
  <c r="I1857" i="1"/>
  <c r="J1857" i="1"/>
  <c r="K1857" i="1"/>
  <c r="M1857" i="1"/>
  <c r="P1857" i="1"/>
  <c r="R1857" i="1"/>
  <c r="S1857" i="1"/>
  <c r="T1857" i="1"/>
  <c r="U1857" i="1"/>
  <c r="X1857" i="1"/>
  <c r="Y1857" i="1"/>
  <c r="Z1857" i="1"/>
  <c r="AA1857" i="1"/>
  <c r="AB1857" i="1"/>
  <c r="AC1857" i="1"/>
  <c r="AD1857" i="1"/>
  <c r="AE1857" i="1"/>
  <c r="AF1857" i="1"/>
  <c r="AG1857" i="1"/>
  <c r="AH1857" i="1"/>
  <c r="AI1857" i="1"/>
  <c r="AJ1857" i="1"/>
  <c r="AK1857" i="1"/>
  <c r="C1858" i="1"/>
  <c r="H1858" i="1"/>
  <c r="I1858" i="1"/>
  <c r="J1858" i="1"/>
  <c r="K1858" i="1"/>
  <c r="M1858" i="1"/>
  <c r="P1858" i="1"/>
  <c r="R1858" i="1"/>
  <c r="S1858" i="1"/>
  <c r="T1858" i="1"/>
  <c r="U1858" i="1"/>
  <c r="X1858" i="1"/>
  <c r="Y1858" i="1"/>
  <c r="Z1858" i="1"/>
  <c r="AA1858" i="1"/>
  <c r="AB1858" i="1"/>
  <c r="AC1858" i="1"/>
  <c r="AD1858" i="1"/>
  <c r="AE1858" i="1"/>
  <c r="AF1858" i="1"/>
  <c r="AG1858" i="1"/>
  <c r="AH1858" i="1"/>
  <c r="AI1858" i="1"/>
  <c r="AJ1858" i="1"/>
  <c r="AK1858" i="1"/>
  <c r="C1859" i="1"/>
  <c r="H1859" i="1"/>
  <c r="I1859" i="1"/>
  <c r="J1859" i="1"/>
  <c r="K1859" i="1"/>
  <c r="M1859" i="1"/>
  <c r="P1859" i="1"/>
  <c r="R1859" i="1"/>
  <c r="S1859" i="1"/>
  <c r="T1859" i="1"/>
  <c r="U1859" i="1"/>
  <c r="X1859" i="1"/>
  <c r="Y1859" i="1"/>
  <c r="Z1859" i="1"/>
  <c r="AA1859" i="1"/>
  <c r="AB1859" i="1"/>
  <c r="AC1859" i="1"/>
  <c r="AD1859" i="1"/>
  <c r="AE1859" i="1"/>
  <c r="AF1859" i="1"/>
  <c r="AG1859" i="1"/>
  <c r="AH1859" i="1"/>
  <c r="AI1859" i="1"/>
  <c r="AJ1859" i="1"/>
  <c r="AK1859" i="1"/>
  <c r="C1860" i="1"/>
  <c r="H1860" i="1"/>
  <c r="I1860" i="1"/>
  <c r="J1860" i="1"/>
  <c r="K1860" i="1"/>
  <c r="M1860" i="1"/>
  <c r="P1860" i="1"/>
  <c r="R1860" i="1"/>
  <c r="S1860" i="1"/>
  <c r="T1860" i="1"/>
  <c r="U1860" i="1"/>
  <c r="X1860" i="1"/>
  <c r="Y1860" i="1"/>
  <c r="Z1860" i="1"/>
  <c r="AA1860" i="1"/>
  <c r="AB1860" i="1"/>
  <c r="AC1860" i="1"/>
  <c r="AD1860" i="1"/>
  <c r="AE1860" i="1"/>
  <c r="AF1860" i="1"/>
  <c r="AG1860" i="1"/>
  <c r="AH1860" i="1"/>
  <c r="AI1860" i="1"/>
  <c r="AJ1860" i="1"/>
  <c r="AK1860" i="1"/>
  <c r="C1861" i="1"/>
  <c r="H1861" i="1"/>
  <c r="I1861" i="1"/>
  <c r="J1861" i="1"/>
  <c r="K1861" i="1"/>
  <c r="M1861" i="1"/>
  <c r="P1861" i="1"/>
  <c r="R1861" i="1"/>
  <c r="S1861" i="1"/>
  <c r="T1861" i="1"/>
  <c r="U1861" i="1"/>
  <c r="X1861" i="1"/>
  <c r="Y1861" i="1"/>
  <c r="Z1861" i="1"/>
  <c r="AA1861" i="1"/>
  <c r="AB1861" i="1"/>
  <c r="AC1861" i="1"/>
  <c r="AD1861" i="1"/>
  <c r="AE1861" i="1"/>
  <c r="AF1861" i="1"/>
  <c r="AG1861" i="1"/>
  <c r="AH1861" i="1"/>
  <c r="AI1861" i="1"/>
  <c r="AJ1861" i="1"/>
  <c r="AK1861" i="1"/>
  <c r="C1842" i="1"/>
  <c r="H1842" i="1"/>
  <c r="I1842" i="1"/>
  <c r="J1842" i="1"/>
  <c r="K1842" i="1"/>
  <c r="M1842" i="1"/>
  <c r="P1842" i="1"/>
  <c r="R1842" i="1"/>
  <c r="S1842" i="1"/>
  <c r="T1842" i="1"/>
  <c r="U1842" i="1"/>
  <c r="X1842" i="1"/>
  <c r="Y1842" i="1"/>
  <c r="Z1842" i="1"/>
  <c r="AA1842" i="1"/>
  <c r="AB1842" i="1"/>
  <c r="AC1842" i="1"/>
  <c r="AD1842" i="1"/>
  <c r="AE1842" i="1"/>
  <c r="AF1842" i="1"/>
  <c r="AG1842" i="1"/>
  <c r="AH1842" i="1"/>
  <c r="AI1842" i="1"/>
  <c r="AJ1842" i="1"/>
  <c r="AK1842" i="1"/>
  <c r="C1843" i="1"/>
  <c r="H1843" i="1"/>
  <c r="I1843" i="1"/>
  <c r="J1843" i="1"/>
  <c r="K1843" i="1"/>
  <c r="M1843" i="1"/>
  <c r="P1843" i="1"/>
  <c r="R1843" i="1"/>
  <c r="S1843" i="1"/>
  <c r="T1843" i="1"/>
  <c r="U1843" i="1"/>
  <c r="X1843" i="1"/>
  <c r="Y1843" i="1"/>
  <c r="Z1843" i="1"/>
  <c r="AA1843" i="1"/>
  <c r="AB1843" i="1"/>
  <c r="AC1843" i="1"/>
  <c r="AD1843" i="1"/>
  <c r="AE1843" i="1"/>
  <c r="AF1843" i="1"/>
  <c r="AG1843" i="1"/>
  <c r="AH1843" i="1"/>
  <c r="AI1843" i="1"/>
  <c r="AJ1843" i="1"/>
  <c r="AK1843" i="1"/>
  <c r="C1844" i="1"/>
  <c r="H1844" i="1"/>
  <c r="I1844" i="1"/>
  <c r="J1844" i="1"/>
  <c r="K1844" i="1"/>
  <c r="M1844" i="1"/>
  <c r="P1844" i="1"/>
  <c r="R1844" i="1"/>
  <c r="S1844" i="1"/>
  <c r="T1844" i="1"/>
  <c r="U1844" i="1"/>
  <c r="X1844" i="1"/>
  <c r="Y1844" i="1"/>
  <c r="Z1844" i="1"/>
  <c r="AA1844" i="1"/>
  <c r="AB1844" i="1"/>
  <c r="AC1844" i="1"/>
  <c r="AD1844" i="1"/>
  <c r="AE1844" i="1"/>
  <c r="AF1844" i="1"/>
  <c r="AG1844" i="1"/>
  <c r="AH1844" i="1"/>
  <c r="AI1844" i="1"/>
  <c r="AJ1844" i="1"/>
  <c r="AK1844" i="1"/>
  <c r="C1845" i="1"/>
  <c r="H1845" i="1"/>
  <c r="I1845" i="1"/>
  <c r="J1845" i="1"/>
  <c r="K1845" i="1"/>
  <c r="M1845" i="1"/>
  <c r="P1845" i="1"/>
  <c r="R1845" i="1"/>
  <c r="S1845" i="1"/>
  <c r="T1845" i="1"/>
  <c r="U1845" i="1"/>
  <c r="X1845" i="1"/>
  <c r="Y1845" i="1"/>
  <c r="Z1845" i="1"/>
  <c r="AA1845" i="1"/>
  <c r="AB1845" i="1"/>
  <c r="AC1845" i="1"/>
  <c r="AD1845" i="1"/>
  <c r="AE1845" i="1"/>
  <c r="AF1845" i="1"/>
  <c r="AG1845" i="1"/>
  <c r="AH1845" i="1"/>
  <c r="AI1845" i="1"/>
  <c r="AJ1845" i="1"/>
  <c r="AK1845" i="1"/>
  <c r="C1846" i="1"/>
  <c r="H1846" i="1"/>
  <c r="I1846" i="1"/>
  <c r="J1846" i="1"/>
  <c r="K1846" i="1"/>
  <c r="M1846" i="1"/>
  <c r="P1846" i="1"/>
  <c r="R1846" i="1"/>
  <c r="S1846" i="1"/>
  <c r="T1846" i="1"/>
  <c r="U1846" i="1"/>
  <c r="X1846" i="1"/>
  <c r="Y1846" i="1"/>
  <c r="Z1846" i="1"/>
  <c r="AA1846" i="1"/>
  <c r="AB1846" i="1"/>
  <c r="AC1846" i="1"/>
  <c r="AD1846" i="1"/>
  <c r="AE1846" i="1"/>
  <c r="AF1846" i="1"/>
  <c r="AG1846" i="1"/>
  <c r="AH1846" i="1"/>
  <c r="AI1846" i="1"/>
  <c r="AJ1846" i="1"/>
  <c r="AK1846" i="1"/>
  <c r="C1847" i="1"/>
  <c r="H1847" i="1"/>
  <c r="I1847" i="1"/>
  <c r="J1847" i="1"/>
  <c r="K1847" i="1"/>
  <c r="M1847" i="1"/>
  <c r="P1847" i="1"/>
  <c r="R1847" i="1"/>
  <c r="S1847" i="1"/>
  <c r="T1847" i="1"/>
  <c r="U1847" i="1"/>
  <c r="X1847" i="1"/>
  <c r="Y1847" i="1"/>
  <c r="Z1847" i="1"/>
  <c r="AA1847" i="1"/>
  <c r="AB1847" i="1"/>
  <c r="AC1847" i="1"/>
  <c r="AD1847" i="1"/>
  <c r="AE1847" i="1"/>
  <c r="AF1847" i="1"/>
  <c r="AG1847" i="1"/>
  <c r="AH1847" i="1"/>
  <c r="AI1847" i="1"/>
  <c r="AJ1847" i="1"/>
  <c r="AK1847" i="1"/>
  <c r="C1848" i="1"/>
  <c r="H1848" i="1"/>
  <c r="I1848" i="1"/>
  <c r="J1848" i="1"/>
  <c r="K1848" i="1"/>
  <c r="M1848" i="1"/>
  <c r="P1848" i="1"/>
  <c r="R1848" i="1"/>
  <c r="S1848" i="1"/>
  <c r="T1848" i="1"/>
  <c r="U1848" i="1"/>
  <c r="X1848" i="1"/>
  <c r="Y1848" i="1"/>
  <c r="Z1848" i="1"/>
  <c r="AA1848" i="1"/>
  <c r="AB1848" i="1"/>
  <c r="AC1848" i="1"/>
  <c r="AD1848" i="1"/>
  <c r="AE1848" i="1"/>
  <c r="AF1848" i="1"/>
  <c r="AG1848" i="1"/>
  <c r="AH1848" i="1"/>
  <c r="AI1848" i="1"/>
  <c r="AJ1848" i="1"/>
  <c r="AK1848" i="1"/>
  <c r="C1849" i="1"/>
  <c r="H1849" i="1"/>
  <c r="I1849" i="1"/>
  <c r="J1849" i="1"/>
  <c r="K1849" i="1"/>
  <c r="M1849" i="1"/>
  <c r="P1849" i="1"/>
  <c r="R1849" i="1"/>
  <c r="S1849" i="1"/>
  <c r="T1849" i="1"/>
  <c r="U1849" i="1"/>
  <c r="X1849" i="1"/>
  <c r="Y1849" i="1"/>
  <c r="Z1849" i="1"/>
  <c r="AA1849" i="1"/>
  <c r="AB1849" i="1"/>
  <c r="AC1849" i="1"/>
  <c r="AD1849" i="1"/>
  <c r="AE1849" i="1"/>
  <c r="AF1849" i="1"/>
  <c r="AG1849" i="1"/>
  <c r="AH1849" i="1"/>
  <c r="AI1849" i="1"/>
  <c r="AJ1849" i="1"/>
  <c r="AK1849" i="1"/>
  <c r="C1850" i="1"/>
  <c r="H1850" i="1"/>
  <c r="I1850" i="1"/>
  <c r="J1850" i="1"/>
  <c r="K1850" i="1"/>
  <c r="M1850" i="1"/>
  <c r="P1850" i="1"/>
  <c r="R1850" i="1"/>
  <c r="S1850" i="1"/>
  <c r="T1850" i="1"/>
  <c r="U1850" i="1"/>
  <c r="X1850" i="1"/>
  <c r="Y1850" i="1"/>
  <c r="Z1850" i="1"/>
  <c r="AA1850" i="1"/>
  <c r="AB1850" i="1"/>
  <c r="AC1850" i="1"/>
  <c r="AD1850" i="1"/>
  <c r="AE1850" i="1"/>
  <c r="AF1850" i="1"/>
  <c r="AG1850" i="1"/>
  <c r="AH1850" i="1"/>
  <c r="AI1850" i="1"/>
  <c r="AJ1850" i="1"/>
  <c r="AK1850" i="1"/>
  <c r="C1851" i="1"/>
  <c r="H1851" i="1"/>
  <c r="I1851" i="1"/>
  <c r="J1851" i="1"/>
  <c r="K1851" i="1"/>
  <c r="M1851" i="1"/>
  <c r="P1851" i="1"/>
  <c r="R1851" i="1"/>
  <c r="S1851" i="1"/>
  <c r="T1851" i="1"/>
  <c r="U1851" i="1"/>
  <c r="X1851" i="1"/>
  <c r="Y1851" i="1"/>
  <c r="Z1851" i="1"/>
  <c r="AA1851" i="1"/>
  <c r="AB1851" i="1"/>
  <c r="AC1851" i="1"/>
  <c r="AD1851" i="1"/>
  <c r="AE1851" i="1"/>
  <c r="AF1851" i="1"/>
  <c r="AG1851" i="1"/>
  <c r="AH1851" i="1"/>
  <c r="AI1851" i="1"/>
  <c r="AJ1851" i="1"/>
  <c r="AK1851" i="1"/>
  <c r="C1832" i="1"/>
  <c r="H1832" i="1"/>
  <c r="I1832" i="1"/>
  <c r="J1832" i="1"/>
  <c r="K1832" i="1"/>
  <c r="M1832" i="1"/>
  <c r="P1832" i="1"/>
  <c r="R1832" i="1"/>
  <c r="S1832" i="1"/>
  <c r="T1832" i="1"/>
  <c r="U1832" i="1"/>
  <c r="X1832" i="1"/>
  <c r="Y1832" i="1"/>
  <c r="Z1832" i="1"/>
  <c r="AA1832" i="1"/>
  <c r="AB1832" i="1"/>
  <c r="AC1832" i="1"/>
  <c r="AD1832" i="1"/>
  <c r="AE1832" i="1"/>
  <c r="AF1832" i="1"/>
  <c r="AG1832" i="1"/>
  <c r="AH1832" i="1"/>
  <c r="AI1832" i="1"/>
  <c r="AJ1832" i="1"/>
  <c r="AK1832" i="1"/>
  <c r="C1833" i="1"/>
  <c r="H1833" i="1"/>
  <c r="I1833" i="1"/>
  <c r="J1833" i="1"/>
  <c r="K1833" i="1"/>
  <c r="M1833" i="1"/>
  <c r="P1833" i="1"/>
  <c r="R1833" i="1"/>
  <c r="S1833" i="1"/>
  <c r="T1833" i="1"/>
  <c r="U1833" i="1"/>
  <c r="X1833" i="1"/>
  <c r="Y1833" i="1"/>
  <c r="Z1833" i="1"/>
  <c r="AA1833" i="1"/>
  <c r="AB1833" i="1"/>
  <c r="AC1833" i="1"/>
  <c r="AD1833" i="1"/>
  <c r="AE1833" i="1"/>
  <c r="AF1833" i="1"/>
  <c r="AG1833" i="1"/>
  <c r="AH1833" i="1"/>
  <c r="AI1833" i="1"/>
  <c r="AJ1833" i="1"/>
  <c r="AK1833" i="1"/>
  <c r="C1834" i="1"/>
  <c r="H1834" i="1"/>
  <c r="I1834" i="1"/>
  <c r="J1834" i="1"/>
  <c r="K1834" i="1"/>
  <c r="M1834" i="1"/>
  <c r="P1834" i="1"/>
  <c r="R1834" i="1"/>
  <c r="S1834" i="1"/>
  <c r="T1834" i="1"/>
  <c r="U1834" i="1"/>
  <c r="X1834" i="1"/>
  <c r="Y1834" i="1"/>
  <c r="Z1834" i="1"/>
  <c r="AA1834" i="1"/>
  <c r="AB1834" i="1"/>
  <c r="AC1834" i="1"/>
  <c r="AD1834" i="1"/>
  <c r="AE1834" i="1"/>
  <c r="AF1834" i="1"/>
  <c r="AG1834" i="1"/>
  <c r="AH1834" i="1"/>
  <c r="AI1834" i="1"/>
  <c r="AJ1834" i="1"/>
  <c r="AK1834" i="1"/>
  <c r="C1835" i="1"/>
  <c r="H1835" i="1"/>
  <c r="I1835" i="1"/>
  <c r="J1835" i="1"/>
  <c r="K1835" i="1"/>
  <c r="M1835" i="1"/>
  <c r="P1835" i="1"/>
  <c r="R1835" i="1"/>
  <c r="S1835" i="1"/>
  <c r="T1835" i="1"/>
  <c r="U1835" i="1"/>
  <c r="X1835" i="1"/>
  <c r="Y1835" i="1"/>
  <c r="Z1835" i="1"/>
  <c r="AA1835" i="1"/>
  <c r="AB1835" i="1"/>
  <c r="AC1835" i="1"/>
  <c r="AD1835" i="1"/>
  <c r="AE1835" i="1"/>
  <c r="AF1835" i="1"/>
  <c r="AG1835" i="1"/>
  <c r="AH1835" i="1"/>
  <c r="AI1835" i="1"/>
  <c r="AJ1835" i="1"/>
  <c r="AK1835" i="1"/>
  <c r="C1836" i="1"/>
  <c r="H1836" i="1"/>
  <c r="I1836" i="1"/>
  <c r="J1836" i="1"/>
  <c r="K1836" i="1"/>
  <c r="M1836" i="1"/>
  <c r="P1836" i="1"/>
  <c r="R1836" i="1"/>
  <c r="S1836" i="1"/>
  <c r="T1836" i="1"/>
  <c r="U1836" i="1"/>
  <c r="X1836" i="1"/>
  <c r="Y1836" i="1"/>
  <c r="Z1836" i="1"/>
  <c r="AA1836" i="1"/>
  <c r="AB1836" i="1"/>
  <c r="AC1836" i="1"/>
  <c r="AD1836" i="1"/>
  <c r="AE1836" i="1"/>
  <c r="AF1836" i="1"/>
  <c r="AG1836" i="1"/>
  <c r="AH1836" i="1"/>
  <c r="AI1836" i="1"/>
  <c r="AJ1836" i="1"/>
  <c r="AK1836" i="1"/>
  <c r="C1837" i="1"/>
  <c r="H1837" i="1"/>
  <c r="I1837" i="1"/>
  <c r="J1837" i="1"/>
  <c r="K1837" i="1"/>
  <c r="M1837" i="1"/>
  <c r="P1837" i="1"/>
  <c r="R1837" i="1"/>
  <c r="S1837" i="1"/>
  <c r="T1837" i="1"/>
  <c r="U1837" i="1"/>
  <c r="X1837" i="1"/>
  <c r="Y1837" i="1"/>
  <c r="Z1837" i="1"/>
  <c r="AA1837" i="1"/>
  <c r="AB1837" i="1"/>
  <c r="AC1837" i="1"/>
  <c r="AD1837" i="1"/>
  <c r="AE1837" i="1"/>
  <c r="AF1837" i="1"/>
  <c r="AG1837" i="1"/>
  <c r="AH1837" i="1"/>
  <c r="AI1837" i="1"/>
  <c r="AJ1837" i="1"/>
  <c r="AK1837" i="1"/>
  <c r="C1838" i="1"/>
  <c r="H1838" i="1"/>
  <c r="I1838" i="1"/>
  <c r="J1838" i="1"/>
  <c r="K1838" i="1"/>
  <c r="M1838" i="1"/>
  <c r="P1838" i="1"/>
  <c r="R1838" i="1"/>
  <c r="S1838" i="1"/>
  <c r="T1838" i="1"/>
  <c r="U1838" i="1"/>
  <c r="X1838" i="1"/>
  <c r="Y1838" i="1"/>
  <c r="Z1838" i="1"/>
  <c r="AA1838" i="1"/>
  <c r="AB1838" i="1"/>
  <c r="AC1838" i="1"/>
  <c r="AD1838" i="1"/>
  <c r="AE1838" i="1"/>
  <c r="AF1838" i="1"/>
  <c r="AG1838" i="1"/>
  <c r="AH1838" i="1"/>
  <c r="AI1838" i="1"/>
  <c r="AJ1838" i="1"/>
  <c r="AK1838" i="1"/>
  <c r="C1839" i="1"/>
  <c r="H1839" i="1"/>
  <c r="I1839" i="1"/>
  <c r="J1839" i="1"/>
  <c r="K1839" i="1"/>
  <c r="M1839" i="1"/>
  <c r="P1839" i="1"/>
  <c r="R1839" i="1"/>
  <c r="S1839" i="1"/>
  <c r="T1839" i="1"/>
  <c r="U1839" i="1"/>
  <c r="X1839" i="1"/>
  <c r="Y1839" i="1"/>
  <c r="Z1839" i="1"/>
  <c r="AA1839" i="1"/>
  <c r="AB1839" i="1"/>
  <c r="AC1839" i="1"/>
  <c r="AD1839" i="1"/>
  <c r="AE1839" i="1"/>
  <c r="AF1839" i="1"/>
  <c r="AG1839" i="1"/>
  <c r="AH1839" i="1"/>
  <c r="AI1839" i="1"/>
  <c r="AJ1839" i="1"/>
  <c r="AK1839" i="1"/>
  <c r="C1840" i="1"/>
  <c r="H1840" i="1"/>
  <c r="I1840" i="1"/>
  <c r="J1840" i="1"/>
  <c r="K1840" i="1"/>
  <c r="M1840" i="1"/>
  <c r="P1840" i="1"/>
  <c r="R1840" i="1"/>
  <c r="S1840" i="1"/>
  <c r="T1840" i="1"/>
  <c r="U1840" i="1"/>
  <c r="X1840" i="1"/>
  <c r="Y1840" i="1"/>
  <c r="Z1840" i="1"/>
  <c r="AA1840" i="1"/>
  <c r="AB1840" i="1"/>
  <c r="AC1840" i="1"/>
  <c r="AD1840" i="1"/>
  <c r="AE1840" i="1"/>
  <c r="AF1840" i="1"/>
  <c r="AG1840" i="1"/>
  <c r="AH1840" i="1"/>
  <c r="AI1840" i="1"/>
  <c r="AJ1840" i="1"/>
  <c r="AK1840" i="1"/>
  <c r="C1841" i="1"/>
  <c r="H1841" i="1"/>
  <c r="I1841" i="1"/>
  <c r="J1841" i="1"/>
  <c r="K1841" i="1"/>
  <c r="M1841" i="1"/>
  <c r="P1841" i="1"/>
  <c r="R1841" i="1"/>
  <c r="S1841" i="1"/>
  <c r="T1841" i="1"/>
  <c r="U1841" i="1"/>
  <c r="X1841" i="1"/>
  <c r="Y1841" i="1"/>
  <c r="Z1841" i="1"/>
  <c r="AA1841" i="1"/>
  <c r="AB1841" i="1"/>
  <c r="AC1841" i="1"/>
  <c r="AD1841" i="1"/>
  <c r="AE1841" i="1"/>
  <c r="AF1841" i="1"/>
  <c r="AG1841" i="1"/>
  <c r="AH1841" i="1"/>
  <c r="AI1841" i="1"/>
  <c r="AJ1841" i="1"/>
  <c r="AK1841" i="1"/>
  <c r="C1822" i="1"/>
  <c r="H1822" i="1"/>
  <c r="I1822" i="1"/>
  <c r="J1822" i="1"/>
  <c r="K1822" i="1"/>
  <c r="M1822" i="1"/>
  <c r="P1822" i="1"/>
  <c r="R1822" i="1"/>
  <c r="S1822" i="1"/>
  <c r="T1822" i="1"/>
  <c r="U1822" i="1"/>
  <c r="X1822" i="1"/>
  <c r="Y1822" i="1"/>
  <c r="Z1822" i="1"/>
  <c r="AA1822" i="1"/>
  <c r="AB1822" i="1"/>
  <c r="AC1822" i="1"/>
  <c r="AD1822" i="1"/>
  <c r="AE1822" i="1"/>
  <c r="AF1822" i="1"/>
  <c r="AG1822" i="1"/>
  <c r="AH1822" i="1"/>
  <c r="AI1822" i="1"/>
  <c r="AJ1822" i="1"/>
  <c r="AK1822" i="1"/>
  <c r="C1823" i="1"/>
  <c r="H1823" i="1"/>
  <c r="I1823" i="1"/>
  <c r="J1823" i="1"/>
  <c r="K1823" i="1"/>
  <c r="M1823" i="1"/>
  <c r="P1823" i="1"/>
  <c r="R1823" i="1"/>
  <c r="S1823" i="1"/>
  <c r="T1823" i="1"/>
  <c r="U1823" i="1"/>
  <c r="X1823" i="1"/>
  <c r="Y1823" i="1"/>
  <c r="Z1823" i="1"/>
  <c r="AA1823" i="1"/>
  <c r="AB1823" i="1"/>
  <c r="AC1823" i="1"/>
  <c r="AD1823" i="1"/>
  <c r="AE1823" i="1"/>
  <c r="AF1823" i="1"/>
  <c r="AG1823" i="1"/>
  <c r="AH1823" i="1"/>
  <c r="AI1823" i="1"/>
  <c r="AJ1823" i="1"/>
  <c r="AK1823" i="1"/>
  <c r="C1824" i="1"/>
  <c r="H1824" i="1"/>
  <c r="I1824" i="1"/>
  <c r="J1824" i="1"/>
  <c r="K1824" i="1"/>
  <c r="M1824" i="1"/>
  <c r="P1824" i="1"/>
  <c r="R1824" i="1"/>
  <c r="S1824" i="1"/>
  <c r="T1824" i="1"/>
  <c r="U1824" i="1"/>
  <c r="X1824" i="1"/>
  <c r="Y1824" i="1"/>
  <c r="Z1824" i="1"/>
  <c r="AA1824" i="1"/>
  <c r="AB1824" i="1"/>
  <c r="AC1824" i="1"/>
  <c r="AD1824" i="1"/>
  <c r="AE1824" i="1"/>
  <c r="AF1824" i="1"/>
  <c r="AG1824" i="1"/>
  <c r="AH1824" i="1"/>
  <c r="AI1824" i="1"/>
  <c r="AJ1824" i="1"/>
  <c r="AK1824" i="1"/>
  <c r="C1825" i="1"/>
  <c r="H1825" i="1"/>
  <c r="I1825" i="1"/>
  <c r="J1825" i="1"/>
  <c r="K1825" i="1"/>
  <c r="M1825" i="1"/>
  <c r="P1825" i="1"/>
  <c r="R1825" i="1"/>
  <c r="S1825" i="1"/>
  <c r="T1825" i="1"/>
  <c r="U1825" i="1"/>
  <c r="X1825" i="1"/>
  <c r="Y1825" i="1"/>
  <c r="Z1825" i="1"/>
  <c r="AA1825" i="1"/>
  <c r="AB1825" i="1"/>
  <c r="AC1825" i="1"/>
  <c r="AD1825" i="1"/>
  <c r="AE1825" i="1"/>
  <c r="AF1825" i="1"/>
  <c r="AG1825" i="1"/>
  <c r="AH1825" i="1"/>
  <c r="AI1825" i="1"/>
  <c r="AJ1825" i="1"/>
  <c r="AK1825" i="1"/>
  <c r="C1826" i="1"/>
  <c r="H1826" i="1"/>
  <c r="I1826" i="1"/>
  <c r="J1826" i="1"/>
  <c r="K1826" i="1"/>
  <c r="M1826" i="1"/>
  <c r="P1826" i="1"/>
  <c r="R1826" i="1"/>
  <c r="S1826" i="1"/>
  <c r="T1826" i="1"/>
  <c r="U1826" i="1"/>
  <c r="X1826" i="1"/>
  <c r="Y1826" i="1"/>
  <c r="Z1826" i="1"/>
  <c r="AA1826" i="1"/>
  <c r="AB1826" i="1"/>
  <c r="AC1826" i="1"/>
  <c r="AD1826" i="1"/>
  <c r="AE1826" i="1"/>
  <c r="AF1826" i="1"/>
  <c r="AG1826" i="1"/>
  <c r="AH1826" i="1"/>
  <c r="AI1826" i="1"/>
  <c r="AJ1826" i="1"/>
  <c r="AK1826" i="1"/>
  <c r="C1827" i="1"/>
  <c r="H1827" i="1"/>
  <c r="I1827" i="1"/>
  <c r="J1827" i="1"/>
  <c r="K1827" i="1"/>
  <c r="M1827" i="1"/>
  <c r="P1827" i="1"/>
  <c r="R1827" i="1"/>
  <c r="S1827" i="1"/>
  <c r="T1827" i="1"/>
  <c r="U1827" i="1"/>
  <c r="X1827" i="1"/>
  <c r="Y1827" i="1"/>
  <c r="Z1827" i="1"/>
  <c r="AA1827" i="1"/>
  <c r="AB1827" i="1"/>
  <c r="AC1827" i="1"/>
  <c r="AD1827" i="1"/>
  <c r="AE1827" i="1"/>
  <c r="AF1827" i="1"/>
  <c r="AG1827" i="1"/>
  <c r="AH1827" i="1"/>
  <c r="AI1827" i="1"/>
  <c r="AJ1827" i="1"/>
  <c r="AK1827" i="1"/>
  <c r="C1828" i="1"/>
  <c r="H1828" i="1"/>
  <c r="I1828" i="1"/>
  <c r="J1828" i="1"/>
  <c r="K1828" i="1"/>
  <c r="M1828" i="1"/>
  <c r="P1828" i="1"/>
  <c r="R1828" i="1"/>
  <c r="S1828" i="1"/>
  <c r="T1828" i="1"/>
  <c r="U1828" i="1"/>
  <c r="X1828" i="1"/>
  <c r="Y1828" i="1"/>
  <c r="Z1828" i="1"/>
  <c r="AA1828" i="1"/>
  <c r="AB1828" i="1"/>
  <c r="AC1828" i="1"/>
  <c r="AD1828" i="1"/>
  <c r="AE1828" i="1"/>
  <c r="AF1828" i="1"/>
  <c r="AG1828" i="1"/>
  <c r="AH1828" i="1"/>
  <c r="AI1828" i="1"/>
  <c r="AJ1828" i="1"/>
  <c r="AK1828" i="1"/>
  <c r="C1829" i="1"/>
  <c r="H1829" i="1"/>
  <c r="I1829" i="1"/>
  <c r="J1829" i="1"/>
  <c r="K1829" i="1"/>
  <c r="M1829" i="1"/>
  <c r="P1829" i="1"/>
  <c r="R1829" i="1"/>
  <c r="S1829" i="1"/>
  <c r="T1829" i="1"/>
  <c r="U1829" i="1"/>
  <c r="X1829" i="1"/>
  <c r="Y1829" i="1"/>
  <c r="Z1829" i="1"/>
  <c r="AA1829" i="1"/>
  <c r="AB1829" i="1"/>
  <c r="AC1829" i="1"/>
  <c r="AD1829" i="1"/>
  <c r="AE1829" i="1"/>
  <c r="AF1829" i="1"/>
  <c r="AG1829" i="1"/>
  <c r="AH1829" i="1"/>
  <c r="AI1829" i="1"/>
  <c r="AJ1829" i="1"/>
  <c r="AK1829" i="1"/>
  <c r="C1830" i="1"/>
  <c r="H1830" i="1"/>
  <c r="I1830" i="1"/>
  <c r="J1830" i="1"/>
  <c r="K1830" i="1"/>
  <c r="M1830" i="1"/>
  <c r="P1830" i="1"/>
  <c r="R1830" i="1"/>
  <c r="S1830" i="1"/>
  <c r="T1830" i="1"/>
  <c r="U1830" i="1"/>
  <c r="X1830" i="1"/>
  <c r="Y1830" i="1"/>
  <c r="Z1830" i="1"/>
  <c r="AA1830" i="1"/>
  <c r="AB1830" i="1"/>
  <c r="AC1830" i="1"/>
  <c r="AD1830" i="1"/>
  <c r="AE1830" i="1"/>
  <c r="AF1830" i="1"/>
  <c r="AG1830" i="1"/>
  <c r="AH1830" i="1"/>
  <c r="AI1830" i="1"/>
  <c r="AJ1830" i="1"/>
  <c r="AK1830" i="1"/>
  <c r="C1831" i="1"/>
  <c r="H1831" i="1"/>
  <c r="I1831" i="1"/>
  <c r="J1831" i="1"/>
  <c r="K1831" i="1"/>
  <c r="M1831" i="1"/>
  <c r="P1831" i="1"/>
  <c r="R1831" i="1"/>
  <c r="S1831" i="1"/>
  <c r="T1831" i="1"/>
  <c r="U1831" i="1"/>
  <c r="X1831" i="1"/>
  <c r="Y1831" i="1"/>
  <c r="Z1831" i="1"/>
  <c r="AA1831" i="1"/>
  <c r="AB1831" i="1"/>
  <c r="AC1831" i="1"/>
  <c r="AD1831" i="1"/>
  <c r="AE1831" i="1"/>
  <c r="AF1831" i="1"/>
  <c r="AG1831" i="1"/>
  <c r="AH1831" i="1"/>
  <c r="AI1831" i="1"/>
  <c r="AJ1831" i="1"/>
  <c r="AK1831" i="1"/>
  <c r="C1812" i="1"/>
  <c r="H1812" i="1"/>
  <c r="I1812" i="1"/>
  <c r="J1812" i="1"/>
  <c r="K1812" i="1"/>
  <c r="M1812" i="1"/>
  <c r="P1812" i="1"/>
  <c r="R1812" i="1"/>
  <c r="S1812" i="1"/>
  <c r="T1812" i="1"/>
  <c r="U1812" i="1"/>
  <c r="X1812" i="1"/>
  <c r="Y1812" i="1"/>
  <c r="Z1812" i="1"/>
  <c r="AA1812" i="1"/>
  <c r="AB1812" i="1"/>
  <c r="AC1812" i="1"/>
  <c r="AD1812" i="1"/>
  <c r="AE1812" i="1"/>
  <c r="AF1812" i="1"/>
  <c r="AG1812" i="1"/>
  <c r="AH1812" i="1"/>
  <c r="AI1812" i="1"/>
  <c r="AJ1812" i="1"/>
  <c r="AK1812" i="1"/>
  <c r="C1813" i="1"/>
  <c r="H1813" i="1"/>
  <c r="I1813" i="1"/>
  <c r="J1813" i="1"/>
  <c r="K1813" i="1"/>
  <c r="M1813" i="1"/>
  <c r="P1813" i="1"/>
  <c r="R1813" i="1"/>
  <c r="S1813" i="1"/>
  <c r="T1813" i="1"/>
  <c r="U1813" i="1"/>
  <c r="X1813" i="1"/>
  <c r="Y1813" i="1"/>
  <c r="Z1813" i="1"/>
  <c r="AA1813" i="1"/>
  <c r="AB1813" i="1"/>
  <c r="AC1813" i="1"/>
  <c r="AD1813" i="1"/>
  <c r="AE1813" i="1"/>
  <c r="AF1813" i="1"/>
  <c r="AG1813" i="1"/>
  <c r="AH1813" i="1"/>
  <c r="AI1813" i="1"/>
  <c r="AJ1813" i="1"/>
  <c r="AK1813" i="1"/>
  <c r="C1814" i="1"/>
  <c r="H1814" i="1"/>
  <c r="I1814" i="1"/>
  <c r="J1814" i="1"/>
  <c r="K1814" i="1"/>
  <c r="M1814" i="1"/>
  <c r="P1814" i="1"/>
  <c r="R1814" i="1"/>
  <c r="S1814" i="1"/>
  <c r="T1814" i="1"/>
  <c r="U1814" i="1"/>
  <c r="X1814" i="1"/>
  <c r="Y1814" i="1"/>
  <c r="Z1814" i="1"/>
  <c r="AA1814" i="1"/>
  <c r="AB1814" i="1"/>
  <c r="AC1814" i="1"/>
  <c r="AD1814" i="1"/>
  <c r="AE1814" i="1"/>
  <c r="AF1814" i="1"/>
  <c r="AG1814" i="1"/>
  <c r="AH1814" i="1"/>
  <c r="AI1814" i="1"/>
  <c r="AJ1814" i="1"/>
  <c r="AK1814" i="1"/>
  <c r="C1815" i="1"/>
  <c r="H1815" i="1"/>
  <c r="I1815" i="1"/>
  <c r="J1815" i="1"/>
  <c r="K1815" i="1"/>
  <c r="M1815" i="1"/>
  <c r="P1815" i="1"/>
  <c r="R1815" i="1"/>
  <c r="S1815" i="1"/>
  <c r="T1815" i="1"/>
  <c r="U1815" i="1"/>
  <c r="X1815" i="1"/>
  <c r="Y1815" i="1"/>
  <c r="Z1815" i="1"/>
  <c r="AA1815" i="1"/>
  <c r="AB1815" i="1"/>
  <c r="AC1815" i="1"/>
  <c r="AD1815" i="1"/>
  <c r="AE1815" i="1"/>
  <c r="AF1815" i="1"/>
  <c r="AG1815" i="1"/>
  <c r="AH1815" i="1"/>
  <c r="AI1815" i="1"/>
  <c r="AJ1815" i="1"/>
  <c r="AK1815" i="1"/>
  <c r="C1816" i="1"/>
  <c r="H1816" i="1"/>
  <c r="I1816" i="1"/>
  <c r="J1816" i="1"/>
  <c r="K1816" i="1"/>
  <c r="M1816" i="1"/>
  <c r="P1816" i="1"/>
  <c r="R1816" i="1"/>
  <c r="S1816" i="1"/>
  <c r="T1816" i="1"/>
  <c r="U1816" i="1"/>
  <c r="X1816" i="1"/>
  <c r="Y1816" i="1"/>
  <c r="Z1816" i="1"/>
  <c r="AA1816" i="1"/>
  <c r="AB1816" i="1"/>
  <c r="AC1816" i="1"/>
  <c r="AD1816" i="1"/>
  <c r="AE1816" i="1"/>
  <c r="AF1816" i="1"/>
  <c r="AG1816" i="1"/>
  <c r="AH1816" i="1"/>
  <c r="AI1816" i="1"/>
  <c r="AJ1816" i="1"/>
  <c r="AK1816" i="1"/>
  <c r="C1817" i="1"/>
  <c r="H1817" i="1"/>
  <c r="I1817" i="1"/>
  <c r="J1817" i="1"/>
  <c r="K1817" i="1"/>
  <c r="M1817" i="1"/>
  <c r="P1817" i="1"/>
  <c r="R1817" i="1"/>
  <c r="S1817" i="1"/>
  <c r="T1817" i="1"/>
  <c r="U1817" i="1"/>
  <c r="X1817" i="1"/>
  <c r="Y1817" i="1"/>
  <c r="Z1817" i="1"/>
  <c r="AA1817" i="1"/>
  <c r="AB1817" i="1"/>
  <c r="AC1817" i="1"/>
  <c r="AD1817" i="1"/>
  <c r="AE1817" i="1"/>
  <c r="AF1817" i="1"/>
  <c r="AG1817" i="1"/>
  <c r="AH1817" i="1"/>
  <c r="AI1817" i="1"/>
  <c r="AJ1817" i="1"/>
  <c r="AK1817" i="1"/>
  <c r="C1818" i="1"/>
  <c r="H1818" i="1"/>
  <c r="I1818" i="1"/>
  <c r="J1818" i="1"/>
  <c r="K1818" i="1"/>
  <c r="M1818" i="1"/>
  <c r="P1818" i="1"/>
  <c r="R1818" i="1"/>
  <c r="S1818" i="1"/>
  <c r="T1818" i="1"/>
  <c r="U1818" i="1"/>
  <c r="X1818" i="1"/>
  <c r="Y1818" i="1"/>
  <c r="Z1818" i="1"/>
  <c r="AA1818" i="1"/>
  <c r="AB1818" i="1"/>
  <c r="AC1818" i="1"/>
  <c r="AD1818" i="1"/>
  <c r="AE1818" i="1"/>
  <c r="AF1818" i="1"/>
  <c r="AG1818" i="1"/>
  <c r="AH1818" i="1"/>
  <c r="AI1818" i="1"/>
  <c r="AJ1818" i="1"/>
  <c r="AK1818" i="1"/>
  <c r="C1819" i="1"/>
  <c r="H1819" i="1"/>
  <c r="I1819" i="1"/>
  <c r="J1819" i="1"/>
  <c r="K1819" i="1"/>
  <c r="M1819" i="1"/>
  <c r="P1819" i="1"/>
  <c r="R1819" i="1"/>
  <c r="S1819" i="1"/>
  <c r="T1819" i="1"/>
  <c r="U1819" i="1"/>
  <c r="X1819" i="1"/>
  <c r="Y1819" i="1"/>
  <c r="Z1819" i="1"/>
  <c r="AA1819" i="1"/>
  <c r="AB1819" i="1"/>
  <c r="AC1819" i="1"/>
  <c r="AD1819" i="1"/>
  <c r="AE1819" i="1"/>
  <c r="AF1819" i="1"/>
  <c r="AG1819" i="1"/>
  <c r="AH1819" i="1"/>
  <c r="AI1819" i="1"/>
  <c r="AJ1819" i="1"/>
  <c r="AK1819" i="1"/>
  <c r="C1820" i="1"/>
  <c r="H1820" i="1"/>
  <c r="I1820" i="1"/>
  <c r="J1820" i="1"/>
  <c r="K1820" i="1"/>
  <c r="M1820" i="1"/>
  <c r="P1820" i="1"/>
  <c r="R1820" i="1"/>
  <c r="S1820" i="1"/>
  <c r="T1820" i="1"/>
  <c r="U1820" i="1"/>
  <c r="X1820" i="1"/>
  <c r="Y1820" i="1"/>
  <c r="Z1820" i="1"/>
  <c r="AA1820" i="1"/>
  <c r="AB1820" i="1"/>
  <c r="AC1820" i="1"/>
  <c r="AD1820" i="1"/>
  <c r="AE1820" i="1"/>
  <c r="AF1820" i="1"/>
  <c r="AG1820" i="1"/>
  <c r="AH1820" i="1"/>
  <c r="AI1820" i="1"/>
  <c r="AJ1820" i="1"/>
  <c r="AK1820" i="1"/>
  <c r="C1821" i="1"/>
  <c r="H1821" i="1"/>
  <c r="I1821" i="1"/>
  <c r="J1821" i="1"/>
  <c r="K1821" i="1"/>
  <c r="M1821" i="1"/>
  <c r="P1821" i="1"/>
  <c r="R1821" i="1"/>
  <c r="S1821" i="1"/>
  <c r="T1821" i="1"/>
  <c r="U1821" i="1"/>
  <c r="X1821" i="1"/>
  <c r="Y1821" i="1"/>
  <c r="Z1821" i="1"/>
  <c r="AA1821" i="1"/>
  <c r="AB1821" i="1"/>
  <c r="AC1821" i="1"/>
  <c r="AD1821" i="1"/>
  <c r="AE1821" i="1"/>
  <c r="AF1821" i="1"/>
  <c r="AG1821" i="1"/>
  <c r="AH1821" i="1"/>
  <c r="AI1821" i="1"/>
  <c r="AJ1821" i="1"/>
  <c r="AK1821" i="1"/>
  <c r="C1802" i="1"/>
  <c r="H1802" i="1"/>
  <c r="I1802" i="1"/>
  <c r="J1802" i="1"/>
  <c r="K1802" i="1"/>
  <c r="M1802" i="1"/>
  <c r="P1802" i="1"/>
  <c r="R1802" i="1"/>
  <c r="S1802" i="1"/>
  <c r="T1802" i="1"/>
  <c r="U1802" i="1"/>
  <c r="X1802" i="1"/>
  <c r="Y1802" i="1"/>
  <c r="Z1802" i="1"/>
  <c r="AA1802" i="1"/>
  <c r="AB1802" i="1"/>
  <c r="AC1802" i="1"/>
  <c r="AD1802" i="1"/>
  <c r="AE1802" i="1"/>
  <c r="AF1802" i="1"/>
  <c r="AG1802" i="1"/>
  <c r="AH1802" i="1"/>
  <c r="AI1802" i="1"/>
  <c r="AJ1802" i="1"/>
  <c r="AK1802" i="1"/>
  <c r="C1803" i="1"/>
  <c r="H1803" i="1"/>
  <c r="I1803" i="1"/>
  <c r="J1803" i="1"/>
  <c r="K1803" i="1"/>
  <c r="M1803" i="1"/>
  <c r="P1803" i="1"/>
  <c r="R1803" i="1"/>
  <c r="S1803" i="1"/>
  <c r="T1803" i="1"/>
  <c r="U1803" i="1"/>
  <c r="X1803" i="1"/>
  <c r="Y1803" i="1"/>
  <c r="Z1803" i="1"/>
  <c r="AA1803" i="1"/>
  <c r="AB1803" i="1"/>
  <c r="AC1803" i="1"/>
  <c r="AD1803" i="1"/>
  <c r="AE1803" i="1"/>
  <c r="AF1803" i="1"/>
  <c r="AG1803" i="1"/>
  <c r="AH1803" i="1"/>
  <c r="AI1803" i="1"/>
  <c r="AJ1803" i="1"/>
  <c r="AK1803" i="1"/>
  <c r="C1804" i="1"/>
  <c r="H1804" i="1"/>
  <c r="I1804" i="1"/>
  <c r="J1804" i="1"/>
  <c r="K1804" i="1"/>
  <c r="M1804" i="1"/>
  <c r="P1804" i="1"/>
  <c r="R1804" i="1"/>
  <c r="S1804" i="1"/>
  <c r="T1804" i="1"/>
  <c r="U1804" i="1"/>
  <c r="X1804" i="1"/>
  <c r="Y1804" i="1"/>
  <c r="Z1804" i="1"/>
  <c r="AA1804" i="1"/>
  <c r="AB1804" i="1"/>
  <c r="AC1804" i="1"/>
  <c r="AD1804" i="1"/>
  <c r="AE1804" i="1"/>
  <c r="AF1804" i="1"/>
  <c r="AG1804" i="1"/>
  <c r="AH1804" i="1"/>
  <c r="AI1804" i="1"/>
  <c r="AJ1804" i="1"/>
  <c r="AK1804" i="1"/>
  <c r="C1805" i="1"/>
  <c r="H1805" i="1"/>
  <c r="I1805" i="1"/>
  <c r="J1805" i="1"/>
  <c r="K1805" i="1"/>
  <c r="M1805" i="1"/>
  <c r="P1805" i="1"/>
  <c r="R1805" i="1"/>
  <c r="S1805" i="1"/>
  <c r="T1805" i="1"/>
  <c r="U1805" i="1"/>
  <c r="X1805" i="1"/>
  <c r="Y1805" i="1"/>
  <c r="Z1805" i="1"/>
  <c r="AA1805" i="1"/>
  <c r="AB1805" i="1"/>
  <c r="AC1805" i="1"/>
  <c r="AD1805" i="1"/>
  <c r="AE1805" i="1"/>
  <c r="AF1805" i="1"/>
  <c r="AG1805" i="1"/>
  <c r="AH1805" i="1"/>
  <c r="AI1805" i="1"/>
  <c r="AJ1805" i="1"/>
  <c r="AK1805" i="1"/>
  <c r="C1806" i="1"/>
  <c r="H1806" i="1"/>
  <c r="I1806" i="1"/>
  <c r="J1806" i="1"/>
  <c r="K1806" i="1"/>
  <c r="M1806" i="1"/>
  <c r="P1806" i="1"/>
  <c r="R1806" i="1"/>
  <c r="S1806" i="1"/>
  <c r="T1806" i="1"/>
  <c r="U1806" i="1"/>
  <c r="X1806" i="1"/>
  <c r="Y1806" i="1"/>
  <c r="Z1806" i="1"/>
  <c r="AA1806" i="1"/>
  <c r="AB1806" i="1"/>
  <c r="AC1806" i="1"/>
  <c r="AD1806" i="1"/>
  <c r="AE1806" i="1"/>
  <c r="AF1806" i="1"/>
  <c r="AG1806" i="1"/>
  <c r="AH1806" i="1"/>
  <c r="AI1806" i="1"/>
  <c r="AJ1806" i="1"/>
  <c r="AK1806" i="1"/>
  <c r="C1807" i="1"/>
  <c r="H1807" i="1"/>
  <c r="I1807" i="1"/>
  <c r="J1807" i="1"/>
  <c r="K1807" i="1"/>
  <c r="M1807" i="1"/>
  <c r="P1807" i="1"/>
  <c r="R1807" i="1"/>
  <c r="S1807" i="1"/>
  <c r="T1807" i="1"/>
  <c r="U1807" i="1"/>
  <c r="X1807" i="1"/>
  <c r="Y1807" i="1"/>
  <c r="Z1807" i="1"/>
  <c r="AA1807" i="1"/>
  <c r="AB1807" i="1"/>
  <c r="AC1807" i="1"/>
  <c r="AD1807" i="1"/>
  <c r="AE1807" i="1"/>
  <c r="AF1807" i="1"/>
  <c r="AG1807" i="1"/>
  <c r="AH1807" i="1"/>
  <c r="AI1807" i="1"/>
  <c r="AJ1807" i="1"/>
  <c r="AK1807" i="1"/>
  <c r="C1808" i="1"/>
  <c r="H1808" i="1"/>
  <c r="I1808" i="1"/>
  <c r="J1808" i="1"/>
  <c r="K1808" i="1"/>
  <c r="M1808" i="1"/>
  <c r="P1808" i="1"/>
  <c r="R1808" i="1"/>
  <c r="S1808" i="1"/>
  <c r="T1808" i="1"/>
  <c r="U1808" i="1"/>
  <c r="X1808" i="1"/>
  <c r="Y1808" i="1"/>
  <c r="Z1808" i="1"/>
  <c r="AA1808" i="1"/>
  <c r="AB1808" i="1"/>
  <c r="AC1808" i="1"/>
  <c r="AD1808" i="1"/>
  <c r="AE1808" i="1"/>
  <c r="AF1808" i="1"/>
  <c r="AG1808" i="1"/>
  <c r="AH1808" i="1"/>
  <c r="AI1808" i="1"/>
  <c r="AJ1808" i="1"/>
  <c r="AK1808" i="1"/>
  <c r="C1809" i="1"/>
  <c r="H1809" i="1"/>
  <c r="I1809" i="1"/>
  <c r="J1809" i="1"/>
  <c r="K1809" i="1"/>
  <c r="M1809" i="1"/>
  <c r="P1809" i="1"/>
  <c r="R1809" i="1"/>
  <c r="S1809" i="1"/>
  <c r="T1809" i="1"/>
  <c r="U1809" i="1"/>
  <c r="X1809" i="1"/>
  <c r="Y1809" i="1"/>
  <c r="Z1809" i="1"/>
  <c r="AA1809" i="1"/>
  <c r="AB1809" i="1"/>
  <c r="AC1809" i="1"/>
  <c r="AD1809" i="1"/>
  <c r="AE1809" i="1"/>
  <c r="AF1809" i="1"/>
  <c r="AG1809" i="1"/>
  <c r="AH1809" i="1"/>
  <c r="AI1809" i="1"/>
  <c r="AJ1809" i="1"/>
  <c r="AK1809" i="1"/>
  <c r="C1810" i="1"/>
  <c r="H1810" i="1"/>
  <c r="I1810" i="1"/>
  <c r="J1810" i="1"/>
  <c r="K1810" i="1"/>
  <c r="M1810" i="1"/>
  <c r="P1810" i="1"/>
  <c r="R1810" i="1"/>
  <c r="S1810" i="1"/>
  <c r="T1810" i="1"/>
  <c r="U1810" i="1"/>
  <c r="X1810" i="1"/>
  <c r="Y1810" i="1"/>
  <c r="Z1810" i="1"/>
  <c r="AA1810" i="1"/>
  <c r="AB1810" i="1"/>
  <c r="AC1810" i="1"/>
  <c r="AD1810" i="1"/>
  <c r="AE1810" i="1"/>
  <c r="AF1810" i="1"/>
  <c r="AG1810" i="1"/>
  <c r="AH1810" i="1"/>
  <c r="AI1810" i="1"/>
  <c r="AJ1810" i="1"/>
  <c r="AK1810" i="1"/>
  <c r="C1811" i="1"/>
  <c r="H1811" i="1"/>
  <c r="I1811" i="1"/>
  <c r="J1811" i="1"/>
  <c r="K1811" i="1"/>
  <c r="M1811" i="1"/>
  <c r="P1811" i="1"/>
  <c r="R1811" i="1"/>
  <c r="S1811" i="1"/>
  <c r="T1811" i="1"/>
  <c r="U1811" i="1"/>
  <c r="X1811" i="1"/>
  <c r="Y1811" i="1"/>
  <c r="Z1811" i="1"/>
  <c r="AA1811" i="1"/>
  <c r="AB1811" i="1"/>
  <c r="AC1811" i="1"/>
  <c r="AD1811" i="1"/>
  <c r="AE1811" i="1"/>
  <c r="AF1811" i="1"/>
  <c r="AG1811" i="1"/>
  <c r="AH1811" i="1"/>
  <c r="AI1811" i="1"/>
  <c r="AJ1811" i="1"/>
  <c r="AK1811" i="1"/>
  <c r="C1792" i="1"/>
  <c r="H1792" i="1"/>
  <c r="I1792" i="1"/>
  <c r="J1792" i="1"/>
  <c r="K1792" i="1"/>
  <c r="M1792" i="1"/>
  <c r="P1792" i="1"/>
  <c r="R1792" i="1"/>
  <c r="S1792" i="1"/>
  <c r="T1792" i="1"/>
  <c r="U1792" i="1"/>
  <c r="X1792" i="1"/>
  <c r="Y1792" i="1"/>
  <c r="Z1792" i="1"/>
  <c r="AA1792" i="1"/>
  <c r="AB1792" i="1"/>
  <c r="AC1792" i="1"/>
  <c r="AD1792" i="1"/>
  <c r="AE1792" i="1"/>
  <c r="AF1792" i="1"/>
  <c r="AG1792" i="1"/>
  <c r="AH1792" i="1"/>
  <c r="AI1792" i="1"/>
  <c r="AJ1792" i="1"/>
  <c r="AK1792" i="1"/>
  <c r="C1793" i="1"/>
  <c r="H1793" i="1"/>
  <c r="I1793" i="1"/>
  <c r="J1793" i="1"/>
  <c r="K1793" i="1"/>
  <c r="M1793" i="1"/>
  <c r="P1793" i="1"/>
  <c r="R1793" i="1"/>
  <c r="S1793" i="1"/>
  <c r="T1793" i="1"/>
  <c r="U1793" i="1"/>
  <c r="X1793" i="1"/>
  <c r="Y1793" i="1"/>
  <c r="Z1793" i="1"/>
  <c r="AA1793" i="1"/>
  <c r="AB1793" i="1"/>
  <c r="AC1793" i="1"/>
  <c r="AD1793" i="1"/>
  <c r="AE1793" i="1"/>
  <c r="AF1793" i="1"/>
  <c r="AG1793" i="1"/>
  <c r="AH1793" i="1"/>
  <c r="AI1793" i="1"/>
  <c r="AJ1793" i="1"/>
  <c r="AK1793" i="1"/>
  <c r="C1794" i="1"/>
  <c r="H1794" i="1"/>
  <c r="I1794" i="1"/>
  <c r="J1794" i="1"/>
  <c r="K1794" i="1"/>
  <c r="M1794" i="1"/>
  <c r="P1794" i="1"/>
  <c r="R1794" i="1"/>
  <c r="S1794" i="1"/>
  <c r="T1794" i="1"/>
  <c r="U1794" i="1"/>
  <c r="X1794" i="1"/>
  <c r="Y1794" i="1"/>
  <c r="Z1794" i="1"/>
  <c r="AA1794" i="1"/>
  <c r="AB1794" i="1"/>
  <c r="AC1794" i="1"/>
  <c r="AD1794" i="1"/>
  <c r="AE1794" i="1"/>
  <c r="AF1794" i="1"/>
  <c r="AG1794" i="1"/>
  <c r="AH1794" i="1"/>
  <c r="AI1794" i="1"/>
  <c r="AJ1794" i="1"/>
  <c r="AK1794" i="1"/>
  <c r="C1795" i="1"/>
  <c r="H1795" i="1"/>
  <c r="I1795" i="1"/>
  <c r="J1795" i="1"/>
  <c r="K1795" i="1"/>
  <c r="M1795" i="1"/>
  <c r="P1795" i="1"/>
  <c r="R1795" i="1"/>
  <c r="S1795" i="1"/>
  <c r="T1795" i="1"/>
  <c r="U1795" i="1"/>
  <c r="X1795" i="1"/>
  <c r="Y1795" i="1"/>
  <c r="Z1795" i="1"/>
  <c r="AA1795" i="1"/>
  <c r="AB1795" i="1"/>
  <c r="AC1795" i="1"/>
  <c r="AD1795" i="1"/>
  <c r="AE1795" i="1"/>
  <c r="AF1795" i="1"/>
  <c r="AG1795" i="1"/>
  <c r="AH1795" i="1"/>
  <c r="AI1795" i="1"/>
  <c r="AJ1795" i="1"/>
  <c r="AK1795" i="1"/>
  <c r="C1796" i="1"/>
  <c r="H1796" i="1"/>
  <c r="I1796" i="1"/>
  <c r="J1796" i="1"/>
  <c r="K1796" i="1"/>
  <c r="M1796" i="1"/>
  <c r="P1796" i="1"/>
  <c r="R1796" i="1"/>
  <c r="S1796" i="1"/>
  <c r="T1796" i="1"/>
  <c r="U1796" i="1"/>
  <c r="X1796" i="1"/>
  <c r="Y1796" i="1"/>
  <c r="Z1796" i="1"/>
  <c r="AA1796" i="1"/>
  <c r="AB1796" i="1"/>
  <c r="AC1796" i="1"/>
  <c r="AD1796" i="1"/>
  <c r="AE1796" i="1"/>
  <c r="AF1796" i="1"/>
  <c r="AG1796" i="1"/>
  <c r="AH1796" i="1"/>
  <c r="AI1796" i="1"/>
  <c r="AJ1796" i="1"/>
  <c r="AK1796" i="1"/>
  <c r="C1797" i="1"/>
  <c r="H1797" i="1"/>
  <c r="I1797" i="1"/>
  <c r="J1797" i="1"/>
  <c r="K1797" i="1"/>
  <c r="M1797" i="1"/>
  <c r="P1797" i="1"/>
  <c r="R1797" i="1"/>
  <c r="S1797" i="1"/>
  <c r="T1797" i="1"/>
  <c r="U1797" i="1"/>
  <c r="X1797" i="1"/>
  <c r="Y1797" i="1"/>
  <c r="Z1797" i="1"/>
  <c r="AA1797" i="1"/>
  <c r="AB1797" i="1"/>
  <c r="AC1797" i="1"/>
  <c r="AD1797" i="1"/>
  <c r="AE1797" i="1"/>
  <c r="AF1797" i="1"/>
  <c r="AG1797" i="1"/>
  <c r="AH1797" i="1"/>
  <c r="AI1797" i="1"/>
  <c r="AJ1797" i="1"/>
  <c r="AK1797" i="1"/>
  <c r="C1798" i="1"/>
  <c r="H1798" i="1"/>
  <c r="I1798" i="1"/>
  <c r="J1798" i="1"/>
  <c r="K1798" i="1"/>
  <c r="M1798" i="1"/>
  <c r="P1798" i="1"/>
  <c r="R1798" i="1"/>
  <c r="S1798" i="1"/>
  <c r="T1798" i="1"/>
  <c r="U1798" i="1"/>
  <c r="X1798" i="1"/>
  <c r="Y1798" i="1"/>
  <c r="Z1798" i="1"/>
  <c r="AA1798" i="1"/>
  <c r="AB1798" i="1"/>
  <c r="AC1798" i="1"/>
  <c r="AD1798" i="1"/>
  <c r="AE1798" i="1"/>
  <c r="AF1798" i="1"/>
  <c r="AG1798" i="1"/>
  <c r="AH1798" i="1"/>
  <c r="AI1798" i="1"/>
  <c r="AJ1798" i="1"/>
  <c r="AK1798" i="1"/>
  <c r="C1799" i="1"/>
  <c r="H1799" i="1"/>
  <c r="I1799" i="1"/>
  <c r="J1799" i="1"/>
  <c r="K1799" i="1"/>
  <c r="M1799" i="1"/>
  <c r="P1799" i="1"/>
  <c r="R1799" i="1"/>
  <c r="S1799" i="1"/>
  <c r="T1799" i="1"/>
  <c r="U1799" i="1"/>
  <c r="X1799" i="1"/>
  <c r="Y1799" i="1"/>
  <c r="Z1799" i="1"/>
  <c r="AA1799" i="1"/>
  <c r="AB1799" i="1"/>
  <c r="AC1799" i="1"/>
  <c r="AD1799" i="1"/>
  <c r="AE1799" i="1"/>
  <c r="AF1799" i="1"/>
  <c r="AG1799" i="1"/>
  <c r="AH1799" i="1"/>
  <c r="AI1799" i="1"/>
  <c r="AJ1799" i="1"/>
  <c r="AK1799" i="1"/>
  <c r="C1800" i="1"/>
  <c r="H1800" i="1"/>
  <c r="I1800" i="1"/>
  <c r="J1800" i="1"/>
  <c r="K1800" i="1"/>
  <c r="M1800" i="1"/>
  <c r="P1800" i="1"/>
  <c r="R1800" i="1"/>
  <c r="S1800" i="1"/>
  <c r="T1800" i="1"/>
  <c r="U1800" i="1"/>
  <c r="X1800" i="1"/>
  <c r="Y1800" i="1"/>
  <c r="Z1800" i="1"/>
  <c r="AA1800" i="1"/>
  <c r="AB1800" i="1"/>
  <c r="AC1800" i="1"/>
  <c r="AD1800" i="1"/>
  <c r="AE1800" i="1"/>
  <c r="AF1800" i="1"/>
  <c r="AG1800" i="1"/>
  <c r="AH1800" i="1"/>
  <c r="AI1800" i="1"/>
  <c r="AJ1800" i="1"/>
  <c r="AK1800" i="1"/>
  <c r="C1801" i="1"/>
  <c r="H1801" i="1"/>
  <c r="I1801" i="1"/>
  <c r="J1801" i="1"/>
  <c r="K1801" i="1"/>
  <c r="M1801" i="1"/>
  <c r="P1801" i="1"/>
  <c r="R1801" i="1"/>
  <c r="S1801" i="1"/>
  <c r="T1801" i="1"/>
  <c r="U1801" i="1"/>
  <c r="X1801" i="1"/>
  <c r="Y1801" i="1"/>
  <c r="Z1801" i="1"/>
  <c r="AA1801" i="1"/>
  <c r="AB1801" i="1"/>
  <c r="AC1801" i="1"/>
  <c r="AD1801" i="1"/>
  <c r="AE1801" i="1"/>
  <c r="AF1801" i="1"/>
  <c r="AG1801" i="1"/>
  <c r="AH1801" i="1"/>
  <c r="AI1801" i="1"/>
  <c r="AJ1801" i="1"/>
  <c r="AK1801" i="1"/>
  <c r="C1782" i="1"/>
  <c r="H1782" i="1"/>
  <c r="I1782" i="1"/>
  <c r="J1782" i="1"/>
  <c r="K1782" i="1"/>
  <c r="M1782" i="1"/>
  <c r="P1782" i="1"/>
  <c r="R1782" i="1"/>
  <c r="S1782" i="1"/>
  <c r="T1782" i="1"/>
  <c r="U1782" i="1"/>
  <c r="X1782" i="1"/>
  <c r="Y1782" i="1"/>
  <c r="Z1782" i="1"/>
  <c r="AA1782" i="1"/>
  <c r="AB1782" i="1"/>
  <c r="AC1782" i="1"/>
  <c r="AD1782" i="1"/>
  <c r="AE1782" i="1"/>
  <c r="AF1782" i="1"/>
  <c r="AG1782" i="1"/>
  <c r="AH1782" i="1"/>
  <c r="AI1782" i="1"/>
  <c r="AJ1782" i="1"/>
  <c r="AK1782" i="1"/>
  <c r="C1783" i="1"/>
  <c r="H1783" i="1"/>
  <c r="I1783" i="1"/>
  <c r="J1783" i="1"/>
  <c r="K1783" i="1"/>
  <c r="M1783" i="1"/>
  <c r="P1783" i="1"/>
  <c r="R1783" i="1"/>
  <c r="S1783" i="1"/>
  <c r="T1783" i="1"/>
  <c r="U1783" i="1"/>
  <c r="X1783" i="1"/>
  <c r="Y1783" i="1"/>
  <c r="Z1783" i="1"/>
  <c r="AA1783" i="1"/>
  <c r="AB1783" i="1"/>
  <c r="AC1783" i="1"/>
  <c r="AD1783" i="1"/>
  <c r="AE1783" i="1"/>
  <c r="AF1783" i="1"/>
  <c r="AG1783" i="1"/>
  <c r="AH1783" i="1"/>
  <c r="AI1783" i="1"/>
  <c r="AJ1783" i="1"/>
  <c r="AK1783" i="1"/>
  <c r="C1784" i="1"/>
  <c r="H1784" i="1"/>
  <c r="I1784" i="1"/>
  <c r="J1784" i="1"/>
  <c r="K1784" i="1"/>
  <c r="M1784" i="1"/>
  <c r="P1784" i="1"/>
  <c r="R1784" i="1"/>
  <c r="S1784" i="1"/>
  <c r="T1784" i="1"/>
  <c r="U1784" i="1"/>
  <c r="X1784" i="1"/>
  <c r="Y1784" i="1"/>
  <c r="Z1784" i="1"/>
  <c r="AA1784" i="1"/>
  <c r="AB1784" i="1"/>
  <c r="AC1784" i="1"/>
  <c r="AD1784" i="1"/>
  <c r="AE1784" i="1"/>
  <c r="AF1784" i="1"/>
  <c r="AG1784" i="1"/>
  <c r="AH1784" i="1"/>
  <c r="AI1784" i="1"/>
  <c r="AJ1784" i="1"/>
  <c r="AK1784" i="1"/>
  <c r="C1785" i="1"/>
  <c r="H1785" i="1"/>
  <c r="I1785" i="1"/>
  <c r="J1785" i="1"/>
  <c r="K1785" i="1"/>
  <c r="M1785" i="1"/>
  <c r="P1785" i="1"/>
  <c r="R1785" i="1"/>
  <c r="S1785" i="1"/>
  <c r="T1785" i="1"/>
  <c r="U1785" i="1"/>
  <c r="X1785" i="1"/>
  <c r="Y1785" i="1"/>
  <c r="Z1785" i="1"/>
  <c r="AA1785" i="1"/>
  <c r="AB1785" i="1"/>
  <c r="AC1785" i="1"/>
  <c r="AD1785" i="1"/>
  <c r="AE1785" i="1"/>
  <c r="AF1785" i="1"/>
  <c r="AG1785" i="1"/>
  <c r="AH1785" i="1"/>
  <c r="AI1785" i="1"/>
  <c r="AJ1785" i="1"/>
  <c r="AK1785" i="1"/>
  <c r="C1786" i="1"/>
  <c r="H1786" i="1"/>
  <c r="I1786" i="1"/>
  <c r="J1786" i="1"/>
  <c r="K1786" i="1"/>
  <c r="M1786" i="1"/>
  <c r="P1786" i="1"/>
  <c r="R1786" i="1"/>
  <c r="S1786" i="1"/>
  <c r="T1786" i="1"/>
  <c r="U1786" i="1"/>
  <c r="X1786" i="1"/>
  <c r="Y1786" i="1"/>
  <c r="Z1786" i="1"/>
  <c r="AA1786" i="1"/>
  <c r="AB1786" i="1"/>
  <c r="AC1786" i="1"/>
  <c r="AD1786" i="1"/>
  <c r="AE1786" i="1"/>
  <c r="AF1786" i="1"/>
  <c r="AG1786" i="1"/>
  <c r="AH1786" i="1"/>
  <c r="AI1786" i="1"/>
  <c r="AJ1786" i="1"/>
  <c r="AK1786" i="1"/>
  <c r="C1787" i="1"/>
  <c r="H1787" i="1"/>
  <c r="I1787" i="1"/>
  <c r="J1787" i="1"/>
  <c r="K1787" i="1"/>
  <c r="M1787" i="1"/>
  <c r="P1787" i="1"/>
  <c r="R1787" i="1"/>
  <c r="S1787" i="1"/>
  <c r="T1787" i="1"/>
  <c r="U1787" i="1"/>
  <c r="X1787" i="1"/>
  <c r="Y1787" i="1"/>
  <c r="Z1787" i="1"/>
  <c r="AA1787" i="1"/>
  <c r="AB1787" i="1"/>
  <c r="AC1787" i="1"/>
  <c r="AD1787" i="1"/>
  <c r="AE1787" i="1"/>
  <c r="AF1787" i="1"/>
  <c r="AG1787" i="1"/>
  <c r="AH1787" i="1"/>
  <c r="AI1787" i="1"/>
  <c r="AJ1787" i="1"/>
  <c r="AK1787" i="1"/>
  <c r="C1788" i="1"/>
  <c r="H1788" i="1"/>
  <c r="I1788" i="1"/>
  <c r="J1788" i="1"/>
  <c r="K1788" i="1"/>
  <c r="M1788" i="1"/>
  <c r="P1788" i="1"/>
  <c r="R1788" i="1"/>
  <c r="S1788" i="1"/>
  <c r="T1788" i="1"/>
  <c r="U1788" i="1"/>
  <c r="X1788" i="1"/>
  <c r="Y1788" i="1"/>
  <c r="Z1788" i="1"/>
  <c r="AA1788" i="1"/>
  <c r="AB1788" i="1"/>
  <c r="AC1788" i="1"/>
  <c r="AD1788" i="1"/>
  <c r="AE1788" i="1"/>
  <c r="AF1788" i="1"/>
  <c r="AG1788" i="1"/>
  <c r="AH1788" i="1"/>
  <c r="AI1788" i="1"/>
  <c r="AJ1788" i="1"/>
  <c r="AK1788" i="1"/>
  <c r="C1789" i="1"/>
  <c r="H1789" i="1"/>
  <c r="I1789" i="1"/>
  <c r="J1789" i="1"/>
  <c r="K1789" i="1"/>
  <c r="M1789" i="1"/>
  <c r="P1789" i="1"/>
  <c r="R1789" i="1"/>
  <c r="S1789" i="1"/>
  <c r="T1789" i="1"/>
  <c r="U1789" i="1"/>
  <c r="X1789" i="1"/>
  <c r="Y1789" i="1"/>
  <c r="Z1789" i="1"/>
  <c r="AA1789" i="1"/>
  <c r="AB1789" i="1"/>
  <c r="AC1789" i="1"/>
  <c r="AD1789" i="1"/>
  <c r="AE1789" i="1"/>
  <c r="AF1789" i="1"/>
  <c r="AG1789" i="1"/>
  <c r="AH1789" i="1"/>
  <c r="AI1789" i="1"/>
  <c r="AJ1789" i="1"/>
  <c r="AK1789" i="1"/>
  <c r="C1790" i="1"/>
  <c r="H1790" i="1"/>
  <c r="I1790" i="1"/>
  <c r="J1790" i="1"/>
  <c r="K1790" i="1"/>
  <c r="M1790" i="1"/>
  <c r="P1790" i="1"/>
  <c r="R1790" i="1"/>
  <c r="S1790" i="1"/>
  <c r="T1790" i="1"/>
  <c r="U1790" i="1"/>
  <c r="X1790" i="1"/>
  <c r="Y1790" i="1"/>
  <c r="Z1790" i="1"/>
  <c r="AA1790" i="1"/>
  <c r="AB1790" i="1"/>
  <c r="AC1790" i="1"/>
  <c r="AD1790" i="1"/>
  <c r="AE1790" i="1"/>
  <c r="AF1790" i="1"/>
  <c r="AG1790" i="1"/>
  <c r="AH1790" i="1"/>
  <c r="AI1790" i="1"/>
  <c r="AJ1790" i="1"/>
  <c r="AK1790" i="1"/>
  <c r="C1791" i="1"/>
  <c r="H1791" i="1"/>
  <c r="I1791" i="1"/>
  <c r="J1791" i="1"/>
  <c r="K1791" i="1"/>
  <c r="M1791" i="1"/>
  <c r="P1791" i="1"/>
  <c r="R1791" i="1"/>
  <c r="S1791" i="1"/>
  <c r="T1791" i="1"/>
  <c r="U1791" i="1"/>
  <c r="X1791" i="1"/>
  <c r="Y1791" i="1"/>
  <c r="Z1791" i="1"/>
  <c r="AA1791" i="1"/>
  <c r="AB1791" i="1"/>
  <c r="AC1791" i="1"/>
  <c r="AD1791" i="1"/>
  <c r="AE1791" i="1"/>
  <c r="AF1791" i="1"/>
  <c r="AG1791" i="1"/>
  <c r="AH1791" i="1"/>
  <c r="AI1791" i="1"/>
  <c r="AJ1791" i="1"/>
  <c r="AK1791" i="1"/>
  <c r="C1772" i="1"/>
  <c r="H1772" i="1"/>
  <c r="I1772" i="1"/>
  <c r="J1772" i="1"/>
  <c r="K1772" i="1"/>
  <c r="M1772" i="1"/>
  <c r="P1772" i="1"/>
  <c r="R1772" i="1"/>
  <c r="S1772" i="1"/>
  <c r="T1772" i="1"/>
  <c r="U1772" i="1"/>
  <c r="X1772" i="1"/>
  <c r="Y1772" i="1"/>
  <c r="Z1772" i="1"/>
  <c r="AA1772" i="1"/>
  <c r="AB1772" i="1"/>
  <c r="AC1772" i="1"/>
  <c r="AD1772" i="1"/>
  <c r="AE1772" i="1"/>
  <c r="AF1772" i="1"/>
  <c r="AG1772" i="1"/>
  <c r="AH1772" i="1"/>
  <c r="AI1772" i="1"/>
  <c r="AJ1772" i="1"/>
  <c r="AK1772" i="1"/>
  <c r="C1773" i="1"/>
  <c r="H1773" i="1"/>
  <c r="I1773" i="1"/>
  <c r="J1773" i="1"/>
  <c r="K1773" i="1"/>
  <c r="M1773" i="1"/>
  <c r="P1773" i="1"/>
  <c r="R1773" i="1"/>
  <c r="S1773" i="1"/>
  <c r="T1773" i="1"/>
  <c r="U1773" i="1"/>
  <c r="X1773" i="1"/>
  <c r="Y1773" i="1"/>
  <c r="Z1773" i="1"/>
  <c r="AA1773" i="1"/>
  <c r="AB1773" i="1"/>
  <c r="AC1773" i="1"/>
  <c r="AD1773" i="1"/>
  <c r="AE1773" i="1"/>
  <c r="AF1773" i="1"/>
  <c r="AG1773" i="1"/>
  <c r="AH1773" i="1"/>
  <c r="AI1773" i="1"/>
  <c r="AJ1773" i="1"/>
  <c r="AK1773" i="1"/>
  <c r="C1774" i="1"/>
  <c r="H1774" i="1"/>
  <c r="I1774" i="1"/>
  <c r="J1774" i="1"/>
  <c r="K1774" i="1"/>
  <c r="M1774" i="1"/>
  <c r="P1774" i="1"/>
  <c r="R1774" i="1"/>
  <c r="S1774" i="1"/>
  <c r="T1774" i="1"/>
  <c r="U1774" i="1"/>
  <c r="X1774" i="1"/>
  <c r="Y1774" i="1"/>
  <c r="Z1774" i="1"/>
  <c r="AA1774" i="1"/>
  <c r="AB1774" i="1"/>
  <c r="AC1774" i="1"/>
  <c r="AD1774" i="1"/>
  <c r="AE1774" i="1"/>
  <c r="AF1774" i="1"/>
  <c r="AG1774" i="1"/>
  <c r="AH1774" i="1"/>
  <c r="AI1774" i="1"/>
  <c r="AJ1774" i="1"/>
  <c r="AK1774" i="1"/>
  <c r="C1775" i="1"/>
  <c r="H1775" i="1"/>
  <c r="I1775" i="1"/>
  <c r="J1775" i="1"/>
  <c r="K1775" i="1"/>
  <c r="M1775" i="1"/>
  <c r="P1775" i="1"/>
  <c r="R1775" i="1"/>
  <c r="S1775" i="1"/>
  <c r="T1775" i="1"/>
  <c r="U1775" i="1"/>
  <c r="X1775" i="1"/>
  <c r="Y1775" i="1"/>
  <c r="Z1775" i="1"/>
  <c r="AA1775" i="1"/>
  <c r="AB1775" i="1"/>
  <c r="AC1775" i="1"/>
  <c r="AD1775" i="1"/>
  <c r="AE1775" i="1"/>
  <c r="AF1775" i="1"/>
  <c r="AG1775" i="1"/>
  <c r="AH1775" i="1"/>
  <c r="AI1775" i="1"/>
  <c r="AJ1775" i="1"/>
  <c r="AK1775" i="1"/>
  <c r="C1776" i="1"/>
  <c r="H1776" i="1"/>
  <c r="I1776" i="1"/>
  <c r="J1776" i="1"/>
  <c r="K1776" i="1"/>
  <c r="M1776" i="1"/>
  <c r="P1776" i="1"/>
  <c r="R1776" i="1"/>
  <c r="S1776" i="1"/>
  <c r="T1776" i="1"/>
  <c r="U1776" i="1"/>
  <c r="X1776" i="1"/>
  <c r="Y1776" i="1"/>
  <c r="Z1776" i="1"/>
  <c r="AA1776" i="1"/>
  <c r="AB1776" i="1"/>
  <c r="AC1776" i="1"/>
  <c r="AD1776" i="1"/>
  <c r="AE1776" i="1"/>
  <c r="AF1776" i="1"/>
  <c r="AG1776" i="1"/>
  <c r="AH1776" i="1"/>
  <c r="AI1776" i="1"/>
  <c r="AJ1776" i="1"/>
  <c r="AK1776" i="1"/>
  <c r="C1777" i="1"/>
  <c r="H1777" i="1"/>
  <c r="I1777" i="1"/>
  <c r="J1777" i="1"/>
  <c r="K1777" i="1"/>
  <c r="M1777" i="1"/>
  <c r="P1777" i="1"/>
  <c r="R1777" i="1"/>
  <c r="S1777" i="1"/>
  <c r="T1777" i="1"/>
  <c r="U1777" i="1"/>
  <c r="X1777" i="1"/>
  <c r="Y1777" i="1"/>
  <c r="Z1777" i="1"/>
  <c r="AA1777" i="1"/>
  <c r="AB1777" i="1"/>
  <c r="AC1777" i="1"/>
  <c r="AD1777" i="1"/>
  <c r="AE1777" i="1"/>
  <c r="AF1777" i="1"/>
  <c r="AG1777" i="1"/>
  <c r="AH1777" i="1"/>
  <c r="AI1777" i="1"/>
  <c r="AJ1777" i="1"/>
  <c r="AK1777" i="1"/>
  <c r="C1778" i="1"/>
  <c r="H1778" i="1"/>
  <c r="I1778" i="1"/>
  <c r="J1778" i="1"/>
  <c r="K1778" i="1"/>
  <c r="M1778" i="1"/>
  <c r="P1778" i="1"/>
  <c r="R1778" i="1"/>
  <c r="S1778" i="1"/>
  <c r="T1778" i="1"/>
  <c r="U1778" i="1"/>
  <c r="X1778" i="1"/>
  <c r="Y1778" i="1"/>
  <c r="Z1778" i="1"/>
  <c r="AA1778" i="1"/>
  <c r="AB1778" i="1"/>
  <c r="AC1778" i="1"/>
  <c r="AD1778" i="1"/>
  <c r="AE1778" i="1"/>
  <c r="AF1778" i="1"/>
  <c r="AG1778" i="1"/>
  <c r="AH1778" i="1"/>
  <c r="AI1778" i="1"/>
  <c r="AJ1778" i="1"/>
  <c r="AK1778" i="1"/>
  <c r="C1779" i="1"/>
  <c r="H1779" i="1"/>
  <c r="I1779" i="1"/>
  <c r="J1779" i="1"/>
  <c r="K1779" i="1"/>
  <c r="M1779" i="1"/>
  <c r="P1779" i="1"/>
  <c r="R1779" i="1"/>
  <c r="S1779" i="1"/>
  <c r="T1779" i="1"/>
  <c r="U1779" i="1"/>
  <c r="X1779" i="1"/>
  <c r="Y1779" i="1"/>
  <c r="Z1779" i="1"/>
  <c r="AA1779" i="1"/>
  <c r="AB1779" i="1"/>
  <c r="AC1779" i="1"/>
  <c r="AD1779" i="1"/>
  <c r="AE1779" i="1"/>
  <c r="AF1779" i="1"/>
  <c r="AG1779" i="1"/>
  <c r="AH1779" i="1"/>
  <c r="AI1779" i="1"/>
  <c r="AJ1779" i="1"/>
  <c r="AK1779" i="1"/>
  <c r="C1780" i="1"/>
  <c r="H1780" i="1"/>
  <c r="I1780" i="1"/>
  <c r="J1780" i="1"/>
  <c r="K1780" i="1"/>
  <c r="M1780" i="1"/>
  <c r="P1780" i="1"/>
  <c r="R1780" i="1"/>
  <c r="S1780" i="1"/>
  <c r="T1780" i="1"/>
  <c r="U1780" i="1"/>
  <c r="X1780" i="1"/>
  <c r="Y1780" i="1"/>
  <c r="Z1780" i="1"/>
  <c r="AA1780" i="1"/>
  <c r="AB1780" i="1"/>
  <c r="AC1780" i="1"/>
  <c r="AD1780" i="1"/>
  <c r="AE1780" i="1"/>
  <c r="AF1780" i="1"/>
  <c r="AG1780" i="1"/>
  <c r="AH1780" i="1"/>
  <c r="AI1780" i="1"/>
  <c r="AJ1780" i="1"/>
  <c r="AK1780" i="1"/>
  <c r="C1781" i="1"/>
  <c r="H1781" i="1"/>
  <c r="I1781" i="1"/>
  <c r="J1781" i="1"/>
  <c r="K1781" i="1"/>
  <c r="M1781" i="1"/>
  <c r="P1781" i="1"/>
  <c r="R1781" i="1"/>
  <c r="S1781" i="1"/>
  <c r="T1781" i="1"/>
  <c r="U1781" i="1"/>
  <c r="X1781" i="1"/>
  <c r="Y1781" i="1"/>
  <c r="Z1781" i="1"/>
  <c r="AA1781" i="1"/>
  <c r="AB1781" i="1"/>
  <c r="AC1781" i="1"/>
  <c r="AD1781" i="1"/>
  <c r="AE1781" i="1"/>
  <c r="AF1781" i="1"/>
  <c r="AG1781" i="1"/>
  <c r="AH1781" i="1"/>
  <c r="AI1781" i="1"/>
  <c r="AJ1781" i="1"/>
  <c r="AK1781" i="1"/>
  <c r="C1762" i="1"/>
  <c r="H1762" i="1"/>
  <c r="I1762" i="1"/>
  <c r="J1762" i="1"/>
  <c r="K1762" i="1"/>
  <c r="M1762" i="1"/>
  <c r="P1762" i="1"/>
  <c r="R1762" i="1"/>
  <c r="S1762" i="1"/>
  <c r="T1762" i="1"/>
  <c r="U1762" i="1"/>
  <c r="X1762" i="1"/>
  <c r="Y1762" i="1"/>
  <c r="Z1762" i="1"/>
  <c r="AA1762" i="1"/>
  <c r="AB1762" i="1"/>
  <c r="AC1762" i="1"/>
  <c r="AD1762" i="1"/>
  <c r="AE1762" i="1"/>
  <c r="AF1762" i="1"/>
  <c r="AG1762" i="1"/>
  <c r="AH1762" i="1"/>
  <c r="AI1762" i="1"/>
  <c r="AJ1762" i="1"/>
  <c r="AK1762" i="1"/>
  <c r="C1763" i="1"/>
  <c r="H1763" i="1"/>
  <c r="I1763" i="1"/>
  <c r="J1763" i="1"/>
  <c r="K1763" i="1"/>
  <c r="M1763" i="1"/>
  <c r="P1763" i="1"/>
  <c r="R1763" i="1"/>
  <c r="S1763" i="1"/>
  <c r="T1763" i="1"/>
  <c r="U1763" i="1"/>
  <c r="X1763" i="1"/>
  <c r="Y1763" i="1"/>
  <c r="Z1763" i="1"/>
  <c r="AA1763" i="1"/>
  <c r="AB1763" i="1"/>
  <c r="AC1763" i="1"/>
  <c r="AD1763" i="1"/>
  <c r="AE1763" i="1"/>
  <c r="AF1763" i="1"/>
  <c r="AG1763" i="1"/>
  <c r="AH1763" i="1"/>
  <c r="AI1763" i="1"/>
  <c r="AJ1763" i="1"/>
  <c r="AK1763" i="1"/>
  <c r="C1764" i="1"/>
  <c r="H1764" i="1"/>
  <c r="I1764" i="1"/>
  <c r="J1764" i="1"/>
  <c r="K1764" i="1"/>
  <c r="M1764" i="1"/>
  <c r="P1764" i="1"/>
  <c r="R1764" i="1"/>
  <c r="S1764" i="1"/>
  <c r="T1764" i="1"/>
  <c r="U1764" i="1"/>
  <c r="X1764" i="1"/>
  <c r="Y1764" i="1"/>
  <c r="Z1764" i="1"/>
  <c r="AA1764" i="1"/>
  <c r="AB1764" i="1"/>
  <c r="AC1764" i="1"/>
  <c r="AD1764" i="1"/>
  <c r="AE1764" i="1"/>
  <c r="AF1764" i="1"/>
  <c r="AG1764" i="1"/>
  <c r="AH1764" i="1"/>
  <c r="AI1764" i="1"/>
  <c r="AJ1764" i="1"/>
  <c r="AK1764" i="1"/>
  <c r="C1765" i="1"/>
  <c r="H1765" i="1"/>
  <c r="I1765" i="1"/>
  <c r="J1765" i="1"/>
  <c r="K1765" i="1"/>
  <c r="M1765" i="1"/>
  <c r="P1765" i="1"/>
  <c r="R1765" i="1"/>
  <c r="S1765" i="1"/>
  <c r="T1765" i="1"/>
  <c r="U1765" i="1"/>
  <c r="X1765" i="1"/>
  <c r="Y1765" i="1"/>
  <c r="Z1765" i="1"/>
  <c r="AA1765" i="1"/>
  <c r="AB1765" i="1"/>
  <c r="AC1765" i="1"/>
  <c r="AD1765" i="1"/>
  <c r="AE1765" i="1"/>
  <c r="AF1765" i="1"/>
  <c r="AG1765" i="1"/>
  <c r="AH1765" i="1"/>
  <c r="AI1765" i="1"/>
  <c r="AJ1765" i="1"/>
  <c r="AK1765" i="1"/>
  <c r="C1766" i="1"/>
  <c r="H1766" i="1"/>
  <c r="I1766" i="1"/>
  <c r="J1766" i="1"/>
  <c r="K1766" i="1"/>
  <c r="M1766" i="1"/>
  <c r="P1766" i="1"/>
  <c r="R1766" i="1"/>
  <c r="S1766" i="1"/>
  <c r="T1766" i="1"/>
  <c r="U1766" i="1"/>
  <c r="X1766" i="1"/>
  <c r="Y1766" i="1"/>
  <c r="Z1766" i="1"/>
  <c r="AA1766" i="1"/>
  <c r="AB1766" i="1"/>
  <c r="AC1766" i="1"/>
  <c r="AD1766" i="1"/>
  <c r="AE1766" i="1"/>
  <c r="AF1766" i="1"/>
  <c r="AG1766" i="1"/>
  <c r="AH1766" i="1"/>
  <c r="AI1766" i="1"/>
  <c r="AJ1766" i="1"/>
  <c r="AK1766" i="1"/>
  <c r="C1767" i="1"/>
  <c r="H1767" i="1"/>
  <c r="I1767" i="1"/>
  <c r="J1767" i="1"/>
  <c r="K1767" i="1"/>
  <c r="M1767" i="1"/>
  <c r="P1767" i="1"/>
  <c r="R1767" i="1"/>
  <c r="S1767" i="1"/>
  <c r="T1767" i="1"/>
  <c r="U1767" i="1"/>
  <c r="X1767" i="1"/>
  <c r="Y1767" i="1"/>
  <c r="Z1767" i="1"/>
  <c r="AA1767" i="1"/>
  <c r="AB1767" i="1"/>
  <c r="AC1767" i="1"/>
  <c r="AD1767" i="1"/>
  <c r="AE1767" i="1"/>
  <c r="AF1767" i="1"/>
  <c r="AG1767" i="1"/>
  <c r="AH1767" i="1"/>
  <c r="AI1767" i="1"/>
  <c r="AJ1767" i="1"/>
  <c r="AK1767" i="1"/>
  <c r="C1768" i="1"/>
  <c r="H1768" i="1"/>
  <c r="I1768" i="1"/>
  <c r="J1768" i="1"/>
  <c r="K1768" i="1"/>
  <c r="M1768" i="1"/>
  <c r="P1768" i="1"/>
  <c r="R1768" i="1"/>
  <c r="S1768" i="1"/>
  <c r="T1768" i="1"/>
  <c r="U1768" i="1"/>
  <c r="X1768" i="1"/>
  <c r="Y1768" i="1"/>
  <c r="Z1768" i="1"/>
  <c r="AA1768" i="1"/>
  <c r="AB1768" i="1"/>
  <c r="AC1768" i="1"/>
  <c r="AD1768" i="1"/>
  <c r="AE1768" i="1"/>
  <c r="AF1768" i="1"/>
  <c r="AG1768" i="1"/>
  <c r="AH1768" i="1"/>
  <c r="AI1768" i="1"/>
  <c r="AJ1768" i="1"/>
  <c r="AK1768" i="1"/>
  <c r="C1769" i="1"/>
  <c r="H1769" i="1"/>
  <c r="I1769" i="1"/>
  <c r="J1769" i="1"/>
  <c r="K1769" i="1"/>
  <c r="M1769" i="1"/>
  <c r="P1769" i="1"/>
  <c r="R1769" i="1"/>
  <c r="S1769" i="1"/>
  <c r="T1769" i="1"/>
  <c r="U1769" i="1"/>
  <c r="X1769" i="1"/>
  <c r="Y1769" i="1"/>
  <c r="Z1769" i="1"/>
  <c r="AA1769" i="1"/>
  <c r="AB1769" i="1"/>
  <c r="AC1769" i="1"/>
  <c r="AD1769" i="1"/>
  <c r="AE1769" i="1"/>
  <c r="AF1769" i="1"/>
  <c r="AG1769" i="1"/>
  <c r="AH1769" i="1"/>
  <c r="AI1769" i="1"/>
  <c r="AJ1769" i="1"/>
  <c r="AK1769" i="1"/>
  <c r="C1770" i="1"/>
  <c r="H1770" i="1"/>
  <c r="I1770" i="1"/>
  <c r="J1770" i="1"/>
  <c r="K1770" i="1"/>
  <c r="M1770" i="1"/>
  <c r="P1770" i="1"/>
  <c r="R1770" i="1"/>
  <c r="S1770" i="1"/>
  <c r="T1770" i="1"/>
  <c r="U1770" i="1"/>
  <c r="X1770" i="1"/>
  <c r="Y1770" i="1"/>
  <c r="Z1770" i="1"/>
  <c r="AA1770" i="1"/>
  <c r="AB1770" i="1"/>
  <c r="AC1770" i="1"/>
  <c r="AD1770" i="1"/>
  <c r="AE1770" i="1"/>
  <c r="AF1770" i="1"/>
  <c r="AG1770" i="1"/>
  <c r="AH1770" i="1"/>
  <c r="AI1770" i="1"/>
  <c r="AJ1770" i="1"/>
  <c r="AK1770" i="1"/>
  <c r="C1771" i="1"/>
  <c r="H1771" i="1"/>
  <c r="I1771" i="1"/>
  <c r="J1771" i="1"/>
  <c r="K1771" i="1"/>
  <c r="M1771" i="1"/>
  <c r="P1771" i="1"/>
  <c r="R1771" i="1"/>
  <c r="S1771" i="1"/>
  <c r="T1771" i="1"/>
  <c r="U1771" i="1"/>
  <c r="X1771" i="1"/>
  <c r="Y1771" i="1"/>
  <c r="Z1771" i="1"/>
  <c r="AA1771" i="1"/>
  <c r="AB1771" i="1"/>
  <c r="AC1771" i="1"/>
  <c r="AD1771" i="1"/>
  <c r="AE1771" i="1"/>
  <c r="AF1771" i="1"/>
  <c r="AG1771" i="1"/>
  <c r="AH1771" i="1"/>
  <c r="AI1771" i="1"/>
  <c r="AJ1771" i="1"/>
  <c r="AK1771" i="1"/>
  <c r="C1752" i="1"/>
  <c r="H1752" i="1"/>
  <c r="I1752" i="1"/>
  <c r="J1752" i="1"/>
  <c r="K1752" i="1"/>
  <c r="M1752" i="1"/>
  <c r="P1752" i="1"/>
  <c r="R1752" i="1"/>
  <c r="S1752" i="1"/>
  <c r="T1752" i="1"/>
  <c r="U1752" i="1"/>
  <c r="X1752" i="1"/>
  <c r="Y1752" i="1"/>
  <c r="Z1752" i="1"/>
  <c r="AA1752" i="1"/>
  <c r="AB1752" i="1"/>
  <c r="AC1752" i="1"/>
  <c r="AD1752" i="1"/>
  <c r="AE1752" i="1"/>
  <c r="AF1752" i="1"/>
  <c r="AG1752" i="1"/>
  <c r="AH1752" i="1"/>
  <c r="AI1752" i="1"/>
  <c r="AJ1752" i="1"/>
  <c r="AK1752" i="1"/>
  <c r="C1753" i="1"/>
  <c r="H1753" i="1"/>
  <c r="I1753" i="1"/>
  <c r="J1753" i="1"/>
  <c r="K1753" i="1"/>
  <c r="M1753" i="1"/>
  <c r="P1753" i="1"/>
  <c r="R1753" i="1"/>
  <c r="S1753" i="1"/>
  <c r="T1753" i="1"/>
  <c r="U1753" i="1"/>
  <c r="X1753" i="1"/>
  <c r="Y1753" i="1"/>
  <c r="Z1753" i="1"/>
  <c r="AA1753" i="1"/>
  <c r="AB1753" i="1"/>
  <c r="AC1753" i="1"/>
  <c r="AD1753" i="1"/>
  <c r="AE1753" i="1"/>
  <c r="AF1753" i="1"/>
  <c r="AG1753" i="1"/>
  <c r="AH1753" i="1"/>
  <c r="AI1753" i="1"/>
  <c r="AJ1753" i="1"/>
  <c r="AK1753" i="1"/>
  <c r="C1754" i="1"/>
  <c r="H1754" i="1"/>
  <c r="I1754" i="1"/>
  <c r="J1754" i="1"/>
  <c r="K1754" i="1"/>
  <c r="M1754" i="1"/>
  <c r="P1754" i="1"/>
  <c r="R1754" i="1"/>
  <c r="S1754" i="1"/>
  <c r="T1754" i="1"/>
  <c r="U1754" i="1"/>
  <c r="X1754" i="1"/>
  <c r="Y1754" i="1"/>
  <c r="Z1754" i="1"/>
  <c r="AA1754" i="1"/>
  <c r="AB1754" i="1"/>
  <c r="AC1754" i="1"/>
  <c r="AD1754" i="1"/>
  <c r="AE1754" i="1"/>
  <c r="AF1754" i="1"/>
  <c r="AG1754" i="1"/>
  <c r="AH1754" i="1"/>
  <c r="AI1754" i="1"/>
  <c r="AJ1754" i="1"/>
  <c r="AK1754" i="1"/>
  <c r="C1755" i="1"/>
  <c r="H1755" i="1"/>
  <c r="I1755" i="1"/>
  <c r="J1755" i="1"/>
  <c r="K1755" i="1"/>
  <c r="M1755" i="1"/>
  <c r="P1755" i="1"/>
  <c r="R1755" i="1"/>
  <c r="S1755" i="1"/>
  <c r="T1755" i="1"/>
  <c r="U1755" i="1"/>
  <c r="X1755" i="1"/>
  <c r="Y1755" i="1"/>
  <c r="Z1755" i="1"/>
  <c r="AA1755" i="1"/>
  <c r="AB1755" i="1"/>
  <c r="AC1755" i="1"/>
  <c r="AD1755" i="1"/>
  <c r="AE1755" i="1"/>
  <c r="AF1755" i="1"/>
  <c r="AG1755" i="1"/>
  <c r="AH1755" i="1"/>
  <c r="AI1755" i="1"/>
  <c r="AJ1755" i="1"/>
  <c r="AK1755" i="1"/>
  <c r="C1756" i="1"/>
  <c r="H1756" i="1"/>
  <c r="I1756" i="1"/>
  <c r="J1756" i="1"/>
  <c r="K1756" i="1"/>
  <c r="M1756" i="1"/>
  <c r="P1756" i="1"/>
  <c r="R1756" i="1"/>
  <c r="S1756" i="1"/>
  <c r="T1756" i="1"/>
  <c r="U1756" i="1"/>
  <c r="X1756" i="1"/>
  <c r="Y1756" i="1"/>
  <c r="Z1756" i="1"/>
  <c r="AA1756" i="1"/>
  <c r="AB1756" i="1"/>
  <c r="AC1756" i="1"/>
  <c r="AD1756" i="1"/>
  <c r="AE1756" i="1"/>
  <c r="AF1756" i="1"/>
  <c r="AG1756" i="1"/>
  <c r="AH1756" i="1"/>
  <c r="AI1756" i="1"/>
  <c r="AJ1756" i="1"/>
  <c r="AK1756" i="1"/>
  <c r="C1757" i="1"/>
  <c r="H1757" i="1"/>
  <c r="I1757" i="1"/>
  <c r="J1757" i="1"/>
  <c r="K1757" i="1"/>
  <c r="M1757" i="1"/>
  <c r="P1757" i="1"/>
  <c r="R1757" i="1"/>
  <c r="S1757" i="1"/>
  <c r="T1757" i="1"/>
  <c r="U1757" i="1"/>
  <c r="X1757" i="1"/>
  <c r="Y1757" i="1"/>
  <c r="Z1757" i="1"/>
  <c r="AA1757" i="1"/>
  <c r="AB1757" i="1"/>
  <c r="AC1757" i="1"/>
  <c r="AD1757" i="1"/>
  <c r="AE1757" i="1"/>
  <c r="AF1757" i="1"/>
  <c r="AG1757" i="1"/>
  <c r="AH1757" i="1"/>
  <c r="AI1757" i="1"/>
  <c r="AJ1757" i="1"/>
  <c r="AK1757" i="1"/>
  <c r="C1758" i="1"/>
  <c r="H1758" i="1"/>
  <c r="I1758" i="1"/>
  <c r="J1758" i="1"/>
  <c r="K1758" i="1"/>
  <c r="M1758" i="1"/>
  <c r="P1758" i="1"/>
  <c r="R1758" i="1"/>
  <c r="S1758" i="1"/>
  <c r="T1758" i="1"/>
  <c r="U1758" i="1"/>
  <c r="X1758" i="1"/>
  <c r="Y1758" i="1"/>
  <c r="Z1758" i="1"/>
  <c r="AA1758" i="1"/>
  <c r="AB1758" i="1"/>
  <c r="AC1758" i="1"/>
  <c r="AD1758" i="1"/>
  <c r="AE1758" i="1"/>
  <c r="AF1758" i="1"/>
  <c r="AG1758" i="1"/>
  <c r="AH1758" i="1"/>
  <c r="AI1758" i="1"/>
  <c r="AJ1758" i="1"/>
  <c r="AK1758" i="1"/>
  <c r="C1759" i="1"/>
  <c r="H1759" i="1"/>
  <c r="I1759" i="1"/>
  <c r="J1759" i="1"/>
  <c r="K1759" i="1"/>
  <c r="M1759" i="1"/>
  <c r="P1759" i="1"/>
  <c r="R1759" i="1"/>
  <c r="S1759" i="1"/>
  <c r="T1759" i="1"/>
  <c r="U1759" i="1"/>
  <c r="X1759" i="1"/>
  <c r="Y1759" i="1"/>
  <c r="Z1759" i="1"/>
  <c r="AA1759" i="1"/>
  <c r="AB1759" i="1"/>
  <c r="AC1759" i="1"/>
  <c r="AD1759" i="1"/>
  <c r="AE1759" i="1"/>
  <c r="AF1759" i="1"/>
  <c r="AG1759" i="1"/>
  <c r="AH1759" i="1"/>
  <c r="AI1759" i="1"/>
  <c r="AJ1759" i="1"/>
  <c r="AK1759" i="1"/>
  <c r="C1760" i="1"/>
  <c r="H1760" i="1"/>
  <c r="I1760" i="1"/>
  <c r="J1760" i="1"/>
  <c r="K1760" i="1"/>
  <c r="M1760" i="1"/>
  <c r="P1760" i="1"/>
  <c r="R1760" i="1"/>
  <c r="S1760" i="1"/>
  <c r="T1760" i="1"/>
  <c r="U1760" i="1"/>
  <c r="X1760" i="1"/>
  <c r="Y1760" i="1"/>
  <c r="Z1760" i="1"/>
  <c r="AA1760" i="1"/>
  <c r="AB1760" i="1"/>
  <c r="AC1760" i="1"/>
  <c r="AD1760" i="1"/>
  <c r="AE1760" i="1"/>
  <c r="AF1760" i="1"/>
  <c r="AG1760" i="1"/>
  <c r="AH1760" i="1"/>
  <c r="AI1760" i="1"/>
  <c r="AJ1760" i="1"/>
  <c r="AK1760" i="1"/>
  <c r="C1761" i="1"/>
  <c r="H1761" i="1"/>
  <c r="I1761" i="1"/>
  <c r="J1761" i="1"/>
  <c r="K1761" i="1"/>
  <c r="M1761" i="1"/>
  <c r="P1761" i="1"/>
  <c r="R1761" i="1"/>
  <c r="S1761" i="1"/>
  <c r="T1761" i="1"/>
  <c r="U1761" i="1"/>
  <c r="X1761" i="1"/>
  <c r="Y1761" i="1"/>
  <c r="Z1761" i="1"/>
  <c r="AA1761" i="1"/>
  <c r="AB1761" i="1"/>
  <c r="AC1761" i="1"/>
  <c r="AD1761" i="1"/>
  <c r="AE1761" i="1"/>
  <c r="AF1761" i="1"/>
  <c r="AG1761" i="1"/>
  <c r="AH1761" i="1"/>
  <c r="AI1761" i="1"/>
  <c r="AJ1761" i="1"/>
  <c r="AK1761" i="1"/>
  <c r="C1742" i="1"/>
  <c r="H1742" i="1"/>
  <c r="I1742" i="1"/>
  <c r="J1742" i="1"/>
  <c r="K1742" i="1"/>
  <c r="M1742" i="1"/>
  <c r="P1742" i="1"/>
  <c r="R1742" i="1"/>
  <c r="S1742" i="1"/>
  <c r="T1742" i="1"/>
  <c r="U1742" i="1"/>
  <c r="X1742" i="1"/>
  <c r="Y1742" i="1"/>
  <c r="Z1742" i="1"/>
  <c r="AA1742" i="1"/>
  <c r="AB1742" i="1"/>
  <c r="AC1742" i="1"/>
  <c r="AD1742" i="1"/>
  <c r="AE1742" i="1"/>
  <c r="AF1742" i="1"/>
  <c r="AG1742" i="1"/>
  <c r="AH1742" i="1"/>
  <c r="AI1742" i="1"/>
  <c r="AJ1742" i="1"/>
  <c r="AK1742" i="1"/>
  <c r="C1743" i="1"/>
  <c r="H1743" i="1"/>
  <c r="I1743" i="1"/>
  <c r="J1743" i="1"/>
  <c r="K1743" i="1"/>
  <c r="M1743" i="1"/>
  <c r="P1743" i="1"/>
  <c r="R1743" i="1"/>
  <c r="S1743" i="1"/>
  <c r="T1743" i="1"/>
  <c r="U1743" i="1"/>
  <c r="X1743" i="1"/>
  <c r="Y1743" i="1"/>
  <c r="Z1743" i="1"/>
  <c r="AA1743" i="1"/>
  <c r="AB1743" i="1"/>
  <c r="AC1743" i="1"/>
  <c r="AD1743" i="1"/>
  <c r="AE1743" i="1"/>
  <c r="AF1743" i="1"/>
  <c r="AG1743" i="1"/>
  <c r="AH1743" i="1"/>
  <c r="AI1743" i="1"/>
  <c r="AJ1743" i="1"/>
  <c r="AK1743" i="1"/>
  <c r="C1744" i="1"/>
  <c r="H1744" i="1"/>
  <c r="I1744" i="1"/>
  <c r="J1744" i="1"/>
  <c r="K1744" i="1"/>
  <c r="M1744" i="1"/>
  <c r="P1744" i="1"/>
  <c r="R1744" i="1"/>
  <c r="S1744" i="1"/>
  <c r="T1744" i="1"/>
  <c r="U1744" i="1"/>
  <c r="X1744" i="1"/>
  <c r="Y1744" i="1"/>
  <c r="Z1744" i="1"/>
  <c r="AA1744" i="1"/>
  <c r="AB1744" i="1"/>
  <c r="AC1744" i="1"/>
  <c r="AD1744" i="1"/>
  <c r="AE1744" i="1"/>
  <c r="AF1744" i="1"/>
  <c r="AG1744" i="1"/>
  <c r="AH1744" i="1"/>
  <c r="AI1744" i="1"/>
  <c r="AJ1744" i="1"/>
  <c r="AK1744" i="1"/>
  <c r="C1745" i="1"/>
  <c r="H1745" i="1"/>
  <c r="I1745" i="1"/>
  <c r="J1745" i="1"/>
  <c r="K1745" i="1"/>
  <c r="M1745" i="1"/>
  <c r="P1745" i="1"/>
  <c r="R1745" i="1"/>
  <c r="S1745" i="1"/>
  <c r="T1745" i="1"/>
  <c r="U1745" i="1"/>
  <c r="X1745" i="1"/>
  <c r="Y1745" i="1"/>
  <c r="Z1745" i="1"/>
  <c r="AA1745" i="1"/>
  <c r="AB1745" i="1"/>
  <c r="AC1745" i="1"/>
  <c r="AD1745" i="1"/>
  <c r="AE1745" i="1"/>
  <c r="AF1745" i="1"/>
  <c r="AG1745" i="1"/>
  <c r="AH1745" i="1"/>
  <c r="AI1745" i="1"/>
  <c r="AJ1745" i="1"/>
  <c r="AK1745" i="1"/>
  <c r="C1746" i="1"/>
  <c r="H1746" i="1"/>
  <c r="I1746" i="1"/>
  <c r="J1746" i="1"/>
  <c r="K1746" i="1"/>
  <c r="M1746" i="1"/>
  <c r="P1746" i="1"/>
  <c r="R1746" i="1"/>
  <c r="S1746" i="1"/>
  <c r="T1746" i="1"/>
  <c r="U1746" i="1"/>
  <c r="X1746" i="1"/>
  <c r="Y1746" i="1"/>
  <c r="Z1746" i="1"/>
  <c r="AA1746" i="1"/>
  <c r="AB1746" i="1"/>
  <c r="AC1746" i="1"/>
  <c r="AD1746" i="1"/>
  <c r="AE1746" i="1"/>
  <c r="AF1746" i="1"/>
  <c r="AG1746" i="1"/>
  <c r="AH1746" i="1"/>
  <c r="AI1746" i="1"/>
  <c r="AJ1746" i="1"/>
  <c r="AK1746" i="1"/>
  <c r="C1747" i="1"/>
  <c r="H1747" i="1"/>
  <c r="I1747" i="1"/>
  <c r="J1747" i="1"/>
  <c r="K1747" i="1"/>
  <c r="M1747" i="1"/>
  <c r="P1747" i="1"/>
  <c r="R1747" i="1"/>
  <c r="S1747" i="1"/>
  <c r="T1747" i="1"/>
  <c r="U1747" i="1"/>
  <c r="X1747" i="1"/>
  <c r="Y1747" i="1"/>
  <c r="Z1747" i="1"/>
  <c r="AA1747" i="1"/>
  <c r="AB1747" i="1"/>
  <c r="AC1747" i="1"/>
  <c r="AD1747" i="1"/>
  <c r="AE1747" i="1"/>
  <c r="AF1747" i="1"/>
  <c r="AG1747" i="1"/>
  <c r="AH1747" i="1"/>
  <c r="AI1747" i="1"/>
  <c r="AJ1747" i="1"/>
  <c r="AK1747" i="1"/>
  <c r="C1748" i="1"/>
  <c r="H1748" i="1"/>
  <c r="I1748" i="1"/>
  <c r="J1748" i="1"/>
  <c r="K1748" i="1"/>
  <c r="M1748" i="1"/>
  <c r="P1748" i="1"/>
  <c r="R1748" i="1"/>
  <c r="S1748" i="1"/>
  <c r="T1748" i="1"/>
  <c r="U1748" i="1"/>
  <c r="X1748" i="1"/>
  <c r="Y1748" i="1"/>
  <c r="Z1748" i="1"/>
  <c r="AA1748" i="1"/>
  <c r="AB1748" i="1"/>
  <c r="AC1748" i="1"/>
  <c r="AD1748" i="1"/>
  <c r="AE1748" i="1"/>
  <c r="AF1748" i="1"/>
  <c r="AG1748" i="1"/>
  <c r="AH1748" i="1"/>
  <c r="AI1748" i="1"/>
  <c r="AJ1748" i="1"/>
  <c r="AK1748" i="1"/>
  <c r="C1749" i="1"/>
  <c r="H1749" i="1"/>
  <c r="I1749" i="1"/>
  <c r="J1749" i="1"/>
  <c r="K1749" i="1"/>
  <c r="M1749" i="1"/>
  <c r="P1749" i="1"/>
  <c r="R1749" i="1"/>
  <c r="S1749" i="1"/>
  <c r="T1749" i="1"/>
  <c r="U1749" i="1"/>
  <c r="X1749" i="1"/>
  <c r="Y1749" i="1"/>
  <c r="Z1749" i="1"/>
  <c r="AA1749" i="1"/>
  <c r="AB1749" i="1"/>
  <c r="AC1749" i="1"/>
  <c r="AD1749" i="1"/>
  <c r="AE1749" i="1"/>
  <c r="AF1749" i="1"/>
  <c r="AG1749" i="1"/>
  <c r="AH1749" i="1"/>
  <c r="AI1749" i="1"/>
  <c r="AJ1749" i="1"/>
  <c r="AK1749" i="1"/>
  <c r="C1750" i="1"/>
  <c r="H1750" i="1"/>
  <c r="I1750" i="1"/>
  <c r="J1750" i="1"/>
  <c r="K1750" i="1"/>
  <c r="M1750" i="1"/>
  <c r="P1750" i="1"/>
  <c r="R1750" i="1"/>
  <c r="S1750" i="1"/>
  <c r="T1750" i="1"/>
  <c r="U1750" i="1"/>
  <c r="X1750" i="1"/>
  <c r="Y1750" i="1"/>
  <c r="Z1750" i="1"/>
  <c r="AA1750" i="1"/>
  <c r="AB1750" i="1"/>
  <c r="AC1750" i="1"/>
  <c r="AD1750" i="1"/>
  <c r="AE1750" i="1"/>
  <c r="AF1750" i="1"/>
  <c r="AG1750" i="1"/>
  <c r="AH1750" i="1"/>
  <c r="AI1750" i="1"/>
  <c r="AJ1750" i="1"/>
  <c r="AK1750" i="1"/>
  <c r="C1751" i="1"/>
  <c r="H1751" i="1"/>
  <c r="I1751" i="1"/>
  <c r="J1751" i="1"/>
  <c r="K1751" i="1"/>
  <c r="M1751" i="1"/>
  <c r="P1751" i="1"/>
  <c r="R1751" i="1"/>
  <c r="S1751" i="1"/>
  <c r="T1751" i="1"/>
  <c r="U1751" i="1"/>
  <c r="X1751" i="1"/>
  <c r="Y1751" i="1"/>
  <c r="Z1751" i="1"/>
  <c r="AA1751" i="1"/>
  <c r="AB1751" i="1"/>
  <c r="AC1751" i="1"/>
  <c r="AD1751" i="1"/>
  <c r="AE1751" i="1"/>
  <c r="AF1751" i="1"/>
  <c r="AG1751" i="1"/>
  <c r="AH1751" i="1"/>
  <c r="AI1751" i="1"/>
  <c r="AJ1751" i="1"/>
  <c r="AK1751" i="1"/>
  <c r="C1732" i="1"/>
  <c r="H1732" i="1"/>
  <c r="I1732" i="1"/>
  <c r="J1732" i="1"/>
  <c r="K1732" i="1"/>
  <c r="M1732" i="1"/>
  <c r="P1732" i="1"/>
  <c r="R1732" i="1"/>
  <c r="S1732" i="1"/>
  <c r="T1732" i="1"/>
  <c r="U1732" i="1"/>
  <c r="X1732" i="1"/>
  <c r="Y1732" i="1"/>
  <c r="Z1732" i="1"/>
  <c r="AA1732" i="1"/>
  <c r="AB1732" i="1"/>
  <c r="AC1732" i="1"/>
  <c r="AD1732" i="1"/>
  <c r="AE1732" i="1"/>
  <c r="AF1732" i="1"/>
  <c r="AG1732" i="1"/>
  <c r="AH1732" i="1"/>
  <c r="AI1732" i="1"/>
  <c r="AJ1732" i="1"/>
  <c r="AK1732" i="1"/>
  <c r="C1733" i="1"/>
  <c r="H1733" i="1"/>
  <c r="I1733" i="1"/>
  <c r="J1733" i="1"/>
  <c r="K1733" i="1"/>
  <c r="M1733" i="1"/>
  <c r="P1733" i="1"/>
  <c r="R1733" i="1"/>
  <c r="S1733" i="1"/>
  <c r="T1733" i="1"/>
  <c r="U1733" i="1"/>
  <c r="X1733" i="1"/>
  <c r="Y1733" i="1"/>
  <c r="Z1733" i="1"/>
  <c r="AA1733" i="1"/>
  <c r="AB1733" i="1"/>
  <c r="AC1733" i="1"/>
  <c r="AD1733" i="1"/>
  <c r="AE1733" i="1"/>
  <c r="AF1733" i="1"/>
  <c r="AG1733" i="1"/>
  <c r="AH1733" i="1"/>
  <c r="AI1733" i="1"/>
  <c r="AJ1733" i="1"/>
  <c r="AK1733" i="1"/>
  <c r="C1734" i="1"/>
  <c r="H1734" i="1"/>
  <c r="I1734" i="1"/>
  <c r="J1734" i="1"/>
  <c r="K1734" i="1"/>
  <c r="M1734" i="1"/>
  <c r="P1734" i="1"/>
  <c r="R1734" i="1"/>
  <c r="S1734" i="1"/>
  <c r="T1734" i="1"/>
  <c r="U1734" i="1"/>
  <c r="X1734" i="1"/>
  <c r="Y1734" i="1"/>
  <c r="Z1734" i="1"/>
  <c r="AA1734" i="1"/>
  <c r="AB1734" i="1"/>
  <c r="AC1734" i="1"/>
  <c r="AD1734" i="1"/>
  <c r="AE1734" i="1"/>
  <c r="AF1734" i="1"/>
  <c r="AG1734" i="1"/>
  <c r="AH1734" i="1"/>
  <c r="AI1734" i="1"/>
  <c r="AJ1734" i="1"/>
  <c r="AK1734" i="1"/>
  <c r="C1735" i="1"/>
  <c r="H1735" i="1"/>
  <c r="I1735" i="1"/>
  <c r="J1735" i="1"/>
  <c r="K1735" i="1"/>
  <c r="M1735" i="1"/>
  <c r="P1735" i="1"/>
  <c r="R1735" i="1"/>
  <c r="S1735" i="1"/>
  <c r="T1735" i="1"/>
  <c r="U1735" i="1"/>
  <c r="X1735" i="1"/>
  <c r="Y1735" i="1"/>
  <c r="Z1735" i="1"/>
  <c r="AA1735" i="1"/>
  <c r="AB1735" i="1"/>
  <c r="AC1735" i="1"/>
  <c r="AD1735" i="1"/>
  <c r="AE1735" i="1"/>
  <c r="AF1735" i="1"/>
  <c r="AG1735" i="1"/>
  <c r="AH1735" i="1"/>
  <c r="AI1735" i="1"/>
  <c r="AJ1735" i="1"/>
  <c r="AK1735" i="1"/>
  <c r="C1736" i="1"/>
  <c r="H1736" i="1"/>
  <c r="I1736" i="1"/>
  <c r="J1736" i="1"/>
  <c r="K1736" i="1"/>
  <c r="M1736" i="1"/>
  <c r="P1736" i="1"/>
  <c r="R1736" i="1"/>
  <c r="S1736" i="1"/>
  <c r="T1736" i="1"/>
  <c r="U1736" i="1"/>
  <c r="X1736" i="1"/>
  <c r="Y1736" i="1"/>
  <c r="Z1736" i="1"/>
  <c r="AA1736" i="1"/>
  <c r="AB1736" i="1"/>
  <c r="AC1736" i="1"/>
  <c r="AD1736" i="1"/>
  <c r="AE1736" i="1"/>
  <c r="AF1736" i="1"/>
  <c r="AG1736" i="1"/>
  <c r="AH1736" i="1"/>
  <c r="AI1736" i="1"/>
  <c r="AJ1736" i="1"/>
  <c r="AK1736" i="1"/>
  <c r="C1737" i="1"/>
  <c r="H1737" i="1"/>
  <c r="I1737" i="1"/>
  <c r="J1737" i="1"/>
  <c r="K1737" i="1"/>
  <c r="M1737" i="1"/>
  <c r="P1737" i="1"/>
  <c r="R1737" i="1"/>
  <c r="S1737" i="1"/>
  <c r="T1737" i="1"/>
  <c r="U1737" i="1"/>
  <c r="X1737" i="1"/>
  <c r="Y1737" i="1"/>
  <c r="Z1737" i="1"/>
  <c r="AA1737" i="1"/>
  <c r="AB1737" i="1"/>
  <c r="AC1737" i="1"/>
  <c r="AD1737" i="1"/>
  <c r="AE1737" i="1"/>
  <c r="AF1737" i="1"/>
  <c r="AG1737" i="1"/>
  <c r="AH1737" i="1"/>
  <c r="AI1737" i="1"/>
  <c r="AJ1737" i="1"/>
  <c r="AK1737" i="1"/>
  <c r="C1738" i="1"/>
  <c r="H1738" i="1"/>
  <c r="I1738" i="1"/>
  <c r="J1738" i="1"/>
  <c r="K1738" i="1"/>
  <c r="M1738" i="1"/>
  <c r="P1738" i="1"/>
  <c r="R1738" i="1"/>
  <c r="S1738" i="1"/>
  <c r="T1738" i="1"/>
  <c r="U1738" i="1"/>
  <c r="X1738" i="1"/>
  <c r="Y1738" i="1"/>
  <c r="Z1738" i="1"/>
  <c r="AA1738" i="1"/>
  <c r="AB1738" i="1"/>
  <c r="AC1738" i="1"/>
  <c r="AD1738" i="1"/>
  <c r="AE1738" i="1"/>
  <c r="AF1738" i="1"/>
  <c r="AG1738" i="1"/>
  <c r="AH1738" i="1"/>
  <c r="AI1738" i="1"/>
  <c r="AJ1738" i="1"/>
  <c r="AK1738" i="1"/>
  <c r="C1739" i="1"/>
  <c r="H1739" i="1"/>
  <c r="I1739" i="1"/>
  <c r="J1739" i="1"/>
  <c r="K1739" i="1"/>
  <c r="M1739" i="1"/>
  <c r="P1739" i="1"/>
  <c r="R1739" i="1"/>
  <c r="S1739" i="1"/>
  <c r="T1739" i="1"/>
  <c r="U1739" i="1"/>
  <c r="X1739" i="1"/>
  <c r="Y1739" i="1"/>
  <c r="Z1739" i="1"/>
  <c r="AA1739" i="1"/>
  <c r="AB1739" i="1"/>
  <c r="AC1739" i="1"/>
  <c r="AD1739" i="1"/>
  <c r="AE1739" i="1"/>
  <c r="AF1739" i="1"/>
  <c r="AG1739" i="1"/>
  <c r="AH1739" i="1"/>
  <c r="AI1739" i="1"/>
  <c r="AJ1739" i="1"/>
  <c r="AK1739" i="1"/>
  <c r="C1740" i="1"/>
  <c r="H1740" i="1"/>
  <c r="I1740" i="1"/>
  <c r="J1740" i="1"/>
  <c r="K1740" i="1"/>
  <c r="M1740" i="1"/>
  <c r="P1740" i="1"/>
  <c r="R1740" i="1"/>
  <c r="S1740" i="1"/>
  <c r="T1740" i="1"/>
  <c r="U1740" i="1"/>
  <c r="X1740" i="1"/>
  <c r="Y1740" i="1"/>
  <c r="Z1740" i="1"/>
  <c r="AA1740" i="1"/>
  <c r="AB1740" i="1"/>
  <c r="AC1740" i="1"/>
  <c r="AD1740" i="1"/>
  <c r="AE1740" i="1"/>
  <c r="AF1740" i="1"/>
  <c r="AG1740" i="1"/>
  <c r="AH1740" i="1"/>
  <c r="AI1740" i="1"/>
  <c r="AJ1740" i="1"/>
  <c r="AK1740" i="1"/>
  <c r="C1741" i="1"/>
  <c r="H1741" i="1"/>
  <c r="I1741" i="1"/>
  <c r="J1741" i="1"/>
  <c r="K1741" i="1"/>
  <c r="M1741" i="1"/>
  <c r="P1741" i="1"/>
  <c r="R1741" i="1"/>
  <c r="S1741" i="1"/>
  <c r="T1741" i="1"/>
  <c r="U1741" i="1"/>
  <c r="X1741" i="1"/>
  <c r="Y1741" i="1"/>
  <c r="Z1741" i="1"/>
  <c r="AA1741" i="1"/>
  <c r="AB1741" i="1"/>
  <c r="AC1741" i="1"/>
  <c r="AD1741" i="1"/>
  <c r="AE1741" i="1"/>
  <c r="AF1741" i="1"/>
  <c r="AG1741" i="1"/>
  <c r="AH1741" i="1"/>
  <c r="AI1741" i="1"/>
  <c r="AJ1741" i="1"/>
  <c r="AK1741" i="1"/>
  <c r="C1722" i="1"/>
  <c r="H1722" i="1"/>
  <c r="I1722" i="1"/>
  <c r="J1722" i="1"/>
  <c r="K1722" i="1"/>
  <c r="M1722" i="1"/>
  <c r="P1722" i="1"/>
  <c r="R1722" i="1"/>
  <c r="S1722" i="1"/>
  <c r="T1722" i="1"/>
  <c r="U1722" i="1"/>
  <c r="X1722" i="1"/>
  <c r="Y1722" i="1"/>
  <c r="Z1722" i="1"/>
  <c r="AA1722" i="1"/>
  <c r="AB1722" i="1"/>
  <c r="AC1722" i="1"/>
  <c r="AD1722" i="1"/>
  <c r="AE1722" i="1"/>
  <c r="AF1722" i="1"/>
  <c r="AG1722" i="1"/>
  <c r="AH1722" i="1"/>
  <c r="AI1722" i="1"/>
  <c r="AJ1722" i="1"/>
  <c r="AK1722" i="1"/>
  <c r="C1723" i="1"/>
  <c r="H1723" i="1"/>
  <c r="I1723" i="1"/>
  <c r="J1723" i="1"/>
  <c r="K1723" i="1"/>
  <c r="M1723" i="1"/>
  <c r="P1723" i="1"/>
  <c r="R1723" i="1"/>
  <c r="S1723" i="1"/>
  <c r="T1723" i="1"/>
  <c r="U1723" i="1"/>
  <c r="X1723" i="1"/>
  <c r="Y1723" i="1"/>
  <c r="Z1723" i="1"/>
  <c r="AA1723" i="1"/>
  <c r="AB1723" i="1"/>
  <c r="AC1723" i="1"/>
  <c r="AD1723" i="1"/>
  <c r="AE1723" i="1"/>
  <c r="AF1723" i="1"/>
  <c r="AG1723" i="1"/>
  <c r="AH1723" i="1"/>
  <c r="AI1723" i="1"/>
  <c r="AJ1723" i="1"/>
  <c r="AK1723" i="1"/>
  <c r="C1724" i="1"/>
  <c r="H1724" i="1"/>
  <c r="I1724" i="1"/>
  <c r="J1724" i="1"/>
  <c r="K1724" i="1"/>
  <c r="M1724" i="1"/>
  <c r="P1724" i="1"/>
  <c r="R1724" i="1"/>
  <c r="S1724" i="1"/>
  <c r="T1724" i="1"/>
  <c r="U1724" i="1"/>
  <c r="X1724" i="1"/>
  <c r="Y1724" i="1"/>
  <c r="Z1724" i="1"/>
  <c r="AA1724" i="1"/>
  <c r="AB1724" i="1"/>
  <c r="AC1724" i="1"/>
  <c r="AD1724" i="1"/>
  <c r="AE1724" i="1"/>
  <c r="AF1724" i="1"/>
  <c r="AG1724" i="1"/>
  <c r="AH1724" i="1"/>
  <c r="AI1724" i="1"/>
  <c r="AJ1724" i="1"/>
  <c r="AK1724" i="1"/>
  <c r="C1725" i="1"/>
  <c r="H1725" i="1"/>
  <c r="I1725" i="1"/>
  <c r="J1725" i="1"/>
  <c r="K1725" i="1"/>
  <c r="M1725" i="1"/>
  <c r="P1725" i="1"/>
  <c r="R1725" i="1"/>
  <c r="S1725" i="1"/>
  <c r="T1725" i="1"/>
  <c r="U1725" i="1"/>
  <c r="X1725" i="1"/>
  <c r="Y1725" i="1"/>
  <c r="Z1725" i="1"/>
  <c r="AA1725" i="1"/>
  <c r="AB1725" i="1"/>
  <c r="AC1725" i="1"/>
  <c r="AD1725" i="1"/>
  <c r="AE1725" i="1"/>
  <c r="AF1725" i="1"/>
  <c r="AG1725" i="1"/>
  <c r="AH1725" i="1"/>
  <c r="AI1725" i="1"/>
  <c r="AJ1725" i="1"/>
  <c r="AK1725" i="1"/>
  <c r="C1726" i="1"/>
  <c r="H1726" i="1"/>
  <c r="I1726" i="1"/>
  <c r="J1726" i="1"/>
  <c r="K1726" i="1"/>
  <c r="M1726" i="1"/>
  <c r="P1726" i="1"/>
  <c r="R1726" i="1"/>
  <c r="S1726" i="1"/>
  <c r="T1726" i="1"/>
  <c r="U1726" i="1"/>
  <c r="X1726" i="1"/>
  <c r="Y1726" i="1"/>
  <c r="Z1726" i="1"/>
  <c r="AA1726" i="1"/>
  <c r="AB1726" i="1"/>
  <c r="AC1726" i="1"/>
  <c r="AD1726" i="1"/>
  <c r="AE1726" i="1"/>
  <c r="AF1726" i="1"/>
  <c r="AG1726" i="1"/>
  <c r="AH1726" i="1"/>
  <c r="AI1726" i="1"/>
  <c r="AJ1726" i="1"/>
  <c r="AK1726" i="1"/>
  <c r="C1727" i="1"/>
  <c r="H1727" i="1"/>
  <c r="I1727" i="1"/>
  <c r="J1727" i="1"/>
  <c r="K1727" i="1"/>
  <c r="M1727" i="1"/>
  <c r="P1727" i="1"/>
  <c r="R1727" i="1"/>
  <c r="S1727" i="1"/>
  <c r="T1727" i="1"/>
  <c r="U1727" i="1"/>
  <c r="X1727" i="1"/>
  <c r="Y1727" i="1"/>
  <c r="Z1727" i="1"/>
  <c r="AA1727" i="1"/>
  <c r="AB1727" i="1"/>
  <c r="AC1727" i="1"/>
  <c r="AD1727" i="1"/>
  <c r="AE1727" i="1"/>
  <c r="AF1727" i="1"/>
  <c r="AG1727" i="1"/>
  <c r="AH1727" i="1"/>
  <c r="AI1727" i="1"/>
  <c r="AJ1727" i="1"/>
  <c r="AK1727" i="1"/>
  <c r="C1728" i="1"/>
  <c r="H1728" i="1"/>
  <c r="I1728" i="1"/>
  <c r="J1728" i="1"/>
  <c r="K1728" i="1"/>
  <c r="M1728" i="1"/>
  <c r="P1728" i="1"/>
  <c r="R1728" i="1"/>
  <c r="S1728" i="1"/>
  <c r="T1728" i="1"/>
  <c r="U1728" i="1"/>
  <c r="X1728" i="1"/>
  <c r="Y1728" i="1"/>
  <c r="Z1728" i="1"/>
  <c r="AA1728" i="1"/>
  <c r="AB1728" i="1"/>
  <c r="AC1728" i="1"/>
  <c r="AD1728" i="1"/>
  <c r="AE1728" i="1"/>
  <c r="AF1728" i="1"/>
  <c r="AG1728" i="1"/>
  <c r="AH1728" i="1"/>
  <c r="AI1728" i="1"/>
  <c r="AJ1728" i="1"/>
  <c r="AK1728" i="1"/>
  <c r="C1729" i="1"/>
  <c r="H1729" i="1"/>
  <c r="I1729" i="1"/>
  <c r="J1729" i="1"/>
  <c r="K1729" i="1"/>
  <c r="M1729" i="1"/>
  <c r="P1729" i="1"/>
  <c r="R1729" i="1"/>
  <c r="S1729" i="1"/>
  <c r="T1729" i="1"/>
  <c r="U1729" i="1"/>
  <c r="X1729" i="1"/>
  <c r="Y1729" i="1"/>
  <c r="Z1729" i="1"/>
  <c r="AA1729" i="1"/>
  <c r="AB1729" i="1"/>
  <c r="AC1729" i="1"/>
  <c r="AD1729" i="1"/>
  <c r="AE1729" i="1"/>
  <c r="AF1729" i="1"/>
  <c r="AG1729" i="1"/>
  <c r="AH1729" i="1"/>
  <c r="AI1729" i="1"/>
  <c r="AJ1729" i="1"/>
  <c r="AK1729" i="1"/>
  <c r="C1730" i="1"/>
  <c r="H1730" i="1"/>
  <c r="I1730" i="1"/>
  <c r="J1730" i="1"/>
  <c r="K1730" i="1"/>
  <c r="M1730" i="1"/>
  <c r="P1730" i="1"/>
  <c r="R1730" i="1"/>
  <c r="S1730" i="1"/>
  <c r="T1730" i="1"/>
  <c r="U1730" i="1"/>
  <c r="X1730" i="1"/>
  <c r="Y1730" i="1"/>
  <c r="Z1730" i="1"/>
  <c r="AA1730" i="1"/>
  <c r="AB1730" i="1"/>
  <c r="AC1730" i="1"/>
  <c r="AD1730" i="1"/>
  <c r="AE1730" i="1"/>
  <c r="AF1730" i="1"/>
  <c r="AG1730" i="1"/>
  <c r="AH1730" i="1"/>
  <c r="AI1730" i="1"/>
  <c r="AJ1730" i="1"/>
  <c r="AK1730" i="1"/>
  <c r="C1731" i="1"/>
  <c r="H1731" i="1"/>
  <c r="I1731" i="1"/>
  <c r="J1731" i="1"/>
  <c r="K1731" i="1"/>
  <c r="M1731" i="1"/>
  <c r="P1731" i="1"/>
  <c r="R1731" i="1"/>
  <c r="S1731" i="1"/>
  <c r="T1731" i="1"/>
  <c r="U1731" i="1"/>
  <c r="X1731" i="1"/>
  <c r="Y1731" i="1"/>
  <c r="Z1731" i="1"/>
  <c r="AA1731" i="1"/>
  <c r="AB1731" i="1"/>
  <c r="AC1731" i="1"/>
  <c r="AD1731" i="1"/>
  <c r="AE1731" i="1"/>
  <c r="AF1731" i="1"/>
  <c r="AG1731" i="1"/>
  <c r="AH1731" i="1"/>
  <c r="AI1731" i="1"/>
  <c r="AJ1731" i="1"/>
  <c r="AK1731" i="1"/>
  <c r="C1712" i="1"/>
  <c r="H1712" i="1"/>
  <c r="I1712" i="1"/>
  <c r="J1712" i="1"/>
  <c r="K1712" i="1"/>
  <c r="M1712" i="1"/>
  <c r="P1712" i="1"/>
  <c r="R1712" i="1"/>
  <c r="S1712" i="1"/>
  <c r="T1712" i="1"/>
  <c r="U1712" i="1"/>
  <c r="X1712" i="1"/>
  <c r="Y1712" i="1"/>
  <c r="Z1712" i="1"/>
  <c r="AA1712" i="1"/>
  <c r="AB1712" i="1"/>
  <c r="AC1712" i="1"/>
  <c r="AD1712" i="1"/>
  <c r="AE1712" i="1"/>
  <c r="AF1712" i="1"/>
  <c r="AG1712" i="1"/>
  <c r="AH1712" i="1"/>
  <c r="AI1712" i="1"/>
  <c r="AJ1712" i="1"/>
  <c r="AK1712" i="1"/>
  <c r="C1713" i="1"/>
  <c r="H1713" i="1"/>
  <c r="I1713" i="1"/>
  <c r="J1713" i="1"/>
  <c r="K1713" i="1"/>
  <c r="M1713" i="1"/>
  <c r="P1713" i="1"/>
  <c r="R1713" i="1"/>
  <c r="S1713" i="1"/>
  <c r="T1713" i="1"/>
  <c r="U1713" i="1"/>
  <c r="X1713" i="1"/>
  <c r="Y1713" i="1"/>
  <c r="Z1713" i="1"/>
  <c r="AA1713" i="1"/>
  <c r="AB1713" i="1"/>
  <c r="AC1713" i="1"/>
  <c r="AD1713" i="1"/>
  <c r="AE1713" i="1"/>
  <c r="AF1713" i="1"/>
  <c r="AG1713" i="1"/>
  <c r="AH1713" i="1"/>
  <c r="AI1713" i="1"/>
  <c r="AJ1713" i="1"/>
  <c r="AK1713" i="1"/>
  <c r="C1714" i="1"/>
  <c r="H1714" i="1"/>
  <c r="I1714" i="1"/>
  <c r="J1714" i="1"/>
  <c r="K1714" i="1"/>
  <c r="M1714" i="1"/>
  <c r="P1714" i="1"/>
  <c r="R1714" i="1"/>
  <c r="S1714" i="1"/>
  <c r="T1714" i="1"/>
  <c r="U1714" i="1"/>
  <c r="X1714" i="1"/>
  <c r="Y1714" i="1"/>
  <c r="Z1714" i="1"/>
  <c r="AA1714" i="1"/>
  <c r="AB1714" i="1"/>
  <c r="AC1714" i="1"/>
  <c r="AD1714" i="1"/>
  <c r="AE1714" i="1"/>
  <c r="AF1714" i="1"/>
  <c r="AG1714" i="1"/>
  <c r="AH1714" i="1"/>
  <c r="AI1714" i="1"/>
  <c r="AJ1714" i="1"/>
  <c r="AK1714" i="1"/>
  <c r="C1715" i="1"/>
  <c r="H1715" i="1"/>
  <c r="I1715" i="1"/>
  <c r="J1715" i="1"/>
  <c r="K1715" i="1"/>
  <c r="M1715" i="1"/>
  <c r="P1715" i="1"/>
  <c r="R1715" i="1"/>
  <c r="S1715" i="1"/>
  <c r="T1715" i="1"/>
  <c r="U1715" i="1"/>
  <c r="X1715" i="1"/>
  <c r="Y1715" i="1"/>
  <c r="Z1715" i="1"/>
  <c r="AA1715" i="1"/>
  <c r="AB1715" i="1"/>
  <c r="AC1715" i="1"/>
  <c r="AD1715" i="1"/>
  <c r="AE1715" i="1"/>
  <c r="AF1715" i="1"/>
  <c r="AG1715" i="1"/>
  <c r="AH1715" i="1"/>
  <c r="AI1715" i="1"/>
  <c r="AJ1715" i="1"/>
  <c r="AK1715" i="1"/>
  <c r="C1716" i="1"/>
  <c r="H1716" i="1"/>
  <c r="I1716" i="1"/>
  <c r="J1716" i="1"/>
  <c r="K1716" i="1"/>
  <c r="M1716" i="1"/>
  <c r="P1716" i="1"/>
  <c r="R1716" i="1"/>
  <c r="S1716" i="1"/>
  <c r="T1716" i="1"/>
  <c r="U1716" i="1"/>
  <c r="X1716" i="1"/>
  <c r="Y1716" i="1"/>
  <c r="Z1716" i="1"/>
  <c r="AA1716" i="1"/>
  <c r="AB1716" i="1"/>
  <c r="AC1716" i="1"/>
  <c r="AD1716" i="1"/>
  <c r="AE1716" i="1"/>
  <c r="AF1716" i="1"/>
  <c r="AG1716" i="1"/>
  <c r="AH1716" i="1"/>
  <c r="AI1716" i="1"/>
  <c r="AJ1716" i="1"/>
  <c r="AK1716" i="1"/>
  <c r="C1717" i="1"/>
  <c r="H1717" i="1"/>
  <c r="I1717" i="1"/>
  <c r="J1717" i="1"/>
  <c r="K1717" i="1"/>
  <c r="M1717" i="1"/>
  <c r="P1717" i="1"/>
  <c r="R1717" i="1"/>
  <c r="S1717" i="1"/>
  <c r="T1717" i="1"/>
  <c r="U1717" i="1"/>
  <c r="X1717" i="1"/>
  <c r="Y1717" i="1"/>
  <c r="Z1717" i="1"/>
  <c r="AA1717" i="1"/>
  <c r="AB1717" i="1"/>
  <c r="AC1717" i="1"/>
  <c r="AD1717" i="1"/>
  <c r="AE1717" i="1"/>
  <c r="AF1717" i="1"/>
  <c r="AG1717" i="1"/>
  <c r="AH1717" i="1"/>
  <c r="AI1717" i="1"/>
  <c r="AJ1717" i="1"/>
  <c r="AK1717" i="1"/>
  <c r="C1718" i="1"/>
  <c r="H1718" i="1"/>
  <c r="I1718" i="1"/>
  <c r="J1718" i="1"/>
  <c r="K1718" i="1"/>
  <c r="M1718" i="1"/>
  <c r="P1718" i="1"/>
  <c r="R1718" i="1"/>
  <c r="S1718" i="1"/>
  <c r="T1718" i="1"/>
  <c r="U1718" i="1"/>
  <c r="X1718" i="1"/>
  <c r="Y1718" i="1"/>
  <c r="Z1718" i="1"/>
  <c r="AA1718" i="1"/>
  <c r="AB1718" i="1"/>
  <c r="AC1718" i="1"/>
  <c r="AD1718" i="1"/>
  <c r="AE1718" i="1"/>
  <c r="AF1718" i="1"/>
  <c r="AG1718" i="1"/>
  <c r="AH1718" i="1"/>
  <c r="AI1718" i="1"/>
  <c r="AJ1718" i="1"/>
  <c r="AK1718" i="1"/>
  <c r="C1719" i="1"/>
  <c r="H1719" i="1"/>
  <c r="I1719" i="1"/>
  <c r="J1719" i="1"/>
  <c r="K1719" i="1"/>
  <c r="M1719" i="1"/>
  <c r="P1719" i="1"/>
  <c r="R1719" i="1"/>
  <c r="S1719" i="1"/>
  <c r="T1719" i="1"/>
  <c r="U1719" i="1"/>
  <c r="X1719" i="1"/>
  <c r="Y1719" i="1"/>
  <c r="Z1719" i="1"/>
  <c r="AA1719" i="1"/>
  <c r="AB1719" i="1"/>
  <c r="AC1719" i="1"/>
  <c r="AD1719" i="1"/>
  <c r="AE1719" i="1"/>
  <c r="AF1719" i="1"/>
  <c r="AG1719" i="1"/>
  <c r="AH1719" i="1"/>
  <c r="AI1719" i="1"/>
  <c r="AJ1719" i="1"/>
  <c r="AK1719" i="1"/>
  <c r="C1720" i="1"/>
  <c r="H1720" i="1"/>
  <c r="I1720" i="1"/>
  <c r="J1720" i="1"/>
  <c r="K1720" i="1"/>
  <c r="M1720" i="1"/>
  <c r="P1720" i="1"/>
  <c r="R1720" i="1"/>
  <c r="S1720" i="1"/>
  <c r="T1720" i="1"/>
  <c r="U1720" i="1"/>
  <c r="X1720" i="1"/>
  <c r="Y1720" i="1"/>
  <c r="Z1720" i="1"/>
  <c r="AA1720" i="1"/>
  <c r="AB1720" i="1"/>
  <c r="AC1720" i="1"/>
  <c r="AD1720" i="1"/>
  <c r="AE1720" i="1"/>
  <c r="AF1720" i="1"/>
  <c r="AG1720" i="1"/>
  <c r="AH1720" i="1"/>
  <c r="AI1720" i="1"/>
  <c r="AJ1720" i="1"/>
  <c r="AK1720" i="1"/>
  <c r="C1721" i="1"/>
  <c r="H1721" i="1"/>
  <c r="I1721" i="1"/>
  <c r="J1721" i="1"/>
  <c r="K1721" i="1"/>
  <c r="M1721" i="1"/>
  <c r="P1721" i="1"/>
  <c r="R1721" i="1"/>
  <c r="S1721" i="1"/>
  <c r="T1721" i="1"/>
  <c r="U1721" i="1"/>
  <c r="X1721" i="1"/>
  <c r="Y1721" i="1"/>
  <c r="Z1721" i="1"/>
  <c r="AA1721" i="1"/>
  <c r="AB1721" i="1"/>
  <c r="AC1721" i="1"/>
  <c r="AD1721" i="1"/>
  <c r="AE1721" i="1"/>
  <c r="AF1721" i="1"/>
  <c r="AG1721" i="1"/>
  <c r="AH1721" i="1"/>
  <c r="AI1721" i="1"/>
  <c r="AJ1721" i="1"/>
  <c r="AK1721" i="1"/>
  <c r="C1702" i="1"/>
  <c r="H1702" i="1"/>
  <c r="I1702" i="1"/>
  <c r="J1702" i="1"/>
  <c r="K1702" i="1"/>
  <c r="M1702" i="1"/>
  <c r="P1702" i="1"/>
  <c r="R1702" i="1"/>
  <c r="S1702" i="1"/>
  <c r="T1702" i="1"/>
  <c r="U1702" i="1"/>
  <c r="X1702" i="1"/>
  <c r="Y1702" i="1"/>
  <c r="Z1702" i="1"/>
  <c r="AA1702" i="1"/>
  <c r="AB1702" i="1"/>
  <c r="AC1702" i="1"/>
  <c r="AD1702" i="1"/>
  <c r="AE1702" i="1"/>
  <c r="AF1702" i="1"/>
  <c r="AG1702" i="1"/>
  <c r="AH1702" i="1"/>
  <c r="AI1702" i="1"/>
  <c r="AJ1702" i="1"/>
  <c r="AK1702" i="1"/>
  <c r="C1703" i="1"/>
  <c r="H1703" i="1"/>
  <c r="I1703" i="1"/>
  <c r="J1703" i="1"/>
  <c r="K1703" i="1"/>
  <c r="M1703" i="1"/>
  <c r="P1703" i="1"/>
  <c r="R1703" i="1"/>
  <c r="S1703" i="1"/>
  <c r="T1703" i="1"/>
  <c r="U1703" i="1"/>
  <c r="X1703" i="1"/>
  <c r="Y1703" i="1"/>
  <c r="Z1703" i="1"/>
  <c r="AA1703" i="1"/>
  <c r="AB1703" i="1"/>
  <c r="AC1703" i="1"/>
  <c r="AD1703" i="1"/>
  <c r="AE1703" i="1"/>
  <c r="AF1703" i="1"/>
  <c r="AG1703" i="1"/>
  <c r="AH1703" i="1"/>
  <c r="AI1703" i="1"/>
  <c r="AJ1703" i="1"/>
  <c r="AK1703" i="1"/>
  <c r="C1704" i="1"/>
  <c r="H1704" i="1"/>
  <c r="I1704" i="1"/>
  <c r="J1704" i="1"/>
  <c r="K1704" i="1"/>
  <c r="M1704" i="1"/>
  <c r="P1704" i="1"/>
  <c r="R1704" i="1"/>
  <c r="S1704" i="1"/>
  <c r="T1704" i="1"/>
  <c r="U1704" i="1"/>
  <c r="X1704" i="1"/>
  <c r="Y1704" i="1"/>
  <c r="Z1704" i="1"/>
  <c r="AA1704" i="1"/>
  <c r="AB1704" i="1"/>
  <c r="AC1704" i="1"/>
  <c r="AD1704" i="1"/>
  <c r="AE1704" i="1"/>
  <c r="AF1704" i="1"/>
  <c r="AG1704" i="1"/>
  <c r="AH1704" i="1"/>
  <c r="AI1704" i="1"/>
  <c r="AJ1704" i="1"/>
  <c r="AK1704" i="1"/>
  <c r="C1705" i="1"/>
  <c r="H1705" i="1"/>
  <c r="I1705" i="1"/>
  <c r="J1705" i="1"/>
  <c r="K1705" i="1"/>
  <c r="M1705" i="1"/>
  <c r="P1705" i="1"/>
  <c r="R1705" i="1"/>
  <c r="S1705" i="1"/>
  <c r="T1705" i="1"/>
  <c r="U1705" i="1"/>
  <c r="X1705" i="1"/>
  <c r="Y1705" i="1"/>
  <c r="Z1705" i="1"/>
  <c r="AA1705" i="1"/>
  <c r="AB1705" i="1"/>
  <c r="AC1705" i="1"/>
  <c r="AD1705" i="1"/>
  <c r="AE1705" i="1"/>
  <c r="AF1705" i="1"/>
  <c r="AG1705" i="1"/>
  <c r="AH1705" i="1"/>
  <c r="AI1705" i="1"/>
  <c r="AJ1705" i="1"/>
  <c r="AK1705" i="1"/>
  <c r="C1706" i="1"/>
  <c r="H1706" i="1"/>
  <c r="I1706" i="1"/>
  <c r="J1706" i="1"/>
  <c r="K1706" i="1"/>
  <c r="M1706" i="1"/>
  <c r="P1706" i="1"/>
  <c r="R1706" i="1"/>
  <c r="S1706" i="1"/>
  <c r="T1706" i="1"/>
  <c r="U1706" i="1"/>
  <c r="X1706" i="1"/>
  <c r="Y1706" i="1"/>
  <c r="Z1706" i="1"/>
  <c r="AA1706" i="1"/>
  <c r="AB1706" i="1"/>
  <c r="AC1706" i="1"/>
  <c r="AD1706" i="1"/>
  <c r="AE1706" i="1"/>
  <c r="AF1706" i="1"/>
  <c r="AG1706" i="1"/>
  <c r="AH1706" i="1"/>
  <c r="AI1706" i="1"/>
  <c r="AJ1706" i="1"/>
  <c r="AK1706" i="1"/>
  <c r="C1707" i="1"/>
  <c r="H1707" i="1"/>
  <c r="I1707" i="1"/>
  <c r="J1707" i="1"/>
  <c r="K1707" i="1"/>
  <c r="M1707" i="1"/>
  <c r="P1707" i="1"/>
  <c r="R1707" i="1"/>
  <c r="S1707" i="1"/>
  <c r="T1707" i="1"/>
  <c r="U1707" i="1"/>
  <c r="X1707" i="1"/>
  <c r="Y1707" i="1"/>
  <c r="Z1707" i="1"/>
  <c r="AA1707" i="1"/>
  <c r="AB1707" i="1"/>
  <c r="AC1707" i="1"/>
  <c r="AD1707" i="1"/>
  <c r="AE1707" i="1"/>
  <c r="AF1707" i="1"/>
  <c r="AG1707" i="1"/>
  <c r="AH1707" i="1"/>
  <c r="AI1707" i="1"/>
  <c r="AJ1707" i="1"/>
  <c r="AK1707" i="1"/>
  <c r="C1708" i="1"/>
  <c r="H1708" i="1"/>
  <c r="I1708" i="1"/>
  <c r="J1708" i="1"/>
  <c r="K1708" i="1"/>
  <c r="M1708" i="1"/>
  <c r="P1708" i="1"/>
  <c r="R1708" i="1"/>
  <c r="S1708" i="1"/>
  <c r="T1708" i="1"/>
  <c r="U1708" i="1"/>
  <c r="X1708" i="1"/>
  <c r="Y1708" i="1"/>
  <c r="Z1708" i="1"/>
  <c r="AA1708" i="1"/>
  <c r="AB1708" i="1"/>
  <c r="AC1708" i="1"/>
  <c r="AD1708" i="1"/>
  <c r="AE1708" i="1"/>
  <c r="AF1708" i="1"/>
  <c r="AG1708" i="1"/>
  <c r="AH1708" i="1"/>
  <c r="AI1708" i="1"/>
  <c r="AJ1708" i="1"/>
  <c r="AK1708" i="1"/>
  <c r="C1709" i="1"/>
  <c r="H1709" i="1"/>
  <c r="I1709" i="1"/>
  <c r="J1709" i="1"/>
  <c r="K1709" i="1"/>
  <c r="M1709" i="1"/>
  <c r="P1709" i="1"/>
  <c r="R1709" i="1"/>
  <c r="S1709" i="1"/>
  <c r="T1709" i="1"/>
  <c r="U1709" i="1"/>
  <c r="X1709" i="1"/>
  <c r="Y1709" i="1"/>
  <c r="Z1709" i="1"/>
  <c r="AA1709" i="1"/>
  <c r="AB1709" i="1"/>
  <c r="AC1709" i="1"/>
  <c r="AD1709" i="1"/>
  <c r="AE1709" i="1"/>
  <c r="AF1709" i="1"/>
  <c r="AG1709" i="1"/>
  <c r="AH1709" i="1"/>
  <c r="AI1709" i="1"/>
  <c r="AJ1709" i="1"/>
  <c r="AK1709" i="1"/>
  <c r="C1710" i="1"/>
  <c r="H1710" i="1"/>
  <c r="I1710" i="1"/>
  <c r="J1710" i="1"/>
  <c r="K1710" i="1"/>
  <c r="M1710" i="1"/>
  <c r="P1710" i="1"/>
  <c r="R1710" i="1"/>
  <c r="S1710" i="1"/>
  <c r="T1710" i="1"/>
  <c r="U1710" i="1"/>
  <c r="X1710" i="1"/>
  <c r="Y1710" i="1"/>
  <c r="Z1710" i="1"/>
  <c r="AA1710" i="1"/>
  <c r="AB1710" i="1"/>
  <c r="AC1710" i="1"/>
  <c r="AD1710" i="1"/>
  <c r="AE1710" i="1"/>
  <c r="AF1710" i="1"/>
  <c r="AG1710" i="1"/>
  <c r="AH1710" i="1"/>
  <c r="AI1710" i="1"/>
  <c r="AJ1710" i="1"/>
  <c r="AK1710" i="1"/>
  <c r="C1711" i="1"/>
  <c r="H1711" i="1"/>
  <c r="I1711" i="1"/>
  <c r="J1711" i="1"/>
  <c r="K1711" i="1"/>
  <c r="M1711" i="1"/>
  <c r="P1711" i="1"/>
  <c r="R1711" i="1"/>
  <c r="S1711" i="1"/>
  <c r="T1711" i="1"/>
  <c r="U1711" i="1"/>
  <c r="X1711" i="1"/>
  <c r="Y1711" i="1"/>
  <c r="Z1711" i="1"/>
  <c r="AA1711" i="1"/>
  <c r="AB1711" i="1"/>
  <c r="AC1711" i="1"/>
  <c r="AD1711" i="1"/>
  <c r="AE1711" i="1"/>
  <c r="AF1711" i="1"/>
  <c r="AG1711" i="1"/>
  <c r="AH1711" i="1"/>
  <c r="AI1711" i="1"/>
  <c r="AJ1711" i="1"/>
  <c r="AK1711" i="1"/>
  <c r="C1692" i="1"/>
  <c r="H1692" i="1"/>
  <c r="I1692" i="1"/>
  <c r="J1692" i="1"/>
  <c r="K1692" i="1"/>
  <c r="M1692" i="1"/>
  <c r="P1692" i="1"/>
  <c r="R1692" i="1"/>
  <c r="S1692" i="1"/>
  <c r="T1692" i="1"/>
  <c r="U1692" i="1"/>
  <c r="X1692" i="1"/>
  <c r="Y1692" i="1"/>
  <c r="Z1692" i="1"/>
  <c r="AA1692" i="1"/>
  <c r="AB1692" i="1"/>
  <c r="AC1692" i="1"/>
  <c r="AD1692" i="1"/>
  <c r="AE1692" i="1"/>
  <c r="AF1692" i="1"/>
  <c r="AG1692" i="1"/>
  <c r="AH1692" i="1"/>
  <c r="AI1692" i="1"/>
  <c r="AJ1692" i="1"/>
  <c r="AK1692" i="1"/>
  <c r="C1693" i="1"/>
  <c r="H1693" i="1"/>
  <c r="I1693" i="1"/>
  <c r="J1693" i="1"/>
  <c r="K1693" i="1"/>
  <c r="M1693" i="1"/>
  <c r="P1693" i="1"/>
  <c r="R1693" i="1"/>
  <c r="S1693" i="1"/>
  <c r="T1693" i="1"/>
  <c r="U1693" i="1"/>
  <c r="X1693" i="1"/>
  <c r="Y1693" i="1"/>
  <c r="Z1693" i="1"/>
  <c r="AA1693" i="1"/>
  <c r="AB1693" i="1"/>
  <c r="AC1693" i="1"/>
  <c r="AD1693" i="1"/>
  <c r="AE1693" i="1"/>
  <c r="AF1693" i="1"/>
  <c r="AG1693" i="1"/>
  <c r="AH1693" i="1"/>
  <c r="AI1693" i="1"/>
  <c r="AJ1693" i="1"/>
  <c r="AK1693" i="1"/>
  <c r="C1694" i="1"/>
  <c r="H1694" i="1"/>
  <c r="I1694" i="1"/>
  <c r="J1694" i="1"/>
  <c r="K1694" i="1"/>
  <c r="M1694" i="1"/>
  <c r="P1694" i="1"/>
  <c r="R1694" i="1"/>
  <c r="S1694" i="1"/>
  <c r="T1694" i="1"/>
  <c r="U1694" i="1"/>
  <c r="X1694" i="1"/>
  <c r="Y1694" i="1"/>
  <c r="Z1694" i="1"/>
  <c r="AA1694" i="1"/>
  <c r="AB1694" i="1"/>
  <c r="AC1694" i="1"/>
  <c r="AD1694" i="1"/>
  <c r="AE1694" i="1"/>
  <c r="AF1694" i="1"/>
  <c r="AG1694" i="1"/>
  <c r="AH1694" i="1"/>
  <c r="AI1694" i="1"/>
  <c r="AJ1694" i="1"/>
  <c r="AK1694" i="1"/>
  <c r="C1695" i="1"/>
  <c r="H1695" i="1"/>
  <c r="I1695" i="1"/>
  <c r="J1695" i="1"/>
  <c r="K1695" i="1"/>
  <c r="M1695" i="1"/>
  <c r="P1695" i="1"/>
  <c r="R1695" i="1"/>
  <c r="S1695" i="1"/>
  <c r="T1695" i="1"/>
  <c r="U1695" i="1"/>
  <c r="X1695" i="1"/>
  <c r="Y1695" i="1"/>
  <c r="Z1695" i="1"/>
  <c r="AA1695" i="1"/>
  <c r="AB1695" i="1"/>
  <c r="AC1695" i="1"/>
  <c r="AD1695" i="1"/>
  <c r="AE1695" i="1"/>
  <c r="AF1695" i="1"/>
  <c r="AG1695" i="1"/>
  <c r="AH1695" i="1"/>
  <c r="AI1695" i="1"/>
  <c r="AJ1695" i="1"/>
  <c r="AK1695" i="1"/>
  <c r="C1696" i="1"/>
  <c r="H1696" i="1"/>
  <c r="I1696" i="1"/>
  <c r="J1696" i="1"/>
  <c r="K1696" i="1"/>
  <c r="M1696" i="1"/>
  <c r="P1696" i="1"/>
  <c r="R1696" i="1"/>
  <c r="S1696" i="1"/>
  <c r="T1696" i="1"/>
  <c r="U1696" i="1"/>
  <c r="X1696" i="1"/>
  <c r="Y1696" i="1"/>
  <c r="Z1696" i="1"/>
  <c r="AA1696" i="1"/>
  <c r="AB1696" i="1"/>
  <c r="AC1696" i="1"/>
  <c r="AD1696" i="1"/>
  <c r="AE1696" i="1"/>
  <c r="AF1696" i="1"/>
  <c r="AG1696" i="1"/>
  <c r="AH1696" i="1"/>
  <c r="AI1696" i="1"/>
  <c r="AJ1696" i="1"/>
  <c r="AK1696" i="1"/>
  <c r="C1697" i="1"/>
  <c r="H1697" i="1"/>
  <c r="I1697" i="1"/>
  <c r="J1697" i="1"/>
  <c r="K1697" i="1"/>
  <c r="M1697" i="1"/>
  <c r="P1697" i="1"/>
  <c r="R1697" i="1"/>
  <c r="S1697" i="1"/>
  <c r="T1697" i="1"/>
  <c r="U1697" i="1"/>
  <c r="X1697" i="1"/>
  <c r="Y1697" i="1"/>
  <c r="Z1697" i="1"/>
  <c r="AA1697" i="1"/>
  <c r="AB1697" i="1"/>
  <c r="AC1697" i="1"/>
  <c r="AD1697" i="1"/>
  <c r="AE1697" i="1"/>
  <c r="AF1697" i="1"/>
  <c r="AG1697" i="1"/>
  <c r="AH1697" i="1"/>
  <c r="AI1697" i="1"/>
  <c r="AJ1697" i="1"/>
  <c r="AK1697" i="1"/>
  <c r="C1698" i="1"/>
  <c r="H1698" i="1"/>
  <c r="I1698" i="1"/>
  <c r="J1698" i="1"/>
  <c r="K1698" i="1"/>
  <c r="M1698" i="1"/>
  <c r="P1698" i="1"/>
  <c r="R1698" i="1"/>
  <c r="S1698" i="1"/>
  <c r="T1698" i="1"/>
  <c r="U1698" i="1"/>
  <c r="X1698" i="1"/>
  <c r="Y1698" i="1"/>
  <c r="Z1698" i="1"/>
  <c r="AA1698" i="1"/>
  <c r="AB1698" i="1"/>
  <c r="AC1698" i="1"/>
  <c r="AD1698" i="1"/>
  <c r="AE1698" i="1"/>
  <c r="AF1698" i="1"/>
  <c r="AG1698" i="1"/>
  <c r="AH1698" i="1"/>
  <c r="AI1698" i="1"/>
  <c r="AJ1698" i="1"/>
  <c r="AK1698" i="1"/>
  <c r="C1699" i="1"/>
  <c r="H1699" i="1"/>
  <c r="I1699" i="1"/>
  <c r="J1699" i="1"/>
  <c r="K1699" i="1"/>
  <c r="M1699" i="1"/>
  <c r="P1699" i="1"/>
  <c r="R1699" i="1"/>
  <c r="S1699" i="1"/>
  <c r="T1699" i="1"/>
  <c r="U1699" i="1"/>
  <c r="X1699" i="1"/>
  <c r="Y1699" i="1"/>
  <c r="Z1699" i="1"/>
  <c r="AA1699" i="1"/>
  <c r="AB1699" i="1"/>
  <c r="AC1699" i="1"/>
  <c r="AD1699" i="1"/>
  <c r="AE1699" i="1"/>
  <c r="AF1699" i="1"/>
  <c r="AG1699" i="1"/>
  <c r="AH1699" i="1"/>
  <c r="AI1699" i="1"/>
  <c r="AJ1699" i="1"/>
  <c r="AK1699" i="1"/>
  <c r="C1700" i="1"/>
  <c r="H1700" i="1"/>
  <c r="I1700" i="1"/>
  <c r="J1700" i="1"/>
  <c r="K1700" i="1"/>
  <c r="M1700" i="1"/>
  <c r="P1700" i="1"/>
  <c r="R1700" i="1"/>
  <c r="S1700" i="1"/>
  <c r="T1700" i="1"/>
  <c r="U1700" i="1"/>
  <c r="X1700" i="1"/>
  <c r="Y1700" i="1"/>
  <c r="Z1700" i="1"/>
  <c r="AA1700" i="1"/>
  <c r="AB1700" i="1"/>
  <c r="AC1700" i="1"/>
  <c r="AD1700" i="1"/>
  <c r="AE1700" i="1"/>
  <c r="AF1700" i="1"/>
  <c r="AG1700" i="1"/>
  <c r="AH1700" i="1"/>
  <c r="AI1700" i="1"/>
  <c r="AJ1700" i="1"/>
  <c r="AK1700" i="1"/>
  <c r="C1701" i="1"/>
  <c r="H1701" i="1"/>
  <c r="I1701" i="1"/>
  <c r="J1701" i="1"/>
  <c r="K1701" i="1"/>
  <c r="M1701" i="1"/>
  <c r="P1701" i="1"/>
  <c r="R1701" i="1"/>
  <c r="S1701" i="1"/>
  <c r="T1701" i="1"/>
  <c r="U1701" i="1"/>
  <c r="X1701" i="1"/>
  <c r="Y1701" i="1"/>
  <c r="Z1701" i="1"/>
  <c r="AA1701" i="1"/>
  <c r="AB1701" i="1"/>
  <c r="AC1701" i="1"/>
  <c r="AD1701" i="1"/>
  <c r="AE1701" i="1"/>
  <c r="AF1701" i="1"/>
  <c r="AG1701" i="1"/>
  <c r="AH1701" i="1"/>
  <c r="AI1701" i="1"/>
  <c r="AJ1701" i="1"/>
  <c r="AK1701" i="1"/>
  <c r="C1682" i="1"/>
  <c r="H1682" i="1"/>
  <c r="I1682" i="1"/>
  <c r="J1682" i="1"/>
  <c r="K1682" i="1"/>
  <c r="M1682" i="1"/>
  <c r="P1682" i="1"/>
  <c r="R1682" i="1"/>
  <c r="S1682" i="1"/>
  <c r="T1682" i="1"/>
  <c r="U1682" i="1"/>
  <c r="X1682" i="1"/>
  <c r="Y1682" i="1"/>
  <c r="Z1682" i="1"/>
  <c r="AA1682" i="1"/>
  <c r="AB1682" i="1"/>
  <c r="AC1682" i="1"/>
  <c r="AD1682" i="1"/>
  <c r="AE1682" i="1"/>
  <c r="AF1682" i="1"/>
  <c r="AG1682" i="1"/>
  <c r="AH1682" i="1"/>
  <c r="AI1682" i="1"/>
  <c r="AJ1682" i="1"/>
  <c r="AK1682" i="1"/>
  <c r="C1683" i="1"/>
  <c r="H1683" i="1"/>
  <c r="I1683" i="1"/>
  <c r="J1683" i="1"/>
  <c r="K1683" i="1"/>
  <c r="M1683" i="1"/>
  <c r="P1683" i="1"/>
  <c r="R1683" i="1"/>
  <c r="S1683" i="1"/>
  <c r="T1683" i="1"/>
  <c r="U1683" i="1"/>
  <c r="X1683" i="1"/>
  <c r="Y1683" i="1"/>
  <c r="Z1683" i="1"/>
  <c r="AA1683" i="1"/>
  <c r="AB1683" i="1"/>
  <c r="AC1683" i="1"/>
  <c r="AD1683" i="1"/>
  <c r="AE1683" i="1"/>
  <c r="AF1683" i="1"/>
  <c r="AG1683" i="1"/>
  <c r="AH1683" i="1"/>
  <c r="AI1683" i="1"/>
  <c r="AJ1683" i="1"/>
  <c r="AK1683" i="1"/>
  <c r="C1684" i="1"/>
  <c r="H1684" i="1"/>
  <c r="I1684" i="1"/>
  <c r="J1684" i="1"/>
  <c r="K1684" i="1"/>
  <c r="M1684" i="1"/>
  <c r="P1684" i="1"/>
  <c r="R1684" i="1"/>
  <c r="S1684" i="1"/>
  <c r="T1684" i="1"/>
  <c r="U1684" i="1"/>
  <c r="X1684" i="1"/>
  <c r="Y1684" i="1"/>
  <c r="Z1684" i="1"/>
  <c r="AA1684" i="1"/>
  <c r="AB1684" i="1"/>
  <c r="AC1684" i="1"/>
  <c r="AD1684" i="1"/>
  <c r="AE1684" i="1"/>
  <c r="AF1684" i="1"/>
  <c r="AG1684" i="1"/>
  <c r="AH1684" i="1"/>
  <c r="AI1684" i="1"/>
  <c r="AJ1684" i="1"/>
  <c r="AK1684" i="1"/>
  <c r="C1685" i="1"/>
  <c r="H1685" i="1"/>
  <c r="I1685" i="1"/>
  <c r="J1685" i="1"/>
  <c r="K1685" i="1"/>
  <c r="M1685" i="1"/>
  <c r="P1685" i="1"/>
  <c r="R1685" i="1"/>
  <c r="S1685" i="1"/>
  <c r="T1685" i="1"/>
  <c r="U1685" i="1"/>
  <c r="X1685" i="1"/>
  <c r="Y1685" i="1"/>
  <c r="Z1685" i="1"/>
  <c r="AA1685" i="1"/>
  <c r="AB1685" i="1"/>
  <c r="AC1685" i="1"/>
  <c r="AD1685" i="1"/>
  <c r="AE1685" i="1"/>
  <c r="AF1685" i="1"/>
  <c r="AG1685" i="1"/>
  <c r="AH1685" i="1"/>
  <c r="AI1685" i="1"/>
  <c r="AJ1685" i="1"/>
  <c r="AK1685" i="1"/>
  <c r="C1686" i="1"/>
  <c r="H1686" i="1"/>
  <c r="I1686" i="1"/>
  <c r="J1686" i="1"/>
  <c r="K1686" i="1"/>
  <c r="M1686" i="1"/>
  <c r="P1686" i="1"/>
  <c r="R1686" i="1"/>
  <c r="S1686" i="1"/>
  <c r="T1686" i="1"/>
  <c r="U1686" i="1"/>
  <c r="X1686" i="1"/>
  <c r="Y1686" i="1"/>
  <c r="Z1686" i="1"/>
  <c r="AA1686" i="1"/>
  <c r="AB1686" i="1"/>
  <c r="AC1686" i="1"/>
  <c r="AD1686" i="1"/>
  <c r="AE1686" i="1"/>
  <c r="AF1686" i="1"/>
  <c r="AG1686" i="1"/>
  <c r="AH1686" i="1"/>
  <c r="AI1686" i="1"/>
  <c r="AJ1686" i="1"/>
  <c r="AK1686" i="1"/>
  <c r="C1687" i="1"/>
  <c r="H1687" i="1"/>
  <c r="I1687" i="1"/>
  <c r="J1687" i="1"/>
  <c r="K1687" i="1"/>
  <c r="M1687" i="1"/>
  <c r="P1687" i="1"/>
  <c r="R1687" i="1"/>
  <c r="S1687" i="1"/>
  <c r="T1687" i="1"/>
  <c r="U1687" i="1"/>
  <c r="X1687" i="1"/>
  <c r="Y1687" i="1"/>
  <c r="Z1687" i="1"/>
  <c r="AA1687" i="1"/>
  <c r="AB1687" i="1"/>
  <c r="AC1687" i="1"/>
  <c r="AD1687" i="1"/>
  <c r="AE1687" i="1"/>
  <c r="AF1687" i="1"/>
  <c r="AG1687" i="1"/>
  <c r="AH1687" i="1"/>
  <c r="AI1687" i="1"/>
  <c r="AJ1687" i="1"/>
  <c r="AK1687" i="1"/>
  <c r="C1688" i="1"/>
  <c r="H1688" i="1"/>
  <c r="I1688" i="1"/>
  <c r="J1688" i="1"/>
  <c r="K1688" i="1"/>
  <c r="M1688" i="1"/>
  <c r="P1688" i="1"/>
  <c r="R1688" i="1"/>
  <c r="S1688" i="1"/>
  <c r="T1688" i="1"/>
  <c r="U1688" i="1"/>
  <c r="X1688" i="1"/>
  <c r="Y1688" i="1"/>
  <c r="Z1688" i="1"/>
  <c r="AA1688" i="1"/>
  <c r="AB1688" i="1"/>
  <c r="AC1688" i="1"/>
  <c r="AD1688" i="1"/>
  <c r="AE1688" i="1"/>
  <c r="AF1688" i="1"/>
  <c r="AG1688" i="1"/>
  <c r="AH1688" i="1"/>
  <c r="AI1688" i="1"/>
  <c r="AJ1688" i="1"/>
  <c r="AK1688" i="1"/>
  <c r="C1689" i="1"/>
  <c r="H1689" i="1"/>
  <c r="I1689" i="1"/>
  <c r="J1689" i="1"/>
  <c r="K1689" i="1"/>
  <c r="M1689" i="1"/>
  <c r="P1689" i="1"/>
  <c r="R1689" i="1"/>
  <c r="S1689" i="1"/>
  <c r="T1689" i="1"/>
  <c r="U1689" i="1"/>
  <c r="X1689" i="1"/>
  <c r="Y1689" i="1"/>
  <c r="Z1689" i="1"/>
  <c r="AA1689" i="1"/>
  <c r="AB1689" i="1"/>
  <c r="AC1689" i="1"/>
  <c r="AD1689" i="1"/>
  <c r="AE1689" i="1"/>
  <c r="AF1689" i="1"/>
  <c r="AG1689" i="1"/>
  <c r="AH1689" i="1"/>
  <c r="AI1689" i="1"/>
  <c r="AJ1689" i="1"/>
  <c r="AK1689" i="1"/>
  <c r="C1690" i="1"/>
  <c r="H1690" i="1"/>
  <c r="I1690" i="1"/>
  <c r="J1690" i="1"/>
  <c r="K1690" i="1"/>
  <c r="M1690" i="1"/>
  <c r="P1690" i="1"/>
  <c r="R1690" i="1"/>
  <c r="S1690" i="1"/>
  <c r="T1690" i="1"/>
  <c r="U1690" i="1"/>
  <c r="X1690" i="1"/>
  <c r="Y1690" i="1"/>
  <c r="Z1690" i="1"/>
  <c r="AA1690" i="1"/>
  <c r="AB1690" i="1"/>
  <c r="AC1690" i="1"/>
  <c r="AD1690" i="1"/>
  <c r="AE1690" i="1"/>
  <c r="AF1690" i="1"/>
  <c r="AG1690" i="1"/>
  <c r="AH1690" i="1"/>
  <c r="AI1690" i="1"/>
  <c r="AJ1690" i="1"/>
  <c r="AK1690" i="1"/>
  <c r="C1691" i="1"/>
  <c r="H1691" i="1"/>
  <c r="I1691" i="1"/>
  <c r="J1691" i="1"/>
  <c r="K1691" i="1"/>
  <c r="M1691" i="1"/>
  <c r="P1691" i="1"/>
  <c r="R1691" i="1"/>
  <c r="S1691" i="1"/>
  <c r="T1691" i="1"/>
  <c r="U1691" i="1"/>
  <c r="X1691" i="1"/>
  <c r="Y1691" i="1"/>
  <c r="Z1691" i="1"/>
  <c r="AA1691" i="1"/>
  <c r="AB1691" i="1"/>
  <c r="AC1691" i="1"/>
  <c r="AD1691" i="1"/>
  <c r="AE1691" i="1"/>
  <c r="AF1691" i="1"/>
  <c r="AG1691" i="1"/>
  <c r="AH1691" i="1"/>
  <c r="AI1691" i="1"/>
  <c r="AJ1691" i="1"/>
  <c r="AK1691" i="1"/>
  <c r="C1672" i="1"/>
  <c r="H1672" i="1"/>
  <c r="I1672" i="1"/>
  <c r="J1672" i="1"/>
  <c r="K1672" i="1"/>
  <c r="M1672" i="1"/>
  <c r="P1672" i="1"/>
  <c r="R1672" i="1"/>
  <c r="S1672" i="1"/>
  <c r="T1672" i="1"/>
  <c r="U1672" i="1"/>
  <c r="X1672" i="1"/>
  <c r="Y1672" i="1"/>
  <c r="Z1672" i="1"/>
  <c r="AA1672" i="1"/>
  <c r="AB1672" i="1"/>
  <c r="AC1672" i="1"/>
  <c r="AD1672" i="1"/>
  <c r="AE1672" i="1"/>
  <c r="AF1672" i="1"/>
  <c r="AG1672" i="1"/>
  <c r="AH1672" i="1"/>
  <c r="AI1672" i="1"/>
  <c r="AJ1672" i="1"/>
  <c r="AK1672" i="1"/>
  <c r="C1673" i="1"/>
  <c r="H1673" i="1"/>
  <c r="I1673" i="1"/>
  <c r="J1673" i="1"/>
  <c r="K1673" i="1"/>
  <c r="M1673" i="1"/>
  <c r="P1673" i="1"/>
  <c r="R1673" i="1"/>
  <c r="S1673" i="1"/>
  <c r="T1673" i="1"/>
  <c r="U1673" i="1"/>
  <c r="X1673" i="1"/>
  <c r="Y1673" i="1"/>
  <c r="Z1673" i="1"/>
  <c r="AA1673" i="1"/>
  <c r="AB1673" i="1"/>
  <c r="AC1673" i="1"/>
  <c r="AD1673" i="1"/>
  <c r="AE1673" i="1"/>
  <c r="AF1673" i="1"/>
  <c r="AG1673" i="1"/>
  <c r="AH1673" i="1"/>
  <c r="AI1673" i="1"/>
  <c r="AJ1673" i="1"/>
  <c r="AK1673" i="1"/>
  <c r="C1674" i="1"/>
  <c r="H1674" i="1"/>
  <c r="I1674" i="1"/>
  <c r="J1674" i="1"/>
  <c r="K1674" i="1"/>
  <c r="M1674" i="1"/>
  <c r="P1674" i="1"/>
  <c r="R1674" i="1"/>
  <c r="S1674" i="1"/>
  <c r="T1674" i="1"/>
  <c r="U1674" i="1"/>
  <c r="X1674" i="1"/>
  <c r="Y1674" i="1"/>
  <c r="Z1674" i="1"/>
  <c r="AA1674" i="1"/>
  <c r="AB1674" i="1"/>
  <c r="AC1674" i="1"/>
  <c r="AD1674" i="1"/>
  <c r="AE1674" i="1"/>
  <c r="AF1674" i="1"/>
  <c r="AG1674" i="1"/>
  <c r="AH1674" i="1"/>
  <c r="AI1674" i="1"/>
  <c r="AJ1674" i="1"/>
  <c r="AK1674" i="1"/>
  <c r="C1675" i="1"/>
  <c r="H1675" i="1"/>
  <c r="I1675" i="1"/>
  <c r="J1675" i="1"/>
  <c r="K1675" i="1"/>
  <c r="M1675" i="1"/>
  <c r="P1675" i="1"/>
  <c r="R1675" i="1"/>
  <c r="S1675" i="1"/>
  <c r="T1675" i="1"/>
  <c r="U1675" i="1"/>
  <c r="X1675" i="1"/>
  <c r="Y1675" i="1"/>
  <c r="Z1675" i="1"/>
  <c r="AA1675" i="1"/>
  <c r="AB1675" i="1"/>
  <c r="AC1675" i="1"/>
  <c r="AD1675" i="1"/>
  <c r="AE1675" i="1"/>
  <c r="AF1675" i="1"/>
  <c r="AG1675" i="1"/>
  <c r="AH1675" i="1"/>
  <c r="AI1675" i="1"/>
  <c r="AJ1675" i="1"/>
  <c r="AK1675" i="1"/>
  <c r="C1676" i="1"/>
  <c r="H1676" i="1"/>
  <c r="I1676" i="1"/>
  <c r="J1676" i="1"/>
  <c r="K1676" i="1"/>
  <c r="M1676" i="1"/>
  <c r="P1676" i="1"/>
  <c r="R1676" i="1"/>
  <c r="S1676" i="1"/>
  <c r="T1676" i="1"/>
  <c r="U1676" i="1"/>
  <c r="X1676" i="1"/>
  <c r="Y1676" i="1"/>
  <c r="Z1676" i="1"/>
  <c r="AA1676" i="1"/>
  <c r="AB1676" i="1"/>
  <c r="AC1676" i="1"/>
  <c r="AD1676" i="1"/>
  <c r="AE1676" i="1"/>
  <c r="AF1676" i="1"/>
  <c r="AG1676" i="1"/>
  <c r="AH1676" i="1"/>
  <c r="AI1676" i="1"/>
  <c r="AJ1676" i="1"/>
  <c r="AK1676" i="1"/>
  <c r="C1677" i="1"/>
  <c r="H1677" i="1"/>
  <c r="I1677" i="1"/>
  <c r="J1677" i="1"/>
  <c r="K1677" i="1"/>
  <c r="M1677" i="1"/>
  <c r="P1677" i="1"/>
  <c r="R1677" i="1"/>
  <c r="S1677" i="1"/>
  <c r="T1677" i="1"/>
  <c r="U1677" i="1"/>
  <c r="X1677" i="1"/>
  <c r="Y1677" i="1"/>
  <c r="Z1677" i="1"/>
  <c r="AA1677" i="1"/>
  <c r="AB1677" i="1"/>
  <c r="AC1677" i="1"/>
  <c r="AD1677" i="1"/>
  <c r="AE1677" i="1"/>
  <c r="AF1677" i="1"/>
  <c r="AG1677" i="1"/>
  <c r="AH1677" i="1"/>
  <c r="AI1677" i="1"/>
  <c r="AJ1677" i="1"/>
  <c r="AK1677" i="1"/>
  <c r="C1678" i="1"/>
  <c r="H1678" i="1"/>
  <c r="I1678" i="1"/>
  <c r="J1678" i="1"/>
  <c r="K1678" i="1"/>
  <c r="M1678" i="1"/>
  <c r="P1678" i="1"/>
  <c r="R1678" i="1"/>
  <c r="S1678" i="1"/>
  <c r="T1678" i="1"/>
  <c r="U1678" i="1"/>
  <c r="X1678" i="1"/>
  <c r="Y1678" i="1"/>
  <c r="Z1678" i="1"/>
  <c r="AA1678" i="1"/>
  <c r="AB1678" i="1"/>
  <c r="AC1678" i="1"/>
  <c r="AD1678" i="1"/>
  <c r="AE1678" i="1"/>
  <c r="AF1678" i="1"/>
  <c r="AG1678" i="1"/>
  <c r="AH1678" i="1"/>
  <c r="AI1678" i="1"/>
  <c r="AJ1678" i="1"/>
  <c r="AK1678" i="1"/>
  <c r="C1679" i="1"/>
  <c r="H1679" i="1"/>
  <c r="I1679" i="1"/>
  <c r="J1679" i="1"/>
  <c r="K1679" i="1"/>
  <c r="M1679" i="1"/>
  <c r="P1679" i="1"/>
  <c r="R1679" i="1"/>
  <c r="S1679" i="1"/>
  <c r="T1679" i="1"/>
  <c r="U1679" i="1"/>
  <c r="X1679" i="1"/>
  <c r="Y1679" i="1"/>
  <c r="Z1679" i="1"/>
  <c r="AA1679" i="1"/>
  <c r="AB1679" i="1"/>
  <c r="AC1679" i="1"/>
  <c r="AD1679" i="1"/>
  <c r="AE1679" i="1"/>
  <c r="AF1679" i="1"/>
  <c r="AG1679" i="1"/>
  <c r="AH1679" i="1"/>
  <c r="AI1679" i="1"/>
  <c r="AJ1679" i="1"/>
  <c r="AK1679" i="1"/>
  <c r="C1680" i="1"/>
  <c r="H1680" i="1"/>
  <c r="I1680" i="1"/>
  <c r="J1680" i="1"/>
  <c r="K1680" i="1"/>
  <c r="M1680" i="1"/>
  <c r="P1680" i="1"/>
  <c r="R1680" i="1"/>
  <c r="S1680" i="1"/>
  <c r="T1680" i="1"/>
  <c r="U1680" i="1"/>
  <c r="X1680" i="1"/>
  <c r="Y1680" i="1"/>
  <c r="Z1680" i="1"/>
  <c r="AA1680" i="1"/>
  <c r="AB1680" i="1"/>
  <c r="AC1680" i="1"/>
  <c r="AD1680" i="1"/>
  <c r="AE1680" i="1"/>
  <c r="AF1680" i="1"/>
  <c r="AG1680" i="1"/>
  <c r="AH1680" i="1"/>
  <c r="AI1680" i="1"/>
  <c r="AJ1680" i="1"/>
  <c r="AK1680" i="1"/>
  <c r="C1681" i="1"/>
  <c r="H1681" i="1"/>
  <c r="I1681" i="1"/>
  <c r="J1681" i="1"/>
  <c r="K1681" i="1"/>
  <c r="M1681" i="1"/>
  <c r="P1681" i="1"/>
  <c r="R1681" i="1"/>
  <c r="S1681" i="1"/>
  <c r="T1681" i="1"/>
  <c r="U1681" i="1"/>
  <c r="X1681" i="1"/>
  <c r="Y1681" i="1"/>
  <c r="Z1681" i="1"/>
  <c r="AA1681" i="1"/>
  <c r="AB1681" i="1"/>
  <c r="AC1681" i="1"/>
  <c r="AD1681" i="1"/>
  <c r="AE1681" i="1"/>
  <c r="AF1681" i="1"/>
  <c r="AG1681" i="1"/>
  <c r="AH1681" i="1"/>
  <c r="AI1681" i="1"/>
  <c r="AJ1681" i="1"/>
  <c r="AK1681" i="1"/>
  <c r="C1662" i="1"/>
  <c r="H1662" i="1"/>
  <c r="I1662" i="1"/>
  <c r="J1662" i="1"/>
  <c r="K1662" i="1"/>
  <c r="M1662" i="1"/>
  <c r="P1662" i="1"/>
  <c r="R1662" i="1"/>
  <c r="S1662" i="1"/>
  <c r="T1662" i="1"/>
  <c r="U1662" i="1"/>
  <c r="X1662" i="1"/>
  <c r="Y1662" i="1"/>
  <c r="Z1662" i="1"/>
  <c r="AA1662" i="1"/>
  <c r="AB1662" i="1"/>
  <c r="AC1662" i="1"/>
  <c r="AD1662" i="1"/>
  <c r="AE1662" i="1"/>
  <c r="AF1662" i="1"/>
  <c r="AG1662" i="1"/>
  <c r="AH1662" i="1"/>
  <c r="AI1662" i="1"/>
  <c r="AJ1662" i="1"/>
  <c r="AK1662" i="1"/>
  <c r="C1663" i="1"/>
  <c r="H1663" i="1"/>
  <c r="I1663" i="1"/>
  <c r="J1663" i="1"/>
  <c r="K1663" i="1"/>
  <c r="M1663" i="1"/>
  <c r="P1663" i="1"/>
  <c r="R1663" i="1"/>
  <c r="S1663" i="1"/>
  <c r="T1663" i="1"/>
  <c r="U1663" i="1"/>
  <c r="X1663" i="1"/>
  <c r="Y1663" i="1"/>
  <c r="Z1663" i="1"/>
  <c r="AA1663" i="1"/>
  <c r="AB1663" i="1"/>
  <c r="AC1663" i="1"/>
  <c r="AD1663" i="1"/>
  <c r="AE1663" i="1"/>
  <c r="AF1663" i="1"/>
  <c r="AG1663" i="1"/>
  <c r="AH1663" i="1"/>
  <c r="AI1663" i="1"/>
  <c r="AJ1663" i="1"/>
  <c r="AK1663" i="1"/>
  <c r="C1664" i="1"/>
  <c r="H1664" i="1"/>
  <c r="I1664" i="1"/>
  <c r="J1664" i="1"/>
  <c r="K1664" i="1"/>
  <c r="M1664" i="1"/>
  <c r="P1664" i="1"/>
  <c r="R1664" i="1"/>
  <c r="S1664" i="1"/>
  <c r="T1664" i="1"/>
  <c r="U1664" i="1"/>
  <c r="X1664" i="1"/>
  <c r="Y1664" i="1"/>
  <c r="Z1664" i="1"/>
  <c r="AA1664" i="1"/>
  <c r="AB1664" i="1"/>
  <c r="AC1664" i="1"/>
  <c r="AD1664" i="1"/>
  <c r="AE1664" i="1"/>
  <c r="AF1664" i="1"/>
  <c r="AG1664" i="1"/>
  <c r="AH1664" i="1"/>
  <c r="AI1664" i="1"/>
  <c r="AJ1664" i="1"/>
  <c r="AK1664" i="1"/>
  <c r="C1665" i="1"/>
  <c r="H1665" i="1"/>
  <c r="I1665" i="1"/>
  <c r="J1665" i="1"/>
  <c r="K1665" i="1"/>
  <c r="M1665" i="1"/>
  <c r="P1665" i="1"/>
  <c r="R1665" i="1"/>
  <c r="S1665" i="1"/>
  <c r="T1665" i="1"/>
  <c r="U1665" i="1"/>
  <c r="X1665" i="1"/>
  <c r="Y1665" i="1"/>
  <c r="Z1665" i="1"/>
  <c r="AA1665" i="1"/>
  <c r="AB1665" i="1"/>
  <c r="AC1665" i="1"/>
  <c r="AD1665" i="1"/>
  <c r="AE1665" i="1"/>
  <c r="AF1665" i="1"/>
  <c r="AG1665" i="1"/>
  <c r="AH1665" i="1"/>
  <c r="AI1665" i="1"/>
  <c r="AJ1665" i="1"/>
  <c r="AK1665" i="1"/>
  <c r="C1666" i="1"/>
  <c r="H1666" i="1"/>
  <c r="I1666" i="1"/>
  <c r="J1666" i="1"/>
  <c r="K1666" i="1"/>
  <c r="M1666" i="1"/>
  <c r="P1666" i="1"/>
  <c r="R1666" i="1"/>
  <c r="S1666" i="1"/>
  <c r="T1666" i="1"/>
  <c r="U1666" i="1"/>
  <c r="X1666" i="1"/>
  <c r="Y1666" i="1"/>
  <c r="Z1666" i="1"/>
  <c r="AA1666" i="1"/>
  <c r="AB1666" i="1"/>
  <c r="AC1666" i="1"/>
  <c r="AD1666" i="1"/>
  <c r="AE1666" i="1"/>
  <c r="AF1666" i="1"/>
  <c r="AG1666" i="1"/>
  <c r="AH1666" i="1"/>
  <c r="AI1666" i="1"/>
  <c r="AJ1666" i="1"/>
  <c r="AK1666" i="1"/>
  <c r="C1667" i="1"/>
  <c r="H1667" i="1"/>
  <c r="I1667" i="1"/>
  <c r="J1667" i="1"/>
  <c r="K1667" i="1"/>
  <c r="M1667" i="1"/>
  <c r="P1667" i="1"/>
  <c r="R1667" i="1"/>
  <c r="S1667" i="1"/>
  <c r="T1667" i="1"/>
  <c r="U1667" i="1"/>
  <c r="X1667" i="1"/>
  <c r="Y1667" i="1"/>
  <c r="Z1667" i="1"/>
  <c r="AA1667" i="1"/>
  <c r="AB1667" i="1"/>
  <c r="AC1667" i="1"/>
  <c r="AD1667" i="1"/>
  <c r="AE1667" i="1"/>
  <c r="AF1667" i="1"/>
  <c r="AG1667" i="1"/>
  <c r="AH1667" i="1"/>
  <c r="AI1667" i="1"/>
  <c r="AJ1667" i="1"/>
  <c r="AK1667" i="1"/>
  <c r="C1668" i="1"/>
  <c r="H1668" i="1"/>
  <c r="I1668" i="1"/>
  <c r="J1668" i="1"/>
  <c r="K1668" i="1"/>
  <c r="M1668" i="1"/>
  <c r="P1668" i="1"/>
  <c r="R1668" i="1"/>
  <c r="S1668" i="1"/>
  <c r="T1668" i="1"/>
  <c r="U1668" i="1"/>
  <c r="X1668" i="1"/>
  <c r="Y1668" i="1"/>
  <c r="Z1668" i="1"/>
  <c r="AA1668" i="1"/>
  <c r="AB1668" i="1"/>
  <c r="AC1668" i="1"/>
  <c r="AD1668" i="1"/>
  <c r="AE1668" i="1"/>
  <c r="AF1668" i="1"/>
  <c r="AG1668" i="1"/>
  <c r="AH1668" i="1"/>
  <c r="AI1668" i="1"/>
  <c r="AJ1668" i="1"/>
  <c r="AK1668" i="1"/>
  <c r="C1669" i="1"/>
  <c r="H1669" i="1"/>
  <c r="I1669" i="1"/>
  <c r="J1669" i="1"/>
  <c r="K1669" i="1"/>
  <c r="M1669" i="1"/>
  <c r="P1669" i="1"/>
  <c r="R1669" i="1"/>
  <c r="S1669" i="1"/>
  <c r="T1669" i="1"/>
  <c r="U1669" i="1"/>
  <c r="X1669" i="1"/>
  <c r="Y1669" i="1"/>
  <c r="Z1669" i="1"/>
  <c r="AA1669" i="1"/>
  <c r="AB1669" i="1"/>
  <c r="AC1669" i="1"/>
  <c r="AD1669" i="1"/>
  <c r="AE1669" i="1"/>
  <c r="AF1669" i="1"/>
  <c r="AG1669" i="1"/>
  <c r="AH1669" i="1"/>
  <c r="AI1669" i="1"/>
  <c r="AJ1669" i="1"/>
  <c r="AK1669" i="1"/>
  <c r="C1670" i="1"/>
  <c r="H1670" i="1"/>
  <c r="I1670" i="1"/>
  <c r="J1670" i="1"/>
  <c r="K1670" i="1"/>
  <c r="M1670" i="1"/>
  <c r="P1670" i="1"/>
  <c r="R1670" i="1"/>
  <c r="S1670" i="1"/>
  <c r="T1670" i="1"/>
  <c r="U1670" i="1"/>
  <c r="X1670" i="1"/>
  <c r="Y1670" i="1"/>
  <c r="Z1670" i="1"/>
  <c r="AA1670" i="1"/>
  <c r="AB1670" i="1"/>
  <c r="AC1670" i="1"/>
  <c r="AD1670" i="1"/>
  <c r="AE1670" i="1"/>
  <c r="AF1670" i="1"/>
  <c r="AG1670" i="1"/>
  <c r="AH1670" i="1"/>
  <c r="AI1670" i="1"/>
  <c r="AJ1670" i="1"/>
  <c r="AK1670" i="1"/>
  <c r="C1671" i="1"/>
  <c r="H1671" i="1"/>
  <c r="I1671" i="1"/>
  <c r="J1671" i="1"/>
  <c r="K1671" i="1"/>
  <c r="M1671" i="1"/>
  <c r="P1671" i="1"/>
  <c r="R1671" i="1"/>
  <c r="S1671" i="1"/>
  <c r="T1671" i="1"/>
  <c r="U1671" i="1"/>
  <c r="X1671" i="1"/>
  <c r="Y1671" i="1"/>
  <c r="Z1671" i="1"/>
  <c r="AA1671" i="1"/>
  <c r="AB1671" i="1"/>
  <c r="AC1671" i="1"/>
  <c r="AD1671" i="1"/>
  <c r="AE1671" i="1"/>
  <c r="AF1671" i="1"/>
  <c r="AG1671" i="1"/>
  <c r="AH1671" i="1"/>
  <c r="AI1671" i="1"/>
  <c r="AJ1671" i="1"/>
  <c r="AK1671" i="1"/>
  <c r="C1652" i="1"/>
  <c r="H1652" i="1"/>
  <c r="I1652" i="1"/>
  <c r="J1652" i="1"/>
  <c r="K1652" i="1"/>
  <c r="M1652" i="1"/>
  <c r="P1652" i="1"/>
  <c r="R1652" i="1"/>
  <c r="S1652" i="1"/>
  <c r="T1652" i="1"/>
  <c r="U1652" i="1"/>
  <c r="X1652" i="1"/>
  <c r="Y1652" i="1"/>
  <c r="Z1652" i="1"/>
  <c r="AA1652" i="1"/>
  <c r="AB1652" i="1"/>
  <c r="AC1652" i="1"/>
  <c r="AD1652" i="1"/>
  <c r="AE1652" i="1"/>
  <c r="AF1652" i="1"/>
  <c r="AG1652" i="1"/>
  <c r="AH1652" i="1"/>
  <c r="AI1652" i="1"/>
  <c r="AJ1652" i="1"/>
  <c r="AK1652" i="1"/>
  <c r="C1653" i="1"/>
  <c r="H1653" i="1"/>
  <c r="I1653" i="1"/>
  <c r="J1653" i="1"/>
  <c r="K1653" i="1"/>
  <c r="M1653" i="1"/>
  <c r="P1653" i="1"/>
  <c r="R1653" i="1"/>
  <c r="S1653" i="1"/>
  <c r="T1653" i="1"/>
  <c r="U1653" i="1"/>
  <c r="X1653" i="1"/>
  <c r="Y1653" i="1"/>
  <c r="Z1653" i="1"/>
  <c r="AA1653" i="1"/>
  <c r="AB1653" i="1"/>
  <c r="AC1653" i="1"/>
  <c r="AD1653" i="1"/>
  <c r="AE1653" i="1"/>
  <c r="AF1653" i="1"/>
  <c r="AG1653" i="1"/>
  <c r="AH1653" i="1"/>
  <c r="AI1653" i="1"/>
  <c r="AJ1653" i="1"/>
  <c r="AK1653" i="1"/>
  <c r="C1654" i="1"/>
  <c r="H1654" i="1"/>
  <c r="I1654" i="1"/>
  <c r="J1654" i="1"/>
  <c r="K1654" i="1"/>
  <c r="M1654" i="1"/>
  <c r="P1654" i="1"/>
  <c r="R1654" i="1"/>
  <c r="S1654" i="1"/>
  <c r="T1654" i="1"/>
  <c r="U1654" i="1"/>
  <c r="X1654" i="1"/>
  <c r="Y1654" i="1"/>
  <c r="Z1654" i="1"/>
  <c r="AA1654" i="1"/>
  <c r="AB1654" i="1"/>
  <c r="AC1654" i="1"/>
  <c r="AD1654" i="1"/>
  <c r="AE1654" i="1"/>
  <c r="AF1654" i="1"/>
  <c r="AG1654" i="1"/>
  <c r="AH1654" i="1"/>
  <c r="AI1654" i="1"/>
  <c r="AJ1654" i="1"/>
  <c r="AK1654" i="1"/>
  <c r="C1655" i="1"/>
  <c r="H1655" i="1"/>
  <c r="I1655" i="1"/>
  <c r="J1655" i="1"/>
  <c r="K1655" i="1"/>
  <c r="M1655" i="1"/>
  <c r="P1655" i="1"/>
  <c r="R1655" i="1"/>
  <c r="S1655" i="1"/>
  <c r="T1655" i="1"/>
  <c r="U1655" i="1"/>
  <c r="X1655" i="1"/>
  <c r="Y1655" i="1"/>
  <c r="Z1655" i="1"/>
  <c r="AA1655" i="1"/>
  <c r="AB1655" i="1"/>
  <c r="AC1655" i="1"/>
  <c r="AD1655" i="1"/>
  <c r="AE1655" i="1"/>
  <c r="AF1655" i="1"/>
  <c r="AG1655" i="1"/>
  <c r="AH1655" i="1"/>
  <c r="AI1655" i="1"/>
  <c r="AJ1655" i="1"/>
  <c r="AK1655" i="1"/>
  <c r="C1656" i="1"/>
  <c r="H1656" i="1"/>
  <c r="I1656" i="1"/>
  <c r="J1656" i="1"/>
  <c r="K1656" i="1"/>
  <c r="M1656" i="1"/>
  <c r="P1656" i="1"/>
  <c r="R1656" i="1"/>
  <c r="S1656" i="1"/>
  <c r="T1656" i="1"/>
  <c r="U1656" i="1"/>
  <c r="X1656" i="1"/>
  <c r="Y1656" i="1"/>
  <c r="Z1656" i="1"/>
  <c r="AA1656" i="1"/>
  <c r="AB1656" i="1"/>
  <c r="AC1656" i="1"/>
  <c r="AD1656" i="1"/>
  <c r="AE1656" i="1"/>
  <c r="AF1656" i="1"/>
  <c r="AG1656" i="1"/>
  <c r="AH1656" i="1"/>
  <c r="AI1656" i="1"/>
  <c r="AJ1656" i="1"/>
  <c r="AK1656" i="1"/>
  <c r="C1657" i="1"/>
  <c r="H1657" i="1"/>
  <c r="I1657" i="1"/>
  <c r="J1657" i="1"/>
  <c r="K1657" i="1"/>
  <c r="M1657" i="1"/>
  <c r="P1657" i="1"/>
  <c r="R1657" i="1"/>
  <c r="S1657" i="1"/>
  <c r="T1657" i="1"/>
  <c r="U1657" i="1"/>
  <c r="X1657" i="1"/>
  <c r="Y1657" i="1"/>
  <c r="Z1657" i="1"/>
  <c r="AA1657" i="1"/>
  <c r="AB1657" i="1"/>
  <c r="AC1657" i="1"/>
  <c r="AD1657" i="1"/>
  <c r="AE1657" i="1"/>
  <c r="AF1657" i="1"/>
  <c r="AG1657" i="1"/>
  <c r="AH1657" i="1"/>
  <c r="AI1657" i="1"/>
  <c r="AJ1657" i="1"/>
  <c r="AK1657" i="1"/>
  <c r="C1658" i="1"/>
  <c r="H1658" i="1"/>
  <c r="I1658" i="1"/>
  <c r="J1658" i="1"/>
  <c r="K1658" i="1"/>
  <c r="M1658" i="1"/>
  <c r="P1658" i="1"/>
  <c r="R1658" i="1"/>
  <c r="S1658" i="1"/>
  <c r="T1658" i="1"/>
  <c r="U1658" i="1"/>
  <c r="X1658" i="1"/>
  <c r="Y1658" i="1"/>
  <c r="Z1658" i="1"/>
  <c r="AA1658" i="1"/>
  <c r="AB1658" i="1"/>
  <c r="AC1658" i="1"/>
  <c r="AD1658" i="1"/>
  <c r="AE1658" i="1"/>
  <c r="AF1658" i="1"/>
  <c r="AG1658" i="1"/>
  <c r="AH1658" i="1"/>
  <c r="AI1658" i="1"/>
  <c r="AJ1658" i="1"/>
  <c r="AK1658" i="1"/>
  <c r="C1659" i="1"/>
  <c r="H1659" i="1"/>
  <c r="I1659" i="1"/>
  <c r="J1659" i="1"/>
  <c r="K1659" i="1"/>
  <c r="M1659" i="1"/>
  <c r="P1659" i="1"/>
  <c r="R1659" i="1"/>
  <c r="S1659" i="1"/>
  <c r="T1659" i="1"/>
  <c r="U1659" i="1"/>
  <c r="X1659" i="1"/>
  <c r="Y1659" i="1"/>
  <c r="Z1659" i="1"/>
  <c r="AA1659" i="1"/>
  <c r="AB1659" i="1"/>
  <c r="AC1659" i="1"/>
  <c r="AD1659" i="1"/>
  <c r="AE1659" i="1"/>
  <c r="AF1659" i="1"/>
  <c r="AG1659" i="1"/>
  <c r="AH1659" i="1"/>
  <c r="AI1659" i="1"/>
  <c r="AJ1659" i="1"/>
  <c r="AK1659" i="1"/>
  <c r="C1660" i="1"/>
  <c r="H1660" i="1"/>
  <c r="I1660" i="1"/>
  <c r="J1660" i="1"/>
  <c r="K1660" i="1"/>
  <c r="M1660" i="1"/>
  <c r="P1660" i="1"/>
  <c r="R1660" i="1"/>
  <c r="S1660" i="1"/>
  <c r="T1660" i="1"/>
  <c r="U1660" i="1"/>
  <c r="X1660" i="1"/>
  <c r="Y1660" i="1"/>
  <c r="Z1660" i="1"/>
  <c r="AA1660" i="1"/>
  <c r="AB1660" i="1"/>
  <c r="AC1660" i="1"/>
  <c r="AD1660" i="1"/>
  <c r="AE1660" i="1"/>
  <c r="AF1660" i="1"/>
  <c r="AG1660" i="1"/>
  <c r="AH1660" i="1"/>
  <c r="AI1660" i="1"/>
  <c r="AJ1660" i="1"/>
  <c r="AK1660" i="1"/>
  <c r="C1661" i="1"/>
  <c r="H1661" i="1"/>
  <c r="I1661" i="1"/>
  <c r="J1661" i="1"/>
  <c r="K1661" i="1"/>
  <c r="M1661" i="1"/>
  <c r="P1661" i="1"/>
  <c r="R1661" i="1"/>
  <c r="S1661" i="1"/>
  <c r="T1661" i="1"/>
  <c r="U1661" i="1"/>
  <c r="X1661" i="1"/>
  <c r="Y1661" i="1"/>
  <c r="Z1661" i="1"/>
  <c r="AA1661" i="1"/>
  <c r="AB1661" i="1"/>
  <c r="AC1661" i="1"/>
  <c r="AD1661" i="1"/>
  <c r="AE1661" i="1"/>
  <c r="AF1661" i="1"/>
  <c r="AG1661" i="1"/>
  <c r="AH1661" i="1"/>
  <c r="AI1661" i="1"/>
  <c r="AJ1661" i="1"/>
  <c r="AK1661" i="1"/>
  <c r="C1642" i="1"/>
  <c r="H1642" i="1"/>
  <c r="I1642" i="1"/>
  <c r="J1642" i="1"/>
  <c r="K1642" i="1"/>
  <c r="M1642" i="1"/>
  <c r="P1642" i="1"/>
  <c r="R1642" i="1"/>
  <c r="S1642" i="1"/>
  <c r="T1642" i="1"/>
  <c r="U1642" i="1"/>
  <c r="X1642" i="1"/>
  <c r="Y1642" i="1"/>
  <c r="Z1642" i="1"/>
  <c r="AA1642" i="1"/>
  <c r="AB1642" i="1"/>
  <c r="AC1642" i="1"/>
  <c r="AD1642" i="1"/>
  <c r="AE1642" i="1"/>
  <c r="AF1642" i="1"/>
  <c r="AG1642" i="1"/>
  <c r="AH1642" i="1"/>
  <c r="AI1642" i="1"/>
  <c r="AJ1642" i="1"/>
  <c r="AK1642" i="1"/>
  <c r="C1643" i="1"/>
  <c r="H1643" i="1"/>
  <c r="I1643" i="1"/>
  <c r="J1643" i="1"/>
  <c r="K1643" i="1"/>
  <c r="M1643" i="1"/>
  <c r="P1643" i="1"/>
  <c r="R1643" i="1"/>
  <c r="S1643" i="1"/>
  <c r="T1643" i="1"/>
  <c r="U1643" i="1"/>
  <c r="X1643" i="1"/>
  <c r="Y1643" i="1"/>
  <c r="Z1643" i="1"/>
  <c r="AA1643" i="1"/>
  <c r="AB1643" i="1"/>
  <c r="AC1643" i="1"/>
  <c r="AD1643" i="1"/>
  <c r="AE1643" i="1"/>
  <c r="AF1643" i="1"/>
  <c r="AG1643" i="1"/>
  <c r="AH1643" i="1"/>
  <c r="AI1643" i="1"/>
  <c r="AJ1643" i="1"/>
  <c r="AK1643" i="1"/>
  <c r="C1644" i="1"/>
  <c r="H1644" i="1"/>
  <c r="I1644" i="1"/>
  <c r="J1644" i="1"/>
  <c r="K1644" i="1"/>
  <c r="M1644" i="1"/>
  <c r="P1644" i="1"/>
  <c r="R1644" i="1"/>
  <c r="S1644" i="1"/>
  <c r="T1644" i="1"/>
  <c r="U1644" i="1"/>
  <c r="X1644" i="1"/>
  <c r="Y1644" i="1"/>
  <c r="Z1644" i="1"/>
  <c r="AA1644" i="1"/>
  <c r="AB1644" i="1"/>
  <c r="AC1644" i="1"/>
  <c r="AD1644" i="1"/>
  <c r="AE1644" i="1"/>
  <c r="AF1644" i="1"/>
  <c r="AG1644" i="1"/>
  <c r="AH1644" i="1"/>
  <c r="AI1644" i="1"/>
  <c r="AJ1644" i="1"/>
  <c r="AK1644" i="1"/>
  <c r="C1645" i="1"/>
  <c r="H1645" i="1"/>
  <c r="I1645" i="1"/>
  <c r="J1645" i="1"/>
  <c r="K1645" i="1"/>
  <c r="M1645" i="1"/>
  <c r="P1645" i="1"/>
  <c r="R1645" i="1"/>
  <c r="S1645" i="1"/>
  <c r="T1645" i="1"/>
  <c r="U1645" i="1"/>
  <c r="X1645" i="1"/>
  <c r="Y1645" i="1"/>
  <c r="Z1645" i="1"/>
  <c r="AA1645" i="1"/>
  <c r="AB1645" i="1"/>
  <c r="AC1645" i="1"/>
  <c r="AD1645" i="1"/>
  <c r="AE1645" i="1"/>
  <c r="AF1645" i="1"/>
  <c r="AG1645" i="1"/>
  <c r="AH1645" i="1"/>
  <c r="AI1645" i="1"/>
  <c r="AJ1645" i="1"/>
  <c r="AK1645" i="1"/>
  <c r="C1646" i="1"/>
  <c r="H1646" i="1"/>
  <c r="I1646" i="1"/>
  <c r="J1646" i="1"/>
  <c r="K1646" i="1"/>
  <c r="M1646" i="1"/>
  <c r="P1646" i="1"/>
  <c r="R1646" i="1"/>
  <c r="S1646" i="1"/>
  <c r="T1646" i="1"/>
  <c r="U1646" i="1"/>
  <c r="X1646" i="1"/>
  <c r="Y1646" i="1"/>
  <c r="Z1646" i="1"/>
  <c r="AA1646" i="1"/>
  <c r="AB1646" i="1"/>
  <c r="AC1646" i="1"/>
  <c r="AD1646" i="1"/>
  <c r="AE1646" i="1"/>
  <c r="AF1646" i="1"/>
  <c r="AG1646" i="1"/>
  <c r="AH1646" i="1"/>
  <c r="AI1646" i="1"/>
  <c r="AJ1646" i="1"/>
  <c r="AK1646" i="1"/>
  <c r="C1647" i="1"/>
  <c r="H1647" i="1"/>
  <c r="I1647" i="1"/>
  <c r="J1647" i="1"/>
  <c r="K1647" i="1"/>
  <c r="M1647" i="1"/>
  <c r="P1647" i="1"/>
  <c r="R1647" i="1"/>
  <c r="S1647" i="1"/>
  <c r="T1647" i="1"/>
  <c r="U1647" i="1"/>
  <c r="X1647" i="1"/>
  <c r="Y1647" i="1"/>
  <c r="Z1647" i="1"/>
  <c r="AA1647" i="1"/>
  <c r="AB1647" i="1"/>
  <c r="AC1647" i="1"/>
  <c r="AD1647" i="1"/>
  <c r="AE1647" i="1"/>
  <c r="AF1647" i="1"/>
  <c r="AG1647" i="1"/>
  <c r="AH1647" i="1"/>
  <c r="AI1647" i="1"/>
  <c r="AJ1647" i="1"/>
  <c r="AK1647" i="1"/>
  <c r="C1648" i="1"/>
  <c r="H1648" i="1"/>
  <c r="I1648" i="1"/>
  <c r="J1648" i="1"/>
  <c r="K1648" i="1"/>
  <c r="M1648" i="1"/>
  <c r="P1648" i="1"/>
  <c r="R1648" i="1"/>
  <c r="S1648" i="1"/>
  <c r="T1648" i="1"/>
  <c r="U1648" i="1"/>
  <c r="X1648" i="1"/>
  <c r="Y1648" i="1"/>
  <c r="Z1648" i="1"/>
  <c r="AA1648" i="1"/>
  <c r="AB1648" i="1"/>
  <c r="AC1648" i="1"/>
  <c r="AD1648" i="1"/>
  <c r="AE1648" i="1"/>
  <c r="AF1648" i="1"/>
  <c r="AG1648" i="1"/>
  <c r="AH1648" i="1"/>
  <c r="AI1648" i="1"/>
  <c r="AJ1648" i="1"/>
  <c r="AK1648" i="1"/>
  <c r="C1649" i="1"/>
  <c r="H1649" i="1"/>
  <c r="I1649" i="1"/>
  <c r="J1649" i="1"/>
  <c r="K1649" i="1"/>
  <c r="M1649" i="1"/>
  <c r="P1649" i="1"/>
  <c r="R1649" i="1"/>
  <c r="S1649" i="1"/>
  <c r="T1649" i="1"/>
  <c r="U1649" i="1"/>
  <c r="X1649" i="1"/>
  <c r="Y1649" i="1"/>
  <c r="Z1649" i="1"/>
  <c r="AA1649" i="1"/>
  <c r="AB1649" i="1"/>
  <c r="AC1649" i="1"/>
  <c r="AD1649" i="1"/>
  <c r="AE1649" i="1"/>
  <c r="AF1649" i="1"/>
  <c r="AG1649" i="1"/>
  <c r="AH1649" i="1"/>
  <c r="AI1649" i="1"/>
  <c r="AJ1649" i="1"/>
  <c r="AK1649" i="1"/>
  <c r="C1650" i="1"/>
  <c r="H1650" i="1"/>
  <c r="I1650" i="1"/>
  <c r="J1650" i="1"/>
  <c r="K1650" i="1"/>
  <c r="M1650" i="1"/>
  <c r="P1650" i="1"/>
  <c r="R1650" i="1"/>
  <c r="S1650" i="1"/>
  <c r="T1650" i="1"/>
  <c r="U1650" i="1"/>
  <c r="X1650" i="1"/>
  <c r="Y1650" i="1"/>
  <c r="Z1650" i="1"/>
  <c r="AA1650" i="1"/>
  <c r="AB1650" i="1"/>
  <c r="AC1650" i="1"/>
  <c r="AD1650" i="1"/>
  <c r="AE1650" i="1"/>
  <c r="AF1650" i="1"/>
  <c r="AG1650" i="1"/>
  <c r="AH1650" i="1"/>
  <c r="AI1650" i="1"/>
  <c r="AJ1650" i="1"/>
  <c r="AK1650" i="1"/>
  <c r="C1651" i="1"/>
  <c r="H1651" i="1"/>
  <c r="I1651" i="1"/>
  <c r="J1651" i="1"/>
  <c r="K1651" i="1"/>
  <c r="M1651" i="1"/>
  <c r="P1651" i="1"/>
  <c r="R1651" i="1"/>
  <c r="S1651" i="1"/>
  <c r="T1651" i="1"/>
  <c r="U1651" i="1"/>
  <c r="X1651" i="1"/>
  <c r="Y1651" i="1"/>
  <c r="Z1651" i="1"/>
  <c r="AA1651" i="1"/>
  <c r="AB1651" i="1"/>
  <c r="AC1651" i="1"/>
  <c r="AD1651" i="1"/>
  <c r="AE1651" i="1"/>
  <c r="AF1651" i="1"/>
  <c r="AG1651" i="1"/>
  <c r="AH1651" i="1"/>
  <c r="AI1651" i="1"/>
  <c r="AJ1651" i="1"/>
  <c r="AK1651" i="1"/>
  <c r="C1632" i="1"/>
  <c r="H1632" i="1"/>
  <c r="I1632" i="1"/>
  <c r="J1632" i="1"/>
  <c r="K1632" i="1"/>
  <c r="M1632" i="1"/>
  <c r="P1632" i="1"/>
  <c r="R1632" i="1"/>
  <c r="S1632" i="1"/>
  <c r="T1632" i="1"/>
  <c r="U1632" i="1"/>
  <c r="X1632" i="1"/>
  <c r="Y1632" i="1"/>
  <c r="Z1632" i="1"/>
  <c r="AA1632" i="1"/>
  <c r="AB1632" i="1"/>
  <c r="AC1632" i="1"/>
  <c r="AD1632" i="1"/>
  <c r="AE1632" i="1"/>
  <c r="AF1632" i="1"/>
  <c r="AG1632" i="1"/>
  <c r="AH1632" i="1"/>
  <c r="AI1632" i="1"/>
  <c r="AJ1632" i="1"/>
  <c r="AK1632" i="1"/>
  <c r="C1633" i="1"/>
  <c r="H1633" i="1"/>
  <c r="I1633" i="1"/>
  <c r="J1633" i="1"/>
  <c r="K1633" i="1"/>
  <c r="M1633" i="1"/>
  <c r="P1633" i="1"/>
  <c r="R1633" i="1"/>
  <c r="S1633" i="1"/>
  <c r="T1633" i="1"/>
  <c r="U1633" i="1"/>
  <c r="X1633" i="1"/>
  <c r="Y1633" i="1"/>
  <c r="Z1633" i="1"/>
  <c r="AA1633" i="1"/>
  <c r="AB1633" i="1"/>
  <c r="AC1633" i="1"/>
  <c r="AD1633" i="1"/>
  <c r="AE1633" i="1"/>
  <c r="AF1633" i="1"/>
  <c r="AG1633" i="1"/>
  <c r="AH1633" i="1"/>
  <c r="AI1633" i="1"/>
  <c r="AJ1633" i="1"/>
  <c r="AK1633" i="1"/>
  <c r="C1634" i="1"/>
  <c r="H1634" i="1"/>
  <c r="I1634" i="1"/>
  <c r="J1634" i="1"/>
  <c r="K1634" i="1"/>
  <c r="M1634" i="1"/>
  <c r="P1634" i="1"/>
  <c r="R1634" i="1"/>
  <c r="S1634" i="1"/>
  <c r="T1634" i="1"/>
  <c r="U1634" i="1"/>
  <c r="X1634" i="1"/>
  <c r="Y1634" i="1"/>
  <c r="Z1634" i="1"/>
  <c r="AA1634" i="1"/>
  <c r="AB1634" i="1"/>
  <c r="AC1634" i="1"/>
  <c r="AD1634" i="1"/>
  <c r="AE1634" i="1"/>
  <c r="AF1634" i="1"/>
  <c r="AG1634" i="1"/>
  <c r="AH1634" i="1"/>
  <c r="AI1634" i="1"/>
  <c r="AJ1634" i="1"/>
  <c r="AK1634" i="1"/>
  <c r="C1635" i="1"/>
  <c r="H1635" i="1"/>
  <c r="I1635" i="1"/>
  <c r="J1635" i="1"/>
  <c r="K1635" i="1"/>
  <c r="M1635" i="1"/>
  <c r="P1635" i="1"/>
  <c r="R1635" i="1"/>
  <c r="S1635" i="1"/>
  <c r="T1635" i="1"/>
  <c r="U1635" i="1"/>
  <c r="X1635" i="1"/>
  <c r="Y1635" i="1"/>
  <c r="Z1635" i="1"/>
  <c r="AA1635" i="1"/>
  <c r="AB1635" i="1"/>
  <c r="AC1635" i="1"/>
  <c r="AD1635" i="1"/>
  <c r="AE1635" i="1"/>
  <c r="AF1635" i="1"/>
  <c r="AG1635" i="1"/>
  <c r="AH1635" i="1"/>
  <c r="AI1635" i="1"/>
  <c r="AJ1635" i="1"/>
  <c r="AK1635" i="1"/>
  <c r="C1636" i="1"/>
  <c r="H1636" i="1"/>
  <c r="I1636" i="1"/>
  <c r="J1636" i="1"/>
  <c r="K1636" i="1"/>
  <c r="M1636" i="1"/>
  <c r="P1636" i="1"/>
  <c r="R1636" i="1"/>
  <c r="S1636" i="1"/>
  <c r="T1636" i="1"/>
  <c r="U1636" i="1"/>
  <c r="X1636" i="1"/>
  <c r="Y1636" i="1"/>
  <c r="Z1636" i="1"/>
  <c r="AA1636" i="1"/>
  <c r="AB1636" i="1"/>
  <c r="AC1636" i="1"/>
  <c r="AD1636" i="1"/>
  <c r="AE1636" i="1"/>
  <c r="AF1636" i="1"/>
  <c r="AG1636" i="1"/>
  <c r="AH1636" i="1"/>
  <c r="AI1636" i="1"/>
  <c r="AJ1636" i="1"/>
  <c r="AK1636" i="1"/>
  <c r="C1637" i="1"/>
  <c r="H1637" i="1"/>
  <c r="I1637" i="1"/>
  <c r="J1637" i="1"/>
  <c r="K1637" i="1"/>
  <c r="M1637" i="1"/>
  <c r="P1637" i="1"/>
  <c r="R1637" i="1"/>
  <c r="S1637" i="1"/>
  <c r="T1637" i="1"/>
  <c r="U1637" i="1"/>
  <c r="X1637" i="1"/>
  <c r="Y1637" i="1"/>
  <c r="Z1637" i="1"/>
  <c r="AA1637" i="1"/>
  <c r="AB1637" i="1"/>
  <c r="AC1637" i="1"/>
  <c r="AD1637" i="1"/>
  <c r="AE1637" i="1"/>
  <c r="AF1637" i="1"/>
  <c r="AG1637" i="1"/>
  <c r="AH1637" i="1"/>
  <c r="AI1637" i="1"/>
  <c r="AJ1637" i="1"/>
  <c r="AK1637" i="1"/>
  <c r="C1638" i="1"/>
  <c r="H1638" i="1"/>
  <c r="I1638" i="1"/>
  <c r="J1638" i="1"/>
  <c r="K1638" i="1"/>
  <c r="M1638" i="1"/>
  <c r="P1638" i="1"/>
  <c r="R1638" i="1"/>
  <c r="S1638" i="1"/>
  <c r="T1638" i="1"/>
  <c r="U1638" i="1"/>
  <c r="X1638" i="1"/>
  <c r="Y1638" i="1"/>
  <c r="Z1638" i="1"/>
  <c r="AA1638" i="1"/>
  <c r="AB1638" i="1"/>
  <c r="AC1638" i="1"/>
  <c r="AD1638" i="1"/>
  <c r="AE1638" i="1"/>
  <c r="AF1638" i="1"/>
  <c r="AG1638" i="1"/>
  <c r="AH1638" i="1"/>
  <c r="AI1638" i="1"/>
  <c r="AJ1638" i="1"/>
  <c r="AK1638" i="1"/>
  <c r="C1639" i="1"/>
  <c r="H1639" i="1"/>
  <c r="I1639" i="1"/>
  <c r="J1639" i="1"/>
  <c r="K1639" i="1"/>
  <c r="M1639" i="1"/>
  <c r="P1639" i="1"/>
  <c r="R1639" i="1"/>
  <c r="S1639" i="1"/>
  <c r="T1639" i="1"/>
  <c r="U1639" i="1"/>
  <c r="X1639" i="1"/>
  <c r="Y1639" i="1"/>
  <c r="Z1639" i="1"/>
  <c r="AA1639" i="1"/>
  <c r="AB1639" i="1"/>
  <c r="AC1639" i="1"/>
  <c r="AD1639" i="1"/>
  <c r="AE1639" i="1"/>
  <c r="AF1639" i="1"/>
  <c r="AG1639" i="1"/>
  <c r="AH1639" i="1"/>
  <c r="AI1639" i="1"/>
  <c r="AJ1639" i="1"/>
  <c r="AK1639" i="1"/>
  <c r="C1640" i="1"/>
  <c r="H1640" i="1"/>
  <c r="I1640" i="1"/>
  <c r="J1640" i="1"/>
  <c r="K1640" i="1"/>
  <c r="M1640" i="1"/>
  <c r="P1640" i="1"/>
  <c r="R1640" i="1"/>
  <c r="S1640" i="1"/>
  <c r="T1640" i="1"/>
  <c r="U1640" i="1"/>
  <c r="X1640" i="1"/>
  <c r="Y1640" i="1"/>
  <c r="Z1640" i="1"/>
  <c r="AA1640" i="1"/>
  <c r="AB1640" i="1"/>
  <c r="AC1640" i="1"/>
  <c r="AD1640" i="1"/>
  <c r="AE1640" i="1"/>
  <c r="AF1640" i="1"/>
  <c r="AG1640" i="1"/>
  <c r="AH1640" i="1"/>
  <c r="AI1640" i="1"/>
  <c r="AJ1640" i="1"/>
  <c r="AK1640" i="1"/>
  <c r="C1641" i="1"/>
  <c r="H1641" i="1"/>
  <c r="I1641" i="1"/>
  <c r="J1641" i="1"/>
  <c r="K1641" i="1"/>
  <c r="M1641" i="1"/>
  <c r="P1641" i="1"/>
  <c r="R1641" i="1"/>
  <c r="S1641" i="1"/>
  <c r="T1641" i="1"/>
  <c r="U1641" i="1"/>
  <c r="X1641" i="1"/>
  <c r="Y1641" i="1"/>
  <c r="Z1641" i="1"/>
  <c r="AA1641" i="1"/>
  <c r="AB1641" i="1"/>
  <c r="AC1641" i="1"/>
  <c r="AD1641" i="1"/>
  <c r="AE1641" i="1"/>
  <c r="AF1641" i="1"/>
  <c r="AG1641" i="1"/>
  <c r="AH1641" i="1"/>
  <c r="AI1641" i="1"/>
  <c r="AJ1641" i="1"/>
  <c r="AK1641" i="1"/>
  <c r="C1622" i="1"/>
  <c r="H1622" i="1"/>
  <c r="I1622" i="1"/>
  <c r="J1622" i="1"/>
  <c r="K1622" i="1"/>
  <c r="M1622" i="1"/>
  <c r="P1622" i="1"/>
  <c r="R1622" i="1"/>
  <c r="S1622" i="1"/>
  <c r="T1622" i="1"/>
  <c r="U1622" i="1"/>
  <c r="X1622" i="1"/>
  <c r="Y1622" i="1"/>
  <c r="Z1622" i="1"/>
  <c r="AA1622" i="1"/>
  <c r="AB1622" i="1"/>
  <c r="AC1622" i="1"/>
  <c r="AD1622" i="1"/>
  <c r="AE1622" i="1"/>
  <c r="AF1622" i="1"/>
  <c r="AG1622" i="1"/>
  <c r="AH1622" i="1"/>
  <c r="AI1622" i="1"/>
  <c r="AJ1622" i="1"/>
  <c r="AK1622" i="1"/>
  <c r="C1623" i="1"/>
  <c r="H1623" i="1"/>
  <c r="I1623" i="1"/>
  <c r="J1623" i="1"/>
  <c r="K1623" i="1"/>
  <c r="M1623" i="1"/>
  <c r="P1623" i="1"/>
  <c r="R1623" i="1"/>
  <c r="S1623" i="1"/>
  <c r="T1623" i="1"/>
  <c r="U1623" i="1"/>
  <c r="X1623" i="1"/>
  <c r="Y1623" i="1"/>
  <c r="Z1623" i="1"/>
  <c r="AA1623" i="1"/>
  <c r="AB1623" i="1"/>
  <c r="AC1623" i="1"/>
  <c r="AD1623" i="1"/>
  <c r="AE1623" i="1"/>
  <c r="AF1623" i="1"/>
  <c r="AG1623" i="1"/>
  <c r="AH1623" i="1"/>
  <c r="AI1623" i="1"/>
  <c r="AJ1623" i="1"/>
  <c r="AK1623" i="1"/>
  <c r="C1624" i="1"/>
  <c r="H1624" i="1"/>
  <c r="I1624" i="1"/>
  <c r="J1624" i="1"/>
  <c r="K1624" i="1"/>
  <c r="M1624" i="1"/>
  <c r="P1624" i="1"/>
  <c r="R1624" i="1"/>
  <c r="S1624" i="1"/>
  <c r="T1624" i="1"/>
  <c r="U1624" i="1"/>
  <c r="X1624" i="1"/>
  <c r="Y1624" i="1"/>
  <c r="Z1624" i="1"/>
  <c r="AA1624" i="1"/>
  <c r="AB1624" i="1"/>
  <c r="AC1624" i="1"/>
  <c r="AD1624" i="1"/>
  <c r="AE1624" i="1"/>
  <c r="AF1624" i="1"/>
  <c r="AG1624" i="1"/>
  <c r="AH1624" i="1"/>
  <c r="AI1624" i="1"/>
  <c r="AJ1624" i="1"/>
  <c r="AK1624" i="1"/>
  <c r="C1625" i="1"/>
  <c r="H1625" i="1"/>
  <c r="I1625" i="1"/>
  <c r="J1625" i="1"/>
  <c r="K1625" i="1"/>
  <c r="M1625" i="1"/>
  <c r="P1625" i="1"/>
  <c r="R1625" i="1"/>
  <c r="S1625" i="1"/>
  <c r="T1625" i="1"/>
  <c r="U1625" i="1"/>
  <c r="X1625" i="1"/>
  <c r="Y1625" i="1"/>
  <c r="Z1625" i="1"/>
  <c r="AA1625" i="1"/>
  <c r="AB1625" i="1"/>
  <c r="AC1625" i="1"/>
  <c r="AD1625" i="1"/>
  <c r="AE1625" i="1"/>
  <c r="AF1625" i="1"/>
  <c r="AG1625" i="1"/>
  <c r="AH1625" i="1"/>
  <c r="AI1625" i="1"/>
  <c r="AJ1625" i="1"/>
  <c r="AK1625" i="1"/>
  <c r="C1626" i="1"/>
  <c r="H1626" i="1"/>
  <c r="I1626" i="1"/>
  <c r="J1626" i="1"/>
  <c r="K1626" i="1"/>
  <c r="M1626" i="1"/>
  <c r="P1626" i="1"/>
  <c r="R1626" i="1"/>
  <c r="S1626" i="1"/>
  <c r="T1626" i="1"/>
  <c r="U1626" i="1"/>
  <c r="X1626" i="1"/>
  <c r="Y1626" i="1"/>
  <c r="Z1626" i="1"/>
  <c r="AA1626" i="1"/>
  <c r="AB1626" i="1"/>
  <c r="AC1626" i="1"/>
  <c r="AD1626" i="1"/>
  <c r="AE1626" i="1"/>
  <c r="AF1626" i="1"/>
  <c r="AG1626" i="1"/>
  <c r="AH1626" i="1"/>
  <c r="AI1626" i="1"/>
  <c r="AJ1626" i="1"/>
  <c r="AK1626" i="1"/>
  <c r="C1627" i="1"/>
  <c r="H1627" i="1"/>
  <c r="I1627" i="1"/>
  <c r="J1627" i="1"/>
  <c r="K1627" i="1"/>
  <c r="M1627" i="1"/>
  <c r="P1627" i="1"/>
  <c r="R1627" i="1"/>
  <c r="S1627" i="1"/>
  <c r="T1627" i="1"/>
  <c r="U1627" i="1"/>
  <c r="X1627" i="1"/>
  <c r="Y1627" i="1"/>
  <c r="Z1627" i="1"/>
  <c r="AA1627" i="1"/>
  <c r="AB1627" i="1"/>
  <c r="AC1627" i="1"/>
  <c r="AD1627" i="1"/>
  <c r="AE1627" i="1"/>
  <c r="AF1627" i="1"/>
  <c r="AG1627" i="1"/>
  <c r="AH1627" i="1"/>
  <c r="AI1627" i="1"/>
  <c r="AJ1627" i="1"/>
  <c r="AK1627" i="1"/>
  <c r="C1628" i="1"/>
  <c r="H1628" i="1"/>
  <c r="I1628" i="1"/>
  <c r="J1628" i="1"/>
  <c r="K1628" i="1"/>
  <c r="M1628" i="1"/>
  <c r="P1628" i="1"/>
  <c r="R1628" i="1"/>
  <c r="S1628" i="1"/>
  <c r="T1628" i="1"/>
  <c r="U1628" i="1"/>
  <c r="X1628" i="1"/>
  <c r="Y1628" i="1"/>
  <c r="Z1628" i="1"/>
  <c r="AA1628" i="1"/>
  <c r="AB1628" i="1"/>
  <c r="AC1628" i="1"/>
  <c r="AD1628" i="1"/>
  <c r="AE1628" i="1"/>
  <c r="AF1628" i="1"/>
  <c r="AG1628" i="1"/>
  <c r="AH1628" i="1"/>
  <c r="AI1628" i="1"/>
  <c r="AJ1628" i="1"/>
  <c r="AK1628" i="1"/>
  <c r="C1629" i="1"/>
  <c r="H1629" i="1"/>
  <c r="I1629" i="1"/>
  <c r="J1629" i="1"/>
  <c r="K1629" i="1"/>
  <c r="M1629" i="1"/>
  <c r="P1629" i="1"/>
  <c r="R1629" i="1"/>
  <c r="S1629" i="1"/>
  <c r="T1629" i="1"/>
  <c r="U1629" i="1"/>
  <c r="X1629" i="1"/>
  <c r="Y1629" i="1"/>
  <c r="Z1629" i="1"/>
  <c r="AA1629" i="1"/>
  <c r="AB1629" i="1"/>
  <c r="AC1629" i="1"/>
  <c r="AD1629" i="1"/>
  <c r="AE1629" i="1"/>
  <c r="AF1629" i="1"/>
  <c r="AG1629" i="1"/>
  <c r="AH1629" i="1"/>
  <c r="AI1629" i="1"/>
  <c r="AJ1629" i="1"/>
  <c r="AK1629" i="1"/>
  <c r="C1630" i="1"/>
  <c r="H1630" i="1"/>
  <c r="I1630" i="1"/>
  <c r="J1630" i="1"/>
  <c r="K1630" i="1"/>
  <c r="M1630" i="1"/>
  <c r="P1630" i="1"/>
  <c r="R1630" i="1"/>
  <c r="S1630" i="1"/>
  <c r="T1630" i="1"/>
  <c r="U1630" i="1"/>
  <c r="X1630" i="1"/>
  <c r="Y1630" i="1"/>
  <c r="Z1630" i="1"/>
  <c r="AA1630" i="1"/>
  <c r="AB1630" i="1"/>
  <c r="AC1630" i="1"/>
  <c r="AD1630" i="1"/>
  <c r="AE1630" i="1"/>
  <c r="AF1630" i="1"/>
  <c r="AG1630" i="1"/>
  <c r="AH1630" i="1"/>
  <c r="AI1630" i="1"/>
  <c r="AJ1630" i="1"/>
  <c r="AK1630" i="1"/>
  <c r="C1631" i="1"/>
  <c r="H1631" i="1"/>
  <c r="I1631" i="1"/>
  <c r="J1631" i="1"/>
  <c r="K1631" i="1"/>
  <c r="M1631" i="1"/>
  <c r="P1631" i="1"/>
  <c r="R1631" i="1"/>
  <c r="S1631" i="1"/>
  <c r="T1631" i="1"/>
  <c r="U1631" i="1"/>
  <c r="X1631" i="1"/>
  <c r="Y1631" i="1"/>
  <c r="Z1631" i="1"/>
  <c r="AA1631" i="1"/>
  <c r="AB1631" i="1"/>
  <c r="AC1631" i="1"/>
  <c r="AD1631" i="1"/>
  <c r="AE1631" i="1"/>
  <c r="AF1631" i="1"/>
  <c r="AG1631" i="1"/>
  <c r="AH1631" i="1"/>
  <c r="AI1631" i="1"/>
  <c r="AJ1631" i="1"/>
  <c r="AK1631" i="1"/>
  <c r="C1612" i="1"/>
  <c r="H1612" i="1"/>
  <c r="I1612" i="1"/>
  <c r="J1612" i="1"/>
  <c r="K1612" i="1"/>
  <c r="M1612" i="1"/>
  <c r="P1612" i="1"/>
  <c r="R1612" i="1"/>
  <c r="S1612" i="1"/>
  <c r="T1612" i="1"/>
  <c r="U1612" i="1"/>
  <c r="X1612" i="1"/>
  <c r="Y1612" i="1"/>
  <c r="Z1612" i="1"/>
  <c r="AA1612" i="1"/>
  <c r="AB1612" i="1"/>
  <c r="AC1612" i="1"/>
  <c r="AD1612" i="1"/>
  <c r="AE1612" i="1"/>
  <c r="AF1612" i="1"/>
  <c r="AG1612" i="1"/>
  <c r="AH1612" i="1"/>
  <c r="AI1612" i="1"/>
  <c r="AJ1612" i="1"/>
  <c r="AK1612" i="1"/>
  <c r="C1613" i="1"/>
  <c r="H1613" i="1"/>
  <c r="I1613" i="1"/>
  <c r="J1613" i="1"/>
  <c r="K1613" i="1"/>
  <c r="M1613" i="1"/>
  <c r="P1613" i="1"/>
  <c r="R1613" i="1"/>
  <c r="S1613" i="1"/>
  <c r="T1613" i="1"/>
  <c r="U1613" i="1"/>
  <c r="X1613" i="1"/>
  <c r="Y1613" i="1"/>
  <c r="Z1613" i="1"/>
  <c r="AA1613" i="1"/>
  <c r="AB1613" i="1"/>
  <c r="AC1613" i="1"/>
  <c r="AD1613" i="1"/>
  <c r="AE1613" i="1"/>
  <c r="AF1613" i="1"/>
  <c r="AG1613" i="1"/>
  <c r="AH1613" i="1"/>
  <c r="AI1613" i="1"/>
  <c r="AJ1613" i="1"/>
  <c r="AK1613" i="1"/>
  <c r="C1614" i="1"/>
  <c r="H1614" i="1"/>
  <c r="I1614" i="1"/>
  <c r="J1614" i="1"/>
  <c r="K1614" i="1"/>
  <c r="M1614" i="1"/>
  <c r="P1614" i="1"/>
  <c r="R1614" i="1"/>
  <c r="S1614" i="1"/>
  <c r="T1614" i="1"/>
  <c r="U1614" i="1"/>
  <c r="X1614" i="1"/>
  <c r="Y1614" i="1"/>
  <c r="Z1614" i="1"/>
  <c r="AA1614" i="1"/>
  <c r="AB1614" i="1"/>
  <c r="AC1614" i="1"/>
  <c r="AD1614" i="1"/>
  <c r="AE1614" i="1"/>
  <c r="AF1614" i="1"/>
  <c r="AG1614" i="1"/>
  <c r="AH1614" i="1"/>
  <c r="AI1614" i="1"/>
  <c r="AJ1614" i="1"/>
  <c r="AK1614" i="1"/>
  <c r="C1615" i="1"/>
  <c r="H1615" i="1"/>
  <c r="I1615" i="1"/>
  <c r="J1615" i="1"/>
  <c r="K1615" i="1"/>
  <c r="M1615" i="1"/>
  <c r="P1615" i="1"/>
  <c r="R1615" i="1"/>
  <c r="S1615" i="1"/>
  <c r="T1615" i="1"/>
  <c r="U1615" i="1"/>
  <c r="X1615" i="1"/>
  <c r="Y1615" i="1"/>
  <c r="Z1615" i="1"/>
  <c r="AA1615" i="1"/>
  <c r="AB1615" i="1"/>
  <c r="AC1615" i="1"/>
  <c r="AD1615" i="1"/>
  <c r="AE1615" i="1"/>
  <c r="AF1615" i="1"/>
  <c r="AG1615" i="1"/>
  <c r="AH1615" i="1"/>
  <c r="AI1615" i="1"/>
  <c r="AJ1615" i="1"/>
  <c r="AK1615" i="1"/>
  <c r="C1616" i="1"/>
  <c r="H1616" i="1"/>
  <c r="I1616" i="1"/>
  <c r="J1616" i="1"/>
  <c r="K1616" i="1"/>
  <c r="M1616" i="1"/>
  <c r="P1616" i="1"/>
  <c r="R1616" i="1"/>
  <c r="S1616" i="1"/>
  <c r="T1616" i="1"/>
  <c r="U1616" i="1"/>
  <c r="X1616" i="1"/>
  <c r="Y1616" i="1"/>
  <c r="Z1616" i="1"/>
  <c r="AA1616" i="1"/>
  <c r="AB1616" i="1"/>
  <c r="AC1616" i="1"/>
  <c r="AD1616" i="1"/>
  <c r="AE1616" i="1"/>
  <c r="AF1616" i="1"/>
  <c r="AG1616" i="1"/>
  <c r="AH1616" i="1"/>
  <c r="AI1616" i="1"/>
  <c r="AJ1616" i="1"/>
  <c r="AK1616" i="1"/>
  <c r="C1617" i="1"/>
  <c r="H1617" i="1"/>
  <c r="I1617" i="1"/>
  <c r="J1617" i="1"/>
  <c r="K1617" i="1"/>
  <c r="M1617" i="1"/>
  <c r="P1617" i="1"/>
  <c r="R1617" i="1"/>
  <c r="S1617" i="1"/>
  <c r="T1617" i="1"/>
  <c r="U1617" i="1"/>
  <c r="X1617" i="1"/>
  <c r="Y1617" i="1"/>
  <c r="Z1617" i="1"/>
  <c r="AA1617" i="1"/>
  <c r="AB1617" i="1"/>
  <c r="AC1617" i="1"/>
  <c r="AD1617" i="1"/>
  <c r="AE1617" i="1"/>
  <c r="AF1617" i="1"/>
  <c r="AG1617" i="1"/>
  <c r="AH1617" i="1"/>
  <c r="AI1617" i="1"/>
  <c r="AJ1617" i="1"/>
  <c r="AK1617" i="1"/>
  <c r="C1618" i="1"/>
  <c r="H1618" i="1"/>
  <c r="I1618" i="1"/>
  <c r="J1618" i="1"/>
  <c r="K1618" i="1"/>
  <c r="M1618" i="1"/>
  <c r="P1618" i="1"/>
  <c r="R1618" i="1"/>
  <c r="S1618" i="1"/>
  <c r="T1618" i="1"/>
  <c r="U1618" i="1"/>
  <c r="X1618" i="1"/>
  <c r="Y1618" i="1"/>
  <c r="Z1618" i="1"/>
  <c r="AA1618" i="1"/>
  <c r="AB1618" i="1"/>
  <c r="AC1618" i="1"/>
  <c r="AD1618" i="1"/>
  <c r="AE1618" i="1"/>
  <c r="AF1618" i="1"/>
  <c r="AG1618" i="1"/>
  <c r="AH1618" i="1"/>
  <c r="AI1618" i="1"/>
  <c r="AJ1618" i="1"/>
  <c r="AK1618" i="1"/>
  <c r="C1619" i="1"/>
  <c r="H1619" i="1"/>
  <c r="I1619" i="1"/>
  <c r="J1619" i="1"/>
  <c r="K1619" i="1"/>
  <c r="M1619" i="1"/>
  <c r="P1619" i="1"/>
  <c r="R1619" i="1"/>
  <c r="S1619" i="1"/>
  <c r="T1619" i="1"/>
  <c r="U1619" i="1"/>
  <c r="X1619" i="1"/>
  <c r="Y1619" i="1"/>
  <c r="Z1619" i="1"/>
  <c r="AA1619" i="1"/>
  <c r="AB1619" i="1"/>
  <c r="AC1619" i="1"/>
  <c r="AD1619" i="1"/>
  <c r="AE1619" i="1"/>
  <c r="AF1619" i="1"/>
  <c r="AG1619" i="1"/>
  <c r="AH1619" i="1"/>
  <c r="AI1619" i="1"/>
  <c r="AJ1619" i="1"/>
  <c r="AK1619" i="1"/>
  <c r="C1620" i="1"/>
  <c r="H1620" i="1"/>
  <c r="I1620" i="1"/>
  <c r="J1620" i="1"/>
  <c r="K1620" i="1"/>
  <c r="M1620" i="1"/>
  <c r="P1620" i="1"/>
  <c r="R1620" i="1"/>
  <c r="S1620" i="1"/>
  <c r="T1620" i="1"/>
  <c r="U1620" i="1"/>
  <c r="X1620" i="1"/>
  <c r="Y1620" i="1"/>
  <c r="Z1620" i="1"/>
  <c r="AA1620" i="1"/>
  <c r="AB1620" i="1"/>
  <c r="AC1620" i="1"/>
  <c r="AD1620" i="1"/>
  <c r="AE1620" i="1"/>
  <c r="AF1620" i="1"/>
  <c r="AG1620" i="1"/>
  <c r="AH1620" i="1"/>
  <c r="AI1620" i="1"/>
  <c r="AJ1620" i="1"/>
  <c r="AK1620" i="1"/>
  <c r="C1621" i="1"/>
  <c r="H1621" i="1"/>
  <c r="I1621" i="1"/>
  <c r="J1621" i="1"/>
  <c r="K1621" i="1"/>
  <c r="M1621" i="1"/>
  <c r="P1621" i="1"/>
  <c r="R1621" i="1"/>
  <c r="S1621" i="1"/>
  <c r="T1621" i="1"/>
  <c r="U1621" i="1"/>
  <c r="X1621" i="1"/>
  <c r="Y1621" i="1"/>
  <c r="Z1621" i="1"/>
  <c r="AA1621" i="1"/>
  <c r="AB1621" i="1"/>
  <c r="AC1621" i="1"/>
  <c r="AD1621" i="1"/>
  <c r="AE1621" i="1"/>
  <c r="AF1621" i="1"/>
  <c r="AG1621" i="1"/>
  <c r="AH1621" i="1"/>
  <c r="AI1621" i="1"/>
  <c r="AJ1621" i="1"/>
  <c r="AK1621" i="1"/>
  <c r="C1602" i="1"/>
  <c r="H1602" i="1"/>
  <c r="I1602" i="1"/>
  <c r="J1602" i="1"/>
  <c r="K1602" i="1"/>
  <c r="M1602" i="1"/>
  <c r="P1602" i="1"/>
  <c r="R1602" i="1"/>
  <c r="S1602" i="1"/>
  <c r="T1602" i="1"/>
  <c r="U1602" i="1"/>
  <c r="X1602" i="1"/>
  <c r="Y1602" i="1"/>
  <c r="Z1602" i="1"/>
  <c r="AA1602" i="1"/>
  <c r="AB1602" i="1"/>
  <c r="AC1602" i="1"/>
  <c r="AD1602" i="1"/>
  <c r="AE1602" i="1"/>
  <c r="AF1602" i="1"/>
  <c r="AG1602" i="1"/>
  <c r="AH1602" i="1"/>
  <c r="AI1602" i="1"/>
  <c r="AJ1602" i="1"/>
  <c r="AK1602" i="1"/>
  <c r="C1603" i="1"/>
  <c r="H1603" i="1"/>
  <c r="I1603" i="1"/>
  <c r="J1603" i="1"/>
  <c r="K1603" i="1"/>
  <c r="M1603" i="1"/>
  <c r="P1603" i="1"/>
  <c r="R1603" i="1"/>
  <c r="S1603" i="1"/>
  <c r="T1603" i="1"/>
  <c r="U1603" i="1"/>
  <c r="X1603" i="1"/>
  <c r="Y1603" i="1"/>
  <c r="Z1603" i="1"/>
  <c r="AA1603" i="1"/>
  <c r="AB1603" i="1"/>
  <c r="AC1603" i="1"/>
  <c r="AD1603" i="1"/>
  <c r="AE1603" i="1"/>
  <c r="AF1603" i="1"/>
  <c r="AG1603" i="1"/>
  <c r="AH1603" i="1"/>
  <c r="AI1603" i="1"/>
  <c r="AJ1603" i="1"/>
  <c r="AK1603" i="1"/>
  <c r="C1604" i="1"/>
  <c r="H1604" i="1"/>
  <c r="I1604" i="1"/>
  <c r="J1604" i="1"/>
  <c r="K1604" i="1"/>
  <c r="M1604" i="1"/>
  <c r="P1604" i="1"/>
  <c r="R1604" i="1"/>
  <c r="S1604" i="1"/>
  <c r="T1604" i="1"/>
  <c r="U1604" i="1"/>
  <c r="X1604" i="1"/>
  <c r="Y1604" i="1"/>
  <c r="Z1604" i="1"/>
  <c r="AA1604" i="1"/>
  <c r="AB1604" i="1"/>
  <c r="AC1604" i="1"/>
  <c r="AD1604" i="1"/>
  <c r="AE1604" i="1"/>
  <c r="AF1604" i="1"/>
  <c r="AG1604" i="1"/>
  <c r="AH1604" i="1"/>
  <c r="AI1604" i="1"/>
  <c r="AJ1604" i="1"/>
  <c r="AK1604" i="1"/>
  <c r="C1605" i="1"/>
  <c r="H1605" i="1"/>
  <c r="I1605" i="1"/>
  <c r="J1605" i="1"/>
  <c r="K1605" i="1"/>
  <c r="M1605" i="1"/>
  <c r="P1605" i="1"/>
  <c r="R1605" i="1"/>
  <c r="S1605" i="1"/>
  <c r="T1605" i="1"/>
  <c r="U1605" i="1"/>
  <c r="X1605" i="1"/>
  <c r="Y1605" i="1"/>
  <c r="Z1605" i="1"/>
  <c r="AA1605" i="1"/>
  <c r="AB1605" i="1"/>
  <c r="AC1605" i="1"/>
  <c r="AD1605" i="1"/>
  <c r="AE1605" i="1"/>
  <c r="AF1605" i="1"/>
  <c r="AG1605" i="1"/>
  <c r="AH1605" i="1"/>
  <c r="AI1605" i="1"/>
  <c r="AJ1605" i="1"/>
  <c r="AK1605" i="1"/>
  <c r="C1606" i="1"/>
  <c r="H1606" i="1"/>
  <c r="I1606" i="1"/>
  <c r="J1606" i="1"/>
  <c r="K1606" i="1"/>
  <c r="M1606" i="1"/>
  <c r="P1606" i="1"/>
  <c r="R1606" i="1"/>
  <c r="S1606" i="1"/>
  <c r="T1606" i="1"/>
  <c r="U1606" i="1"/>
  <c r="X1606" i="1"/>
  <c r="Y1606" i="1"/>
  <c r="Z1606" i="1"/>
  <c r="AA1606" i="1"/>
  <c r="AB1606" i="1"/>
  <c r="AC1606" i="1"/>
  <c r="AD1606" i="1"/>
  <c r="AE1606" i="1"/>
  <c r="AF1606" i="1"/>
  <c r="AG1606" i="1"/>
  <c r="AH1606" i="1"/>
  <c r="AI1606" i="1"/>
  <c r="AJ1606" i="1"/>
  <c r="AK1606" i="1"/>
  <c r="C1607" i="1"/>
  <c r="H1607" i="1"/>
  <c r="I1607" i="1"/>
  <c r="J1607" i="1"/>
  <c r="K1607" i="1"/>
  <c r="M1607" i="1"/>
  <c r="P1607" i="1"/>
  <c r="R1607" i="1"/>
  <c r="S1607" i="1"/>
  <c r="T1607" i="1"/>
  <c r="U1607" i="1"/>
  <c r="X1607" i="1"/>
  <c r="Y1607" i="1"/>
  <c r="Z1607" i="1"/>
  <c r="AA1607" i="1"/>
  <c r="AB1607" i="1"/>
  <c r="AC1607" i="1"/>
  <c r="AD1607" i="1"/>
  <c r="AE1607" i="1"/>
  <c r="AF1607" i="1"/>
  <c r="AG1607" i="1"/>
  <c r="AH1607" i="1"/>
  <c r="AI1607" i="1"/>
  <c r="AJ1607" i="1"/>
  <c r="AK1607" i="1"/>
  <c r="C1608" i="1"/>
  <c r="H1608" i="1"/>
  <c r="I1608" i="1"/>
  <c r="J1608" i="1"/>
  <c r="K1608" i="1"/>
  <c r="M1608" i="1"/>
  <c r="P1608" i="1"/>
  <c r="R1608" i="1"/>
  <c r="S1608" i="1"/>
  <c r="T1608" i="1"/>
  <c r="U1608" i="1"/>
  <c r="X1608" i="1"/>
  <c r="Y1608" i="1"/>
  <c r="Z1608" i="1"/>
  <c r="AA1608" i="1"/>
  <c r="AB1608" i="1"/>
  <c r="AC1608" i="1"/>
  <c r="AD1608" i="1"/>
  <c r="AE1608" i="1"/>
  <c r="AF1608" i="1"/>
  <c r="AG1608" i="1"/>
  <c r="AH1608" i="1"/>
  <c r="AI1608" i="1"/>
  <c r="AJ1608" i="1"/>
  <c r="AK1608" i="1"/>
  <c r="C1609" i="1"/>
  <c r="H1609" i="1"/>
  <c r="I1609" i="1"/>
  <c r="J1609" i="1"/>
  <c r="K1609" i="1"/>
  <c r="M1609" i="1"/>
  <c r="P1609" i="1"/>
  <c r="R1609" i="1"/>
  <c r="S1609" i="1"/>
  <c r="T1609" i="1"/>
  <c r="U1609" i="1"/>
  <c r="X1609" i="1"/>
  <c r="Y1609" i="1"/>
  <c r="Z1609" i="1"/>
  <c r="AA1609" i="1"/>
  <c r="AB1609" i="1"/>
  <c r="AC1609" i="1"/>
  <c r="AD1609" i="1"/>
  <c r="AE1609" i="1"/>
  <c r="AF1609" i="1"/>
  <c r="AG1609" i="1"/>
  <c r="AH1609" i="1"/>
  <c r="AI1609" i="1"/>
  <c r="AJ1609" i="1"/>
  <c r="AK1609" i="1"/>
  <c r="C1610" i="1"/>
  <c r="H1610" i="1"/>
  <c r="I1610" i="1"/>
  <c r="J1610" i="1"/>
  <c r="K1610" i="1"/>
  <c r="M1610" i="1"/>
  <c r="P1610" i="1"/>
  <c r="R1610" i="1"/>
  <c r="S1610" i="1"/>
  <c r="T1610" i="1"/>
  <c r="U1610" i="1"/>
  <c r="X1610" i="1"/>
  <c r="Y1610" i="1"/>
  <c r="Z1610" i="1"/>
  <c r="AA1610" i="1"/>
  <c r="AB1610" i="1"/>
  <c r="AC1610" i="1"/>
  <c r="AD1610" i="1"/>
  <c r="AE1610" i="1"/>
  <c r="AF1610" i="1"/>
  <c r="AG1610" i="1"/>
  <c r="AH1610" i="1"/>
  <c r="AI1610" i="1"/>
  <c r="AJ1610" i="1"/>
  <c r="AK1610" i="1"/>
  <c r="C1611" i="1"/>
  <c r="H1611" i="1"/>
  <c r="I1611" i="1"/>
  <c r="J1611" i="1"/>
  <c r="K1611" i="1"/>
  <c r="M1611" i="1"/>
  <c r="P1611" i="1"/>
  <c r="R1611" i="1"/>
  <c r="S1611" i="1"/>
  <c r="T1611" i="1"/>
  <c r="U1611" i="1"/>
  <c r="X1611" i="1"/>
  <c r="Y1611" i="1"/>
  <c r="Z1611" i="1"/>
  <c r="AA1611" i="1"/>
  <c r="AB1611" i="1"/>
  <c r="AC1611" i="1"/>
  <c r="AD1611" i="1"/>
  <c r="AE1611" i="1"/>
  <c r="AF1611" i="1"/>
  <c r="AG1611" i="1"/>
  <c r="AH1611" i="1"/>
  <c r="AI1611" i="1"/>
  <c r="AJ1611" i="1"/>
  <c r="AK1611" i="1"/>
  <c r="C1592" i="1"/>
  <c r="H1592" i="1"/>
  <c r="I1592" i="1"/>
  <c r="J1592" i="1"/>
  <c r="K1592" i="1"/>
  <c r="M1592" i="1"/>
  <c r="P1592" i="1"/>
  <c r="R1592" i="1"/>
  <c r="S1592" i="1"/>
  <c r="T1592" i="1"/>
  <c r="U1592" i="1"/>
  <c r="X1592" i="1"/>
  <c r="Y1592" i="1"/>
  <c r="Z1592" i="1"/>
  <c r="AA1592" i="1"/>
  <c r="AB1592" i="1"/>
  <c r="AC1592" i="1"/>
  <c r="AD1592" i="1"/>
  <c r="AE1592" i="1"/>
  <c r="AF1592" i="1"/>
  <c r="AG1592" i="1"/>
  <c r="AH1592" i="1"/>
  <c r="AI1592" i="1"/>
  <c r="AJ1592" i="1"/>
  <c r="AK1592" i="1"/>
  <c r="C1593" i="1"/>
  <c r="H1593" i="1"/>
  <c r="I1593" i="1"/>
  <c r="J1593" i="1"/>
  <c r="K1593" i="1"/>
  <c r="M1593" i="1"/>
  <c r="P1593" i="1"/>
  <c r="R1593" i="1"/>
  <c r="S1593" i="1"/>
  <c r="T1593" i="1"/>
  <c r="U1593" i="1"/>
  <c r="X1593" i="1"/>
  <c r="Y1593" i="1"/>
  <c r="Z1593" i="1"/>
  <c r="AA1593" i="1"/>
  <c r="AB1593" i="1"/>
  <c r="AC1593" i="1"/>
  <c r="AD1593" i="1"/>
  <c r="AE1593" i="1"/>
  <c r="AF1593" i="1"/>
  <c r="AG1593" i="1"/>
  <c r="AH1593" i="1"/>
  <c r="AI1593" i="1"/>
  <c r="AJ1593" i="1"/>
  <c r="AK1593" i="1"/>
  <c r="C1594" i="1"/>
  <c r="H1594" i="1"/>
  <c r="I1594" i="1"/>
  <c r="J1594" i="1"/>
  <c r="K1594" i="1"/>
  <c r="M1594" i="1"/>
  <c r="P1594" i="1"/>
  <c r="R1594" i="1"/>
  <c r="S1594" i="1"/>
  <c r="T1594" i="1"/>
  <c r="U1594" i="1"/>
  <c r="X1594" i="1"/>
  <c r="Y1594" i="1"/>
  <c r="Z1594" i="1"/>
  <c r="AA1594" i="1"/>
  <c r="AB1594" i="1"/>
  <c r="AC1594" i="1"/>
  <c r="AD1594" i="1"/>
  <c r="AE1594" i="1"/>
  <c r="AF1594" i="1"/>
  <c r="AG1594" i="1"/>
  <c r="AH1594" i="1"/>
  <c r="AI1594" i="1"/>
  <c r="AJ1594" i="1"/>
  <c r="AK1594" i="1"/>
  <c r="C1595" i="1"/>
  <c r="H1595" i="1"/>
  <c r="I1595" i="1"/>
  <c r="J1595" i="1"/>
  <c r="K1595" i="1"/>
  <c r="M1595" i="1"/>
  <c r="P1595" i="1"/>
  <c r="R1595" i="1"/>
  <c r="S1595" i="1"/>
  <c r="T1595" i="1"/>
  <c r="U1595" i="1"/>
  <c r="X1595" i="1"/>
  <c r="Y1595" i="1"/>
  <c r="Z1595" i="1"/>
  <c r="AA1595" i="1"/>
  <c r="AB1595" i="1"/>
  <c r="AC1595" i="1"/>
  <c r="AD1595" i="1"/>
  <c r="AE1595" i="1"/>
  <c r="AF1595" i="1"/>
  <c r="AG1595" i="1"/>
  <c r="AH1595" i="1"/>
  <c r="AI1595" i="1"/>
  <c r="AJ1595" i="1"/>
  <c r="AK1595" i="1"/>
  <c r="C1596" i="1"/>
  <c r="H1596" i="1"/>
  <c r="I1596" i="1"/>
  <c r="J1596" i="1"/>
  <c r="K1596" i="1"/>
  <c r="M1596" i="1"/>
  <c r="P1596" i="1"/>
  <c r="R1596" i="1"/>
  <c r="S1596" i="1"/>
  <c r="T1596" i="1"/>
  <c r="U1596" i="1"/>
  <c r="X1596" i="1"/>
  <c r="Y1596" i="1"/>
  <c r="Z1596" i="1"/>
  <c r="AA1596" i="1"/>
  <c r="AB1596" i="1"/>
  <c r="AC1596" i="1"/>
  <c r="AD1596" i="1"/>
  <c r="AE1596" i="1"/>
  <c r="AF1596" i="1"/>
  <c r="AG1596" i="1"/>
  <c r="AH1596" i="1"/>
  <c r="AI1596" i="1"/>
  <c r="AJ1596" i="1"/>
  <c r="AK1596" i="1"/>
  <c r="C1597" i="1"/>
  <c r="H1597" i="1"/>
  <c r="I1597" i="1"/>
  <c r="J1597" i="1"/>
  <c r="K1597" i="1"/>
  <c r="M1597" i="1"/>
  <c r="P1597" i="1"/>
  <c r="R1597" i="1"/>
  <c r="S1597" i="1"/>
  <c r="T1597" i="1"/>
  <c r="U1597" i="1"/>
  <c r="X1597" i="1"/>
  <c r="Y1597" i="1"/>
  <c r="Z1597" i="1"/>
  <c r="AA1597" i="1"/>
  <c r="AB1597" i="1"/>
  <c r="AC1597" i="1"/>
  <c r="AD1597" i="1"/>
  <c r="AE1597" i="1"/>
  <c r="AF1597" i="1"/>
  <c r="AG1597" i="1"/>
  <c r="AH1597" i="1"/>
  <c r="AI1597" i="1"/>
  <c r="AJ1597" i="1"/>
  <c r="AK1597" i="1"/>
  <c r="C1598" i="1"/>
  <c r="H1598" i="1"/>
  <c r="I1598" i="1"/>
  <c r="J1598" i="1"/>
  <c r="K1598" i="1"/>
  <c r="M1598" i="1"/>
  <c r="P1598" i="1"/>
  <c r="R1598" i="1"/>
  <c r="S1598" i="1"/>
  <c r="T1598" i="1"/>
  <c r="U1598" i="1"/>
  <c r="X1598" i="1"/>
  <c r="Y1598" i="1"/>
  <c r="Z1598" i="1"/>
  <c r="AA1598" i="1"/>
  <c r="AB1598" i="1"/>
  <c r="AC1598" i="1"/>
  <c r="AD1598" i="1"/>
  <c r="AE1598" i="1"/>
  <c r="AF1598" i="1"/>
  <c r="AG1598" i="1"/>
  <c r="AH1598" i="1"/>
  <c r="AI1598" i="1"/>
  <c r="AJ1598" i="1"/>
  <c r="AK1598" i="1"/>
  <c r="C1599" i="1"/>
  <c r="H1599" i="1"/>
  <c r="I1599" i="1"/>
  <c r="J1599" i="1"/>
  <c r="K1599" i="1"/>
  <c r="M1599" i="1"/>
  <c r="P1599" i="1"/>
  <c r="R1599" i="1"/>
  <c r="S1599" i="1"/>
  <c r="T1599" i="1"/>
  <c r="U1599" i="1"/>
  <c r="X1599" i="1"/>
  <c r="Y1599" i="1"/>
  <c r="Z1599" i="1"/>
  <c r="AA1599" i="1"/>
  <c r="AB1599" i="1"/>
  <c r="AC1599" i="1"/>
  <c r="AD1599" i="1"/>
  <c r="AE1599" i="1"/>
  <c r="AF1599" i="1"/>
  <c r="AG1599" i="1"/>
  <c r="AH1599" i="1"/>
  <c r="AI1599" i="1"/>
  <c r="AJ1599" i="1"/>
  <c r="AK1599" i="1"/>
  <c r="C1600" i="1"/>
  <c r="H1600" i="1"/>
  <c r="I1600" i="1"/>
  <c r="J1600" i="1"/>
  <c r="K1600" i="1"/>
  <c r="M1600" i="1"/>
  <c r="P1600" i="1"/>
  <c r="R1600" i="1"/>
  <c r="S1600" i="1"/>
  <c r="T1600" i="1"/>
  <c r="U1600" i="1"/>
  <c r="X1600" i="1"/>
  <c r="Y1600" i="1"/>
  <c r="Z1600" i="1"/>
  <c r="AA1600" i="1"/>
  <c r="AB1600" i="1"/>
  <c r="AC1600" i="1"/>
  <c r="AD1600" i="1"/>
  <c r="AE1600" i="1"/>
  <c r="AF1600" i="1"/>
  <c r="AG1600" i="1"/>
  <c r="AH1600" i="1"/>
  <c r="AI1600" i="1"/>
  <c r="AJ1600" i="1"/>
  <c r="AK1600" i="1"/>
  <c r="C1601" i="1"/>
  <c r="H1601" i="1"/>
  <c r="I1601" i="1"/>
  <c r="J1601" i="1"/>
  <c r="K1601" i="1"/>
  <c r="M1601" i="1"/>
  <c r="P1601" i="1"/>
  <c r="R1601" i="1"/>
  <c r="S1601" i="1"/>
  <c r="T1601" i="1"/>
  <c r="U1601" i="1"/>
  <c r="X1601" i="1"/>
  <c r="Y1601" i="1"/>
  <c r="Z1601" i="1"/>
  <c r="AA1601" i="1"/>
  <c r="AB1601" i="1"/>
  <c r="AC1601" i="1"/>
  <c r="AD1601" i="1"/>
  <c r="AE1601" i="1"/>
  <c r="AF1601" i="1"/>
  <c r="AG1601" i="1"/>
  <c r="AH1601" i="1"/>
  <c r="AI1601" i="1"/>
  <c r="AJ1601" i="1"/>
  <c r="AK1601" i="1"/>
  <c r="C1582" i="1"/>
  <c r="H1582" i="1"/>
  <c r="I1582" i="1"/>
  <c r="J1582" i="1"/>
  <c r="K1582" i="1"/>
  <c r="M1582" i="1"/>
  <c r="P1582" i="1"/>
  <c r="R1582" i="1"/>
  <c r="S1582" i="1"/>
  <c r="T1582" i="1"/>
  <c r="U1582" i="1"/>
  <c r="X1582" i="1"/>
  <c r="Y1582" i="1"/>
  <c r="Z1582" i="1"/>
  <c r="AA1582" i="1"/>
  <c r="AB1582" i="1"/>
  <c r="AC1582" i="1"/>
  <c r="AD1582" i="1"/>
  <c r="AE1582" i="1"/>
  <c r="AF1582" i="1"/>
  <c r="AG1582" i="1"/>
  <c r="AH1582" i="1"/>
  <c r="AI1582" i="1"/>
  <c r="AJ1582" i="1"/>
  <c r="AK1582" i="1"/>
  <c r="C1583" i="1"/>
  <c r="H1583" i="1"/>
  <c r="I1583" i="1"/>
  <c r="J1583" i="1"/>
  <c r="K1583" i="1"/>
  <c r="M1583" i="1"/>
  <c r="P1583" i="1"/>
  <c r="R1583" i="1"/>
  <c r="S1583" i="1"/>
  <c r="T1583" i="1"/>
  <c r="U1583" i="1"/>
  <c r="X1583" i="1"/>
  <c r="Y1583" i="1"/>
  <c r="Z1583" i="1"/>
  <c r="AA1583" i="1"/>
  <c r="AB1583" i="1"/>
  <c r="AC1583" i="1"/>
  <c r="AD1583" i="1"/>
  <c r="AE1583" i="1"/>
  <c r="AF1583" i="1"/>
  <c r="AG1583" i="1"/>
  <c r="AH1583" i="1"/>
  <c r="AI1583" i="1"/>
  <c r="AJ1583" i="1"/>
  <c r="AK1583" i="1"/>
  <c r="C1584" i="1"/>
  <c r="H1584" i="1"/>
  <c r="I1584" i="1"/>
  <c r="J1584" i="1"/>
  <c r="K1584" i="1"/>
  <c r="M1584" i="1"/>
  <c r="P1584" i="1"/>
  <c r="R1584" i="1"/>
  <c r="S1584" i="1"/>
  <c r="T1584" i="1"/>
  <c r="U1584" i="1"/>
  <c r="X1584" i="1"/>
  <c r="Y1584" i="1"/>
  <c r="Z1584" i="1"/>
  <c r="AA1584" i="1"/>
  <c r="AB1584" i="1"/>
  <c r="AC1584" i="1"/>
  <c r="AD1584" i="1"/>
  <c r="AE1584" i="1"/>
  <c r="AF1584" i="1"/>
  <c r="AG1584" i="1"/>
  <c r="AH1584" i="1"/>
  <c r="AI1584" i="1"/>
  <c r="AJ1584" i="1"/>
  <c r="AK1584" i="1"/>
  <c r="C1585" i="1"/>
  <c r="H1585" i="1"/>
  <c r="I1585" i="1"/>
  <c r="J1585" i="1"/>
  <c r="K1585" i="1"/>
  <c r="M1585" i="1"/>
  <c r="P1585" i="1"/>
  <c r="R1585" i="1"/>
  <c r="S1585" i="1"/>
  <c r="T1585" i="1"/>
  <c r="U1585" i="1"/>
  <c r="X1585" i="1"/>
  <c r="Y1585" i="1"/>
  <c r="Z1585" i="1"/>
  <c r="AA1585" i="1"/>
  <c r="AB1585" i="1"/>
  <c r="AC1585" i="1"/>
  <c r="AD1585" i="1"/>
  <c r="AE1585" i="1"/>
  <c r="AF1585" i="1"/>
  <c r="AG1585" i="1"/>
  <c r="AH1585" i="1"/>
  <c r="AI1585" i="1"/>
  <c r="AJ1585" i="1"/>
  <c r="AK1585" i="1"/>
  <c r="C1586" i="1"/>
  <c r="H1586" i="1"/>
  <c r="I1586" i="1"/>
  <c r="J1586" i="1"/>
  <c r="K1586" i="1"/>
  <c r="M1586" i="1"/>
  <c r="P1586" i="1"/>
  <c r="R1586" i="1"/>
  <c r="S1586" i="1"/>
  <c r="T1586" i="1"/>
  <c r="U1586" i="1"/>
  <c r="X1586" i="1"/>
  <c r="Y1586" i="1"/>
  <c r="Z1586" i="1"/>
  <c r="AA1586" i="1"/>
  <c r="AB1586" i="1"/>
  <c r="AC1586" i="1"/>
  <c r="AD1586" i="1"/>
  <c r="AE1586" i="1"/>
  <c r="AF1586" i="1"/>
  <c r="AG1586" i="1"/>
  <c r="AH1586" i="1"/>
  <c r="AI1586" i="1"/>
  <c r="AJ1586" i="1"/>
  <c r="AK1586" i="1"/>
  <c r="C1587" i="1"/>
  <c r="H1587" i="1"/>
  <c r="I1587" i="1"/>
  <c r="J1587" i="1"/>
  <c r="K1587" i="1"/>
  <c r="M1587" i="1"/>
  <c r="P1587" i="1"/>
  <c r="R1587" i="1"/>
  <c r="S1587" i="1"/>
  <c r="T1587" i="1"/>
  <c r="U1587" i="1"/>
  <c r="X1587" i="1"/>
  <c r="Y1587" i="1"/>
  <c r="Z1587" i="1"/>
  <c r="AA1587" i="1"/>
  <c r="AB1587" i="1"/>
  <c r="AC1587" i="1"/>
  <c r="AD1587" i="1"/>
  <c r="AE1587" i="1"/>
  <c r="AF1587" i="1"/>
  <c r="AG1587" i="1"/>
  <c r="AH1587" i="1"/>
  <c r="AI1587" i="1"/>
  <c r="AJ1587" i="1"/>
  <c r="AK1587" i="1"/>
  <c r="C1588" i="1"/>
  <c r="H1588" i="1"/>
  <c r="I1588" i="1"/>
  <c r="J1588" i="1"/>
  <c r="K1588" i="1"/>
  <c r="M1588" i="1"/>
  <c r="P1588" i="1"/>
  <c r="R1588" i="1"/>
  <c r="S1588" i="1"/>
  <c r="T1588" i="1"/>
  <c r="U1588" i="1"/>
  <c r="X1588" i="1"/>
  <c r="Y1588" i="1"/>
  <c r="Z1588" i="1"/>
  <c r="AA1588" i="1"/>
  <c r="AB1588" i="1"/>
  <c r="AC1588" i="1"/>
  <c r="AD1588" i="1"/>
  <c r="AE1588" i="1"/>
  <c r="AF1588" i="1"/>
  <c r="AG1588" i="1"/>
  <c r="AH1588" i="1"/>
  <c r="AI1588" i="1"/>
  <c r="AJ1588" i="1"/>
  <c r="AK1588" i="1"/>
  <c r="C1589" i="1"/>
  <c r="H1589" i="1"/>
  <c r="I1589" i="1"/>
  <c r="J1589" i="1"/>
  <c r="K1589" i="1"/>
  <c r="M1589" i="1"/>
  <c r="P1589" i="1"/>
  <c r="R1589" i="1"/>
  <c r="S1589" i="1"/>
  <c r="T1589" i="1"/>
  <c r="U1589" i="1"/>
  <c r="X1589" i="1"/>
  <c r="Y1589" i="1"/>
  <c r="Z1589" i="1"/>
  <c r="AA1589" i="1"/>
  <c r="AB1589" i="1"/>
  <c r="AC1589" i="1"/>
  <c r="AD1589" i="1"/>
  <c r="AE1589" i="1"/>
  <c r="AF1589" i="1"/>
  <c r="AG1589" i="1"/>
  <c r="AH1589" i="1"/>
  <c r="AI1589" i="1"/>
  <c r="AJ1589" i="1"/>
  <c r="AK1589" i="1"/>
  <c r="C1590" i="1"/>
  <c r="H1590" i="1"/>
  <c r="I1590" i="1"/>
  <c r="J1590" i="1"/>
  <c r="K1590" i="1"/>
  <c r="M1590" i="1"/>
  <c r="P1590" i="1"/>
  <c r="R1590" i="1"/>
  <c r="S1590" i="1"/>
  <c r="T1590" i="1"/>
  <c r="U1590" i="1"/>
  <c r="X1590" i="1"/>
  <c r="Y1590" i="1"/>
  <c r="Z1590" i="1"/>
  <c r="AA1590" i="1"/>
  <c r="AB1590" i="1"/>
  <c r="AC1590" i="1"/>
  <c r="AD1590" i="1"/>
  <c r="AE1590" i="1"/>
  <c r="AF1590" i="1"/>
  <c r="AG1590" i="1"/>
  <c r="AH1590" i="1"/>
  <c r="AI1590" i="1"/>
  <c r="AJ1590" i="1"/>
  <c r="AK1590" i="1"/>
  <c r="C1591" i="1"/>
  <c r="H1591" i="1"/>
  <c r="I1591" i="1"/>
  <c r="J1591" i="1"/>
  <c r="K1591" i="1"/>
  <c r="M1591" i="1"/>
  <c r="P1591" i="1"/>
  <c r="R1591" i="1"/>
  <c r="S1591" i="1"/>
  <c r="T1591" i="1"/>
  <c r="U1591" i="1"/>
  <c r="X1591" i="1"/>
  <c r="Y1591" i="1"/>
  <c r="Z1591" i="1"/>
  <c r="AA1591" i="1"/>
  <c r="AB1591" i="1"/>
  <c r="AC1591" i="1"/>
  <c r="AD1591" i="1"/>
  <c r="AE1591" i="1"/>
  <c r="AF1591" i="1"/>
  <c r="AG1591" i="1"/>
  <c r="AH1591" i="1"/>
  <c r="AI1591" i="1"/>
  <c r="AJ1591" i="1"/>
  <c r="AK1591" i="1"/>
  <c r="C1572" i="1"/>
  <c r="H1572" i="1"/>
  <c r="I1572" i="1"/>
  <c r="J1572" i="1"/>
  <c r="K1572" i="1"/>
  <c r="M1572" i="1"/>
  <c r="P1572" i="1"/>
  <c r="R1572" i="1"/>
  <c r="S1572" i="1"/>
  <c r="T1572" i="1"/>
  <c r="U1572" i="1"/>
  <c r="X1572" i="1"/>
  <c r="Y1572" i="1"/>
  <c r="Z1572" i="1"/>
  <c r="AA1572" i="1"/>
  <c r="AB1572" i="1"/>
  <c r="AC1572" i="1"/>
  <c r="AD1572" i="1"/>
  <c r="AE1572" i="1"/>
  <c r="AF1572" i="1"/>
  <c r="AG1572" i="1"/>
  <c r="AH1572" i="1"/>
  <c r="AI1572" i="1"/>
  <c r="AJ1572" i="1"/>
  <c r="AK1572" i="1"/>
  <c r="C1573" i="1"/>
  <c r="H1573" i="1"/>
  <c r="I1573" i="1"/>
  <c r="J1573" i="1"/>
  <c r="K1573" i="1"/>
  <c r="M1573" i="1"/>
  <c r="P1573" i="1"/>
  <c r="R1573" i="1"/>
  <c r="S1573" i="1"/>
  <c r="T1573" i="1"/>
  <c r="U1573" i="1"/>
  <c r="X1573" i="1"/>
  <c r="Y1573" i="1"/>
  <c r="Z1573" i="1"/>
  <c r="AA1573" i="1"/>
  <c r="AB1573" i="1"/>
  <c r="AC1573" i="1"/>
  <c r="AD1573" i="1"/>
  <c r="AE1573" i="1"/>
  <c r="AF1573" i="1"/>
  <c r="AG1573" i="1"/>
  <c r="AH1573" i="1"/>
  <c r="AI1573" i="1"/>
  <c r="AJ1573" i="1"/>
  <c r="AK1573" i="1"/>
  <c r="C1574" i="1"/>
  <c r="H1574" i="1"/>
  <c r="I1574" i="1"/>
  <c r="J1574" i="1"/>
  <c r="K1574" i="1"/>
  <c r="M1574" i="1"/>
  <c r="P1574" i="1"/>
  <c r="R1574" i="1"/>
  <c r="S1574" i="1"/>
  <c r="T1574" i="1"/>
  <c r="U1574" i="1"/>
  <c r="X1574" i="1"/>
  <c r="Y1574" i="1"/>
  <c r="Z1574" i="1"/>
  <c r="AA1574" i="1"/>
  <c r="AB1574" i="1"/>
  <c r="AC1574" i="1"/>
  <c r="AD1574" i="1"/>
  <c r="AE1574" i="1"/>
  <c r="AF1574" i="1"/>
  <c r="AG1574" i="1"/>
  <c r="AH1574" i="1"/>
  <c r="AI1574" i="1"/>
  <c r="AJ1574" i="1"/>
  <c r="AK1574" i="1"/>
  <c r="C1575" i="1"/>
  <c r="H1575" i="1"/>
  <c r="I1575" i="1"/>
  <c r="J1575" i="1"/>
  <c r="K1575" i="1"/>
  <c r="M1575" i="1"/>
  <c r="P1575" i="1"/>
  <c r="R1575" i="1"/>
  <c r="S1575" i="1"/>
  <c r="T1575" i="1"/>
  <c r="U1575" i="1"/>
  <c r="X1575" i="1"/>
  <c r="Y1575" i="1"/>
  <c r="Z1575" i="1"/>
  <c r="AA1575" i="1"/>
  <c r="AB1575" i="1"/>
  <c r="AC1575" i="1"/>
  <c r="AD1575" i="1"/>
  <c r="AE1575" i="1"/>
  <c r="AF1575" i="1"/>
  <c r="AG1575" i="1"/>
  <c r="AH1575" i="1"/>
  <c r="AI1575" i="1"/>
  <c r="AJ1575" i="1"/>
  <c r="AK1575" i="1"/>
  <c r="C1576" i="1"/>
  <c r="H1576" i="1"/>
  <c r="I1576" i="1"/>
  <c r="J1576" i="1"/>
  <c r="K1576" i="1"/>
  <c r="M1576" i="1"/>
  <c r="P1576" i="1"/>
  <c r="R1576" i="1"/>
  <c r="S1576" i="1"/>
  <c r="T1576" i="1"/>
  <c r="U1576" i="1"/>
  <c r="X1576" i="1"/>
  <c r="Y1576" i="1"/>
  <c r="Z1576" i="1"/>
  <c r="AA1576" i="1"/>
  <c r="AB1576" i="1"/>
  <c r="AC1576" i="1"/>
  <c r="AD1576" i="1"/>
  <c r="AE1576" i="1"/>
  <c r="AF1576" i="1"/>
  <c r="AG1576" i="1"/>
  <c r="AH1576" i="1"/>
  <c r="AI1576" i="1"/>
  <c r="AJ1576" i="1"/>
  <c r="AK1576" i="1"/>
  <c r="C1577" i="1"/>
  <c r="H1577" i="1"/>
  <c r="I1577" i="1"/>
  <c r="J1577" i="1"/>
  <c r="K1577" i="1"/>
  <c r="M1577" i="1"/>
  <c r="P1577" i="1"/>
  <c r="R1577" i="1"/>
  <c r="S1577" i="1"/>
  <c r="T1577" i="1"/>
  <c r="U1577" i="1"/>
  <c r="X1577" i="1"/>
  <c r="Y1577" i="1"/>
  <c r="Z1577" i="1"/>
  <c r="AA1577" i="1"/>
  <c r="AB1577" i="1"/>
  <c r="AC1577" i="1"/>
  <c r="AD1577" i="1"/>
  <c r="AE1577" i="1"/>
  <c r="AF1577" i="1"/>
  <c r="AG1577" i="1"/>
  <c r="AH1577" i="1"/>
  <c r="AI1577" i="1"/>
  <c r="AJ1577" i="1"/>
  <c r="AK1577" i="1"/>
  <c r="C1578" i="1"/>
  <c r="H1578" i="1"/>
  <c r="I1578" i="1"/>
  <c r="J1578" i="1"/>
  <c r="K1578" i="1"/>
  <c r="M1578" i="1"/>
  <c r="P1578" i="1"/>
  <c r="R1578" i="1"/>
  <c r="S1578" i="1"/>
  <c r="T1578" i="1"/>
  <c r="U1578" i="1"/>
  <c r="X1578" i="1"/>
  <c r="Y1578" i="1"/>
  <c r="Z1578" i="1"/>
  <c r="AA1578" i="1"/>
  <c r="AB1578" i="1"/>
  <c r="AC1578" i="1"/>
  <c r="AD1578" i="1"/>
  <c r="AE1578" i="1"/>
  <c r="AF1578" i="1"/>
  <c r="AG1578" i="1"/>
  <c r="AH1578" i="1"/>
  <c r="AI1578" i="1"/>
  <c r="AJ1578" i="1"/>
  <c r="AK1578" i="1"/>
  <c r="C1579" i="1"/>
  <c r="H1579" i="1"/>
  <c r="I1579" i="1"/>
  <c r="J1579" i="1"/>
  <c r="K1579" i="1"/>
  <c r="M1579" i="1"/>
  <c r="P1579" i="1"/>
  <c r="R1579" i="1"/>
  <c r="S1579" i="1"/>
  <c r="T1579" i="1"/>
  <c r="U1579" i="1"/>
  <c r="X1579" i="1"/>
  <c r="Y1579" i="1"/>
  <c r="Z1579" i="1"/>
  <c r="AA1579" i="1"/>
  <c r="AB1579" i="1"/>
  <c r="AC1579" i="1"/>
  <c r="AD1579" i="1"/>
  <c r="AE1579" i="1"/>
  <c r="AF1579" i="1"/>
  <c r="AG1579" i="1"/>
  <c r="AH1579" i="1"/>
  <c r="AI1579" i="1"/>
  <c r="AJ1579" i="1"/>
  <c r="AK1579" i="1"/>
  <c r="C1580" i="1"/>
  <c r="H1580" i="1"/>
  <c r="I1580" i="1"/>
  <c r="J1580" i="1"/>
  <c r="K1580" i="1"/>
  <c r="M1580" i="1"/>
  <c r="P1580" i="1"/>
  <c r="R1580" i="1"/>
  <c r="S1580" i="1"/>
  <c r="T1580" i="1"/>
  <c r="U1580" i="1"/>
  <c r="X1580" i="1"/>
  <c r="Y1580" i="1"/>
  <c r="Z1580" i="1"/>
  <c r="AA1580" i="1"/>
  <c r="AB1580" i="1"/>
  <c r="AC1580" i="1"/>
  <c r="AD1580" i="1"/>
  <c r="AE1580" i="1"/>
  <c r="AF1580" i="1"/>
  <c r="AG1580" i="1"/>
  <c r="AH1580" i="1"/>
  <c r="AI1580" i="1"/>
  <c r="AJ1580" i="1"/>
  <c r="AK1580" i="1"/>
  <c r="C1581" i="1"/>
  <c r="H1581" i="1"/>
  <c r="I1581" i="1"/>
  <c r="J1581" i="1"/>
  <c r="K1581" i="1"/>
  <c r="M1581" i="1"/>
  <c r="P1581" i="1"/>
  <c r="R1581" i="1"/>
  <c r="S1581" i="1"/>
  <c r="T1581" i="1"/>
  <c r="U1581" i="1"/>
  <c r="X1581" i="1"/>
  <c r="Y1581" i="1"/>
  <c r="Z1581" i="1"/>
  <c r="AA1581" i="1"/>
  <c r="AB1581" i="1"/>
  <c r="AC1581" i="1"/>
  <c r="AD1581" i="1"/>
  <c r="AE1581" i="1"/>
  <c r="AF1581" i="1"/>
  <c r="AG1581" i="1"/>
  <c r="AH1581" i="1"/>
  <c r="AI1581" i="1"/>
  <c r="AJ1581" i="1"/>
  <c r="AK1581" i="1"/>
  <c r="C1562" i="1"/>
  <c r="H1562" i="1"/>
  <c r="I1562" i="1"/>
  <c r="J1562" i="1"/>
  <c r="K1562" i="1"/>
  <c r="M1562" i="1"/>
  <c r="P1562" i="1"/>
  <c r="R1562" i="1"/>
  <c r="S1562" i="1"/>
  <c r="T1562" i="1"/>
  <c r="U1562" i="1"/>
  <c r="X1562" i="1"/>
  <c r="Y1562" i="1"/>
  <c r="Z1562" i="1"/>
  <c r="AA1562" i="1"/>
  <c r="AB1562" i="1"/>
  <c r="AC1562" i="1"/>
  <c r="AD1562" i="1"/>
  <c r="AE1562" i="1"/>
  <c r="AF1562" i="1"/>
  <c r="AG1562" i="1"/>
  <c r="AH1562" i="1"/>
  <c r="AI1562" i="1"/>
  <c r="AJ1562" i="1"/>
  <c r="AK1562" i="1"/>
  <c r="C1563" i="1"/>
  <c r="H1563" i="1"/>
  <c r="I1563" i="1"/>
  <c r="J1563" i="1"/>
  <c r="K1563" i="1"/>
  <c r="M1563" i="1"/>
  <c r="P1563" i="1"/>
  <c r="R1563" i="1"/>
  <c r="S1563" i="1"/>
  <c r="T1563" i="1"/>
  <c r="U1563" i="1"/>
  <c r="X1563" i="1"/>
  <c r="Y1563" i="1"/>
  <c r="Z1563" i="1"/>
  <c r="AA1563" i="1"/>
  <c r="AB1563" i="1"/>
  <c r="AC1563" i="1"/>
  <c r="AD1563" i="1"/>
  <c r="AE1563" i="1"/>
  <c r="AF1563" i="1"/>
  <c r="AG1563" i="1"/>
  <c r="AH1563" i="1"/>
  <c r="AI1563" i="1"/>
  <c r="AJ1563" i="1"/>
  <c r="AK1563" i="1"/>
  <c r="C1564" i="1"/>
  <c r="H1564" i="1"/>
  <c r="I1564" i="1"/>
  <c r="J1564" i="1"/>
  <c r="K1564" i="1"/>
  <c r="M1564" i="1"/>
  <c r="P1564" i="1"/>
  <c r="R1564" i="1"/>
  <c r="S1564" i="1"/>
  <c r="T1564" i="1"/>
  <c r="U1564" i="1"/>
  <c r="X1564" i="1"/>
  <c r="Y1564" i="1"/>
  <c r="Z1564" i="1"/>
  <c r="AA1564" i="1"/>
  <c r="AB1564" i="1"/>
  <c r="AC1564" i="1"/>
  <c r="AD1564" i="1"/>
  <c r="AE1564" i="1"/>
  <c r="AF1564" i="1"/>
  <c r="AG1564" i="1"/>
  <c r="AH1564" i="1"/>
  <c r="AI1564" i="1"/>
  <c r="AJ1564" i="1"/>
  <c r="AK1564" i="1"/>
  <c r="C1565" i="1"/>
  <c r="H1565" i="1"/>
  <c r="I1565" i="1"/>
  <c r="J1565" i="1"/>
  <c r="K1565" i="1"/>
  <c r="M1565" i="1"/>
  <c r="P1565" i="1"/>
  <c r="R1565" i="1"/>
  <c r="S1565" i="1"/>
  <c r="T1565" i="1"/>
  <c r="U1565" i="1"/>
  <c r="X1565" i="1"/>
  <c r="Y1565" i="1"/>
  <c r="Z1565" i="1"/>
  <c r="AA1565" i="1"/>
  <c r="AB1565" i="1"/>
  <c r="AC1565" i="1"/>
  <c r="AD1565" i="1"/>
  <c r="AE1565" i="1"/>
  <c r="AF1565" i="1"/>
  <c r="AG1565" i="1"/>
  <c r="AH1565" i="1"/>
  <c r="AI1565" i="1"/>
  <c r="AJ1565" i="1"/>
  <c r="AK1565" i="1"/>
  <c r="C1566" i="1"/>
  <c r="H1566" i="1"/>
  <c r="I1566" i="1"/>
  <c r="J1566" i="1"/>
  <c r="K1566" i="1"/>
  <c r="M1566" i="1"/>
  <c r="P1566" i="1"/>
  <c r="R1566" i="1"/>
  <c r="S1566" i="1"/>
  <c r="T1566" i="1"/>
  <c r="U1566" i="1"/>
  <c r="X1566" i="1"/>
  <c r="Y1566" i="1"/>
  <c r="Z1566" i="1"/>
  <c r="AA1566" i="1"/>
  <c r="AB1566" i="1"/>
  <c r="AC1566" i="1"/>
  <c r="AD1566" i="1"/>
  <c r="AE1566" i="1"/>
  <c r="AF1566" i="1"/>
  <c r="AG1566" i="1"/>
  <c r="AH1566" i="1"/>
  <c r="AI1566" i="1"/>
  <c r="AJ1566" i="1"/>
  <c r="AK1566" i="1"/>
  <c r="C1567" i="1"/>
  <c r="H1567" i="1"/>
  <c r="I1567" i="1"/>
  <c r="J1567" i="1"/>
  <c r="K1567" i="1"/>
  <c r="M1567" i="1"/>
  <c r="P1567" i="1"/>
  <c r="R1567" i="1"/>
  <c r="S1567" i="1"/>
  <c r="T1567" i="1"/>
  <c r="U1567" i="1"/>
  <c r="X1567" i="1"/>
  <c r="Y1567" i="1"/>
  <c r="Z1567" i="1"/>
  <c r="AA1567" i="1"/>
  <c r="AB1567" i="1"/>
  <c r="AC1567" i="1"/>
  <c r="AD1567" i="1"/>
  <c r="AE1567" i="1"/>
  <c r="AF1567" i="1"/>
  <c r="AG1567" i="1"/>
  <c r="AH1567" i="1"/>
  <c r="AI1567" i="1"/>
  <c r="AJ1567" i="1"/>
  <c r="AK1567" i="1"/>
  <c r="C1568" i="1"/>
  <c r="H1568" i="1"/>
  <c r="I1568" i="1"/>
  <c r="J1568" i="1"/>
  <c r="K1568" i="1"/>
  <c r="M1568" i="1"/>
  <c r="P1568" i="1"/>
  <c r="R1568" i="1"/>
  <c r="S1568" i="1"/>
  <c r="T1568" i="1"/>
  <c r="U1568" i="1"/>
  <c r="X1568" i="1"/>
  <c r="Y1568" i="1"/>
  <c r="Z1568" i="1"/>
  <c r="AA1568" i="1"/>
  <c r="AB1568" i="1"/>
  <c r="AC1568" i="1"/>
  <c r="AD1568" i="1"/>
  <c r="AE1568" i="1"/>
  <c r="AF1568" i="1"/>
  <c r="AG1568" i="1"/>
  <c r="AH1568" i="1"/>
  <c r="AI1568" i="1"/>
  <c r="AJ1568" i="1"/>
  <c r="AK1568" i="1"/>
  <c r="C1569" i="1"/>
  <c r="H1569" i="1"/>
  <c r="I1569" i="1"/>
  <c r="J1569" i="1"/>
  <c r="K1569" i="1"/>
  <c r="M1569" i="1"/>
  <c r="P1569" i="1"/>
  <c r="R1569" i="1"/>
  <c r="S1569" i="1"/>
  <c r="T1569" i="1"/>
  <c r="U1569" i="1"/>
  <c r="X1569" i="1"/>
  <c r="Y1569" i="1"/>
  <c r="Z1569" i="1"/>
  <c r="AA1569" i="1"/>
  <c r="AB1569" i="1"/>
  <c r="AC1569" i="1"/>
  <c r="AD1569" i="1"/>
  <c r="AE1569" i="1"/>
  <c r="AF1569" i="1"/>
  <c r="AG1569" i="1"/>
  <c r="AH1569" i="1"/>
  <c r="AI1569" i="1"/>
  <c r="AJ1569" i="1"/>
  <c r="AK1569" i="1"/>
  <c r="C1570" i="1"/>
  <c r="H1570" i="1"/>
  <c r="I1570" i="1"/>
  <c r="J1570" i="1"/>
  <c r="K1570" i="1"/>
  <c r="M1570" i="1"/>
  <c r="P1570" i="1"/>
  <c r="R1570" i="1"/>
  <c r="S1570" i="1"/>
  <c r="T1570" i="1"/>
  <c r="U1570" i="1"/>
  <c r="X1570" i="1"/>
  <c r="Y1570" i="1"/>
  <c r="Z1570" i="1"/>
  <c r="AA1570" i="1"/>
  <c r="AB1570" i="1"/>
  <c r="AC1570" i="1"/>
  <c r="AD1570" i="1"/>
  <c r="AE1570" i="1"/>
  <c r="AF1570" i="1"/>
  <c r="AG1570" i="1"/>
  <c r="AH1570" i="1"/>
  <c r="AI1570" i="1"/>
  <c r="AJ1570" i="1"/>
  <c r="AK1570" i="1"/>
  <c r="C1571" i="1"/>
  <c r="H1571" i="1"/>
  <c r="I1571" i="1"/>
  <c r="J1571" i="1"/>
  <c r="K1571" i="1"/>
  <c r="M1571" i="1"/>
  <c r="P1571" i="1"/>
  <c r="R1571" i="1"/>
  <c r="S1571" i="1"/>
  <c r="T1571" i="1"/>
  <c r="U1571" i="1"/>
  <c r="X1571" i="1"/>
  <c r="Y1571" i="1"/>
  <c r="Z1571" i="1"/>
  <c r="AA1571" i="1"/>
  <c r="AB1571" i="1"/>
  <c r="AC1571" i="1"/>
  <c r="AD1571" i="1"/>
  <c r="AE1571" i="1"/>
  <c r="AF1571" i="1"/>
  <c r="AG1571" i="1"/>
  <c r="AH1571" i="1"/>
  <c r="AI1571" i="1"/>
  <c r="AJ1571" i="1"/>
  <c r="AK1571" i="1"/>
  <c r="C1552" i="1"/>
  <c r="H1552" i="1"/>
  <c r="I1552" i="1"/>
  <c r="J1552" i="1"/>
  <c r="K1552" i="1"/>
  <c r="M1552" i="1"/>
  <c r="P1552" i="1"/>
  <c r="R1552" i="1"/>
  <c r="S1552" i="1"/>
  <c r="T1552" i="1"/>
  <c r="U1552" i="1"/>
  <c r="X1552" i="1"/>
  <c r="Y1552" i="1"/>
  <c r="Z1552" i="1"/>
  <c r="AA1552" i="1"/>
  <c r="AB1552" i="1"/>
  <c r="AC1552" i="1"/>
  <c r="AD1552" i="1"/>
  <c r="AE1552" i="1"/>
  <c r="AF1552" i="1"/>
  <c r="AG1552" i="1"/>
  <c r="AH1552" i="1"/>
  <c r="AI1552" i="1"/>
  <c r="AJ1552" i="1"/>
  <c r="AK1552" i="1"/>
  <c r="C1553" i="1"/>
  <c r="H1553" i="1"/>
  <c r="I1553" i="1"/>
  <c r="J1553" i="1"/>
  <c r="K1553" i="1"/>
  <c r="M1553" i="1"/>
  <c r="P1553" i="1"/>
  <c r="R1553" i="1"/>
  <c r="S1553" i="1"/>
  <c r="T1553" i="1"/>
  <c r="U1553" i="1"/>
  <c r="X1553" i="1"/>
  <c r="Y1553" i="1"/>
  <c r="Z1553" i="1"/>
  <c r="AA1553" i="1"/>
  <c r="AB1553" i="1"/>
  <c r="AC1553" i="1"/>
  <c r="AD1553" i="1"/>
  <c r="AE1553" i="1"/>
  <c r="AF1553" i="1"/>
  <c r="AG1553" i="1"/>
  <c r="AH1553" i="1"/>
  <c r="AI1553" i="1"/>
  <c r="AJ1553" i="1"/>
  <c r="AK1553" i="1"/>
  <c r="C1554" i="1"/>
  <c r="H1554" i="1"/>
  <c r="I1554" i="1"/>
  <c r="J1554" i="1"/>
  <c r="K1554" i="1"/>
  <c r="M1554" i="1"/>
  <c r="P1554" i="1"/>
  <c r="R1554" i="1"/>
  <c r="S1554" i="1"/>
  <c r="T1554" i="1"/>
  <c r="U1554" i="1"/>
  <c r="X1554" i="1"/>
  <c r="Y1554" i="1"/>
  <c r="Z1554" i="1"/>
  <c r="AA1554" i="1"/>
  <c r="AB1554" i="1"/>
  <c r="AC1554" i="1"/>
  <c r="AD1554" i="1"/>
  <c r="AE1554" i="1"/>
  <c r="AF1554" i="1"/>
  <c r="AG1554" i="1"/>
  <c r="AH1554" i="1"/>
  <c r="AI1554" i="1"/>
  <c r="AJ1554" i="1"/>
  <c r="AK1554" i="1"/>
  <c r="C1555" i="1"/>
  <c r="H1555" i="1"/>
  <c r="I1555" i="1"/>
  <c r="J1555" i="1"/>
  <c r="K1555" i="1"/>
  <c r="M1555" i="1"/>
  <c r="P1555" i="1"/>
  <c r="R1555" i="1"/>
  <c r="S1555" i="1"/>
  <c r="T1555" i="1"/>
  <c r="U1555" i="1"/>
  <c r="X1555" i="1"/>
  <c r="Y1555" i="1"/>
  <c r="Z1555" i="1"/>
  <c r="AA1555" i="1"/>
  <c r="AB1555" i="1"/>
  <c r="AC1555" i="1"/>
  <c r="AD1555" i="1"/>
  <c r="AE1555" i="1"/>
  <c r="AF1555" i="1"/>
  <c r="AG1555" i="1"/>
  <c r="AH1555" i="1"/>
  <c r="AI1555" i="1"/>
  <c r="AJ1555" i="1"/>
  <c r="AK1555" i="1"/>
  <c r="C1556" i="1"/>
  <c r="H1556" i="1"/>
  <c r="I1556" i="1"/>
  <c r="J1556" i="1"/>
  <c r="K1556" i="1"/>
  <c r="M1556" i="1"/>
  <c r="P1556" i="1"/>
  <c r="R1556" i="1"/>
  <c r="S1556" i="1"/>
  <c r="T1556" i="1"/>
  <c r="U1556" i="1"/>
  <c r="X1556" i="1"/>
  <c r="Y1556" i="1"/>
  <c r="Z1556" i="1"/>
  <c r="AA1556" i="1"/>
  <c r="AB1556" i="1"/>
  <c r="AC1556" i="1"/>
  <c r="AD1556" i="1"/>
  <c r="AE1556" i="1"/>
  <c r="AF1556" i="1"/>
  <c r="AG1556" i="1"/>
  <c r="AH1556" i="1"/>
  <c r="AI1556" i="1"/>
  <c r="AJ1556" i="1"/>
  <c r="AK1556" i="1"/>
  <c r="C1557" i="1"/>
  <c r="H1557" i="1"/>
  <c r="I1557" i="1"/>
  <c r="J1557" i="1"/>
  <c r="K1557" i="1"/>
  <c r="M1557" i="1"/>
  <c r="P1557" i="1"/>
  <c r="R1557" i="1"/>
  <c r="S1557" i="1"/>
  <c r="T1557" i="1"/>
  <c r="U1557" i="1"/>
  <c r="X1557" i="1"/>
  <c r="Y1557" i="1"/>
  <c r="Z1557" i="1"/>
  <c r="AA1557" i="1"/>
  <c r="AB1557" i="1"/>
  <c r="AC1557" i="1"/>
  <c r="AD1557" i="1"/>
  <c r="AE1557" i="1"/>
  <c r="AF1557" i="1"/>
  <c r="AG1557" i="1"/>
  <c r="AH1557" i="1"/>
  <c r="AI1557" i="1"/>
  <c r="AJ1557" i="1"/>
  <c r="AK1557" i="1"/>
  <c r="C1558" i="1"/>
  <c r="H1558" i="1"/>
  <c r="I1558" i="1"/>
  <c r="J1558" i="1"/>
  <c r="K1558" i="1"/>
  <c r="M1558" i="1"/>
  <c r="P1558" i="1"/>
  <c r="R1558" i="1"/>
  <c r="S1558" i="1"/>
  <c r="T1558" i="1"/>
  <c r="U1558" i="1"/>
  <c r="X1558" i="1"/>
  <c r="Y1558" i="1"/>
  <c r="Z1558" i="1"/>
  <c r="AA1558" i="1"/>
  <c r="AB1558" i="1"/>
  <c r="AC1558" i="1"/>
  <c r="AD1558" i="1"/>
  <c r="AE1558" i="1"/>
  <c r="AF1558" i="1"/>
  <c r="AG1558" i="1"/>
  <c r="AH1558" i="1"/>
  <c r="AI1558" i="1"/>
  <c r="AJ1558" i="1"/>
  <c r="AK1558" i="1"/>
  <c r="C1559" i="1"/>
  <c r="H1559" i="1"/>
  <c r="I1559" i="1"/>
  <c r="J1559" i="1"/>
  <c r="K1559" i="1"/>
  <c r="M1559" i="1"/>
  <c r="P1559" i="1"/>
  <c r="R1559" i="1"/>
  <c r="S1559" i="1"/>
  <c r="T1559" i="1"/>
  <c r="U1559" i="1"/>
  <c r="X1559" i="1"/>
  <c r="Y1559" i="1"/>
  <c r="Z1559" i="1"/>
  <c r="AA1559" i="1"/>
  <c r="AB1559" i="1"/>
  <c r="AC1559" i="1"/>
  <c r="AD1559" i="1"/>
  <c r="AE1559" i="1"/>
  <c r="AF1559" i="1"/>
  <c r="AG1559" i="1"/>
  <c r="AH1559" i="1"/>
  <c r="AI1559" i="1"/>
  <c r="AJ1559" i="1"/>
  <c r="AK1559" i="1"/>
  <c r="C1560" i="1"/>
  <c r="H1560" i="1"/>
  <c r="I1560" i="1"/>
  <c r="J1560" i="1"/>
  <c r="K1560" i="1"/>
  <c r="M1560" i="1"/>
  <c r="P1560" i="1"/>
  <c r="R1560" i="1"/>
  <c r="S1560" i="1"/>
  <c r="T1560" i="1"/>
  <c r="U1560" i="1"/>
  <c r="X1560" i="1"/>
  <c r="Y1560" i="1"/>
  <c r="Z1560" i="1"/>
  <c r="AA1560" i="1"/>
  <c r="AB1560" i="1"/>
  <c r="AC1560" i="1"/>
  <c r="AD1560" i="1"/>
  <c r="AE1560" i="1"/>
  <c r="AF1560" i="1"/>
  <c r="AG1560" i="1"/>
  <c r="AH1560" i="1"/>
  <c r="AI1560" i="1"/>
  <c r="AJ1560" i="1"/>
  <c r="AK1560" i="1"/>
  <c r="C1561" i="1"/>
  <c r="H1561" i="1"/>
  <c r="I1561" i="1"/>
  <c r="J1561" i="1"/>
  <c r="K1561" i="1"/>
  <c r="M1561" i="1"/>
  <c r="P1561" i="1"/>
  <c r="R1561" i="1"/>
  <c r="S1561" i="1"/>
  <c r="T1561" i="1"/>
  <c r="U1561" i="1"/>
  <c r="X1561" i="1"/>
  <c r="Y1561" i="1"/>
  <c r="Z1561" i="1"/>
  <c r="AA1561" i="1"/>
  <c r="AB1561" i="1"/>
  <c r="AC1561" i="1"/>
  <c r="AD1561" i="1"/>
  <c r="AE1561" i="1"/>
  <c r="AF1561" i="1"/>
  <c r="AG1561" i="1"/>
  <c r="AH1561" i="1"/>
  <c r="AI1561" i="1"/>
  <c r="AJ1561" i="1"/>
  <c r="AK1561" i="1"/>
  <c r="C1542" i="1"/>
  <c r="H1542" i="1"/>
  <c r="I1542" i="1"/>
  <c r="J1542" i="1"/>
  <c r="K1542" i="1"/>
  <c r="M1542" i="1"/>
  <c r="P1542" i="1"/>
  <c r="R1542" i="1"/>
  <c r="S1542" i="1"/>
  <c r="T1542" i="1"/>
  <c r="U1542" i="1"/>
  <c r="X1542" i="1"/>
  <c r="Y1542" i="1"/>
  <c r="Z1542" i="1"/>
  <c r="AA1542" i="1"/>
  <c r="AB1542" i="1"/>
  <c r="AC1542" i="1"/>
  <c r="AD1542" i="1"/>
  <c r="AE1542" i="1"/>
  <c r="AF1542" i="1"/>
  <c r="AG1542" i="1"/>
  <c r="AH1542" i="1"/>
  <c r="AI1542" i="1"/>
  <c r="AJ1542" i="1"/>
  <c r="AK1542" i="1"/>
  <c r="C1543" i="1"/>
  <c r="H1543" i="1"/>
  <c r="I1543" i="1"/>
  <c r="J1543" i="1"/>
  <c r="K1543" i="1"/>
  <c r="M1543" i="1"/>
  <c r="P1543" i="1"/>
  <c r="R1543" i="1"/>
  <c r="S1543" i="1"/>
  <c r="T1543" i="1"/>
  <c r="U1543" i="1"/>
  <c r="X1543" i="1"/>
  <c r="Y1543" i="1"/>
  <c r="Z1543" i="1"/>
  <c r="AA1543" i="1"/>
  <c r="AB1543" i="1"/>
  <c r="AC1543" i="1"/>
  <c r="AD1543" i="1"/>
  <c r="AE1543" i="1"/>
  <c r="AF1543" i="1"/>
  <c r="AG1543" i="1"/>
  <c r="AH1543" i="1"/>
  <c r="AI1543" i="1"/>
  <c r="AJ1543" i="1"/>
  <c r="AK1543" i="1"/>
  <c r="C1544" i="1"/>
  <c r="H1544" i="1"/>
  <c r="I1544" i="1"/>
  <c r="J1544" i="1"/>
  <c r="K1544" i="1"/>
  <c r="M1544" i="1"/>
  <c r="P1544" i="1"/>
  <c r="R1544" i="1"/>
  <c r="S1544" i="1"/>
  <c r="T1544" i="1"/>
  <c r="U1544" i="1"/>
  <c r="X1544" i="1"/>
  <c r="Y1544" i="1"/>
  <c r="Z1544" i="1"/>
  <c r="AA1544" i="1"/>
  <c r="AB1544" i="1"/>
  <c r="AC1544" i="1"/>
  <c r="AD1544" i="1"/>
  <c r="AE1544" i="1"/>
  <c r="AF1544" i="1"/>
  <c r="AG1544" i="1"/>
  <c r="AH1544" i="1"/>
  <c r="AI1544" i="1"/>
  <c r="AJ1544" i="1"/>
  <c r="AK1544" i="1"/>
  <c r="C1545" i="1"/>
  <c r="H1545" i="1"/>
  <c r="I1545" i="1"/>
  <c r="J1545" i="1"/>
  <c r="K1545" i="1"/>
  <c r="M1545" i="1"/>
  <c r="P1545" i="1"/>
  <c r="R1545" i="1"/>
  <c r="S1545" i="1"/>
  <c r="T1545" i="1"/>
  <c r="U1545" i="1"/>
  <c r="X1545" i="1"/>
  <c r="Y1545" i="1"/>
  <c r="Z1545" i="1"/>
  <c r="AA1545" i="1"/>
  <c r="AB1545" i="1"/>
  <c r="AC1545" i="1"/>
  <c r="AD1545" i="1"/>
  <c r="AE1545" i="1"/>
  <c r="AF1545" i="1"/>
  <c r="AG1545" i="1"/>
  <c r="AH1545" i="1"/>
  <c r="AI1545" i="1"/>
  <c r="AJ1545" i="1"/>
  <c r="AK1545" i="1"/>
  <c r="C1546" i="1"/>
  <c r="H1546" i="1"/>
  <c r="I1546" i="1"/>
  <c r="J1546" i="1"/>
  <c r="K1546" i="1"/>
  <c r="M1546" i="1"/>
  <c r="P1546" i="1"/>
  <c r="R1546" i="1"/>
  <c r="S1546" i="1"/>
  <c r="T1546" i="1"/>
  <c r="U1546" i="1"/>
  <c r="X1546" i="1"/>
  <c r="Y1546" i="1"/>
  <c r="Z1546" i="1"/>
  <c r="AA1546" i="1"/>
  <c r="AB1546" i="1"/>
  <c r="AC1546" i="1"/>
  <c r="AD1546" i="1"/>
  <c r="AE1546" i="1"/>
  <c r="AF1546" i="1"/>
  <c r="AG1546" i="1"/>
  <c r="AH1546" i="1"/>
  <c r="AI1546" i="1"/>
  <c r="AJ1546" i="1"/>
  <c r="AK1546" i="1"/>
  <c r="C1547" i="1"/>
  <c r="H1547" i="1"/>
  <c r="I1547" i="1"/>
  <c r="J1547" i="1"/>
  <c r="K1547" i="1"/>
  <c r="M1547" i="1"/>
  <c r="P1547" i="1"/>
  <c r="R1547" i="1"/>
  <c r="S1547" i="1"/>
  <c r="T1547" i="1"/>
  <c r="U1547" i="1"/>
  <c r="X1547" i="1"/>
  <c r="Y1547" i="1"/>
  <c r="Z1547" i="1"/>
  <c r="AA1547" i="1"/>
  <c r="AB1547" i="1"/>
  <c r="AC1547" i="1"/>
  <c r="AD1547" i="1"/>
  <c r="AE1547" i="1"/>
  <c r="AF1547" i="1"/>
  <c r="AG1547" i="1"/>
  <c r="AH1547" i="1"/>
  <c r="AI1547" i="1"/>
  <c r="AJ1547" i="1"/>
  <c r="AK1547" i="1"/>
  <c r="C1548" i="1"/>
  <c r="H1548" i="1"/>
  <c r="I1548" i="1"/>
  <c r="J1548" i="1"/>
  <c r="K1548" i="1"/>
  <c r="M1548" i="1"/>
  <c r="P1548" i="1"/>
  <c r="R1548" i="1"/>
  <c r="S1548" i="1"/>
  <c r="T1548" i="1"/>
  <c r="U1548" i="1"/>
  <c r="X1548" i="1"/>
  <c r="Y1548" i="1"/>
  <c r="Z1548" i="1"/>
  <c r="AA1548" i="1"/>
  <c r="AB1548" i="1"/>
  <c r="AC1548" i="1"/>
  <c r="AD1548" i="1"/>
  <c r="AE1548" i="1"/>
  <c r="AF1548" i="1"/>
  <c r="AG1548" i="1"/>
  <c r="AH1548" i="1"/>
  <c r="AI1548" i="1"/>
  <c r="AJ1548" i="1"/>
  <c r="AK1548" i="1"/>
  <c r="C1549" i="1"/>
  <c r="H1549" i="1"/>
  <c r="I1549" i="1"/>
  <c r="J1549" i="1"/>
  <c r="K1549" i="1"/>
  <c r="M1549" i="1"/>
  <c r="P1549" i="1"/>
  <c r="R1549" i="1"/>
  <c r="S1549" i="1"/>
  <c r="T1549" i="1"/>
  <c r="U1549" i="1"/>
  <c r="X1549" i="1"/>
  <c r="Y1549" i="1"/>
  <c r="Z1549" i="1"/>
  <c r="AA1549" i="1"/>
  <c r="AB1549" i="1"/>
  <c r="AC1549" i="1"/>
  <c r="AD1549" i="1"/>
  <c r="AE1549" i="1"/>
  <c r="AF1549" i="1"/>
  <c r="AG1549" i="1"/>
  <c r="AH1549" i="1"/>
  <c r="AI1549" i="1"/>
  <c r="AJ1549" i="1"/>
  <c r="AK1549" i="1"/>
  <c r="C1550" i="1"/>
  <c r="H1550" i="1"/>
  <c r="I1550" i="1"/>
  <c r="J1550" i="1"/>
  <c r="K1550" i="1"/>
  <c r="M1550" i="1"/>
  <c r="P1550" i="1"/>
  <c r="R1550" i="1"/>
  <c r="S1550" i="1"/>
  <c r="T1550" i="1"/>
  <c r="U1550" i="1"/>
  <c r="X1550" i="1"/>
  <c r="Y1550" i="1"/>
  <c r="Z1550" i="1"/>
  <c r="AA1550" i="1"/>
  <c r="AB1550" i="1"/>
  <c r="AC1550" i="1"/>
  <c r="AD1550" i="1"/>
  <c r="AE1550" i="1"/>
  <c r="AF1550" i="1"/>
  <c r="AG1550" i="1"/>
  <c r="AH1550" i="1"/>
  <c r="AI1550" i="1"/>
  <c r="AJ1550" i="1"/>
  <c r="AK1550" i="1"/>
  <c r="C1551" i="1"/>
  <c r="H1551" i="1"/>
  <c r="I1551" i="1"/>
  <c r="J1551" i="1"/>
  <c r="K1551" i="1"/>
  <c r="M1551" i="1"/>
  <c r="P1551" i="1"/>
  <c r="R1551" i="1"/>
  <c r="S1551" i="1"/>
  <c r="T1551" i="1"/>
  <c r="U1551" i="1"/>
  <c r="X1551" i="1"/>
  <c r="Y1551" i="1"/>
  <c r="Z1551" i="1"/>
  <c r="AA1551" i="1"/>
  <c r="AB1551" i="1"/>
  <c r="AC1551" i="1"/>
  <c r="AD1551" i="1"/>
  <c r="AE1551" i="1"/>
  <c r="AF1551" i="1"/>
  <c r="AG1551" i="1"/>
  <c r="AH1551" i="1"/>
  <c r="AI1551" i="1"/>
  <c r="AJ1551" i="1"/>
  <c r="AK1551" i="1"/>
  <c r="C1532" i="1"/>
  <c r="H1532" i="1"/>
  <c r="I1532" i="1"/>
  <c r="J1532" i="1"/>
  <c r="K1532" i="1"/>
  <c r="M1532" i="1"/>
  <c r="P1532" i="1"/>
  <c r="R1532" i="1"/>
  <c r="S1532" i="1"/>
  <c r="T1532" i="1"/>
  <c r="U1532" i="1"/>
  <c r="X1532" i="1"/>
  <c r="Y1532" i="1"/>
  <c r="Z1532" i="1"/>
  <c r="AA1532" i="1"/>
  <c r="AB1532" i="1"/>
  <c r="AC1532" i="1"/>
  <c r="AD1532" i="1"/>
  <c r="AE1532" i="1"/>
  <c r="AF1532" i="1"/>
  <c r="AG1532" i="1"/>
  <c r="AH1532" i="1"/>
  <c r="AI1532" i="1"/>
  <c r="AJ1532" i="1"/>
  <c r="AK1532" i="1"/>
  <c r="C1533" i="1"/>
  <c r="H1533" i="1"/>
  <c r="I1533" i="1"/>
  <c r="J1533" i="1"/>
  <c r="K1533" i="1"/>
  <c r="M1533" i="1"/>
  <c r="P1533" i="1"/>
  <c r="R1533" i="1"/>
  <c r="S1533" i="1"/>
  <c r="T1533" i="1"/>
  <c r="U1533" i="1"/>
  <c r="X1533" i="1"/>
  <c r="Y1533" i="1"/>
  <c r="Z1533" i="1"/>
  <c r="AA1533" i="1"/>
  <c r="AB1533" i="1"/>
  <c r="AC1533" i="1"/>
  <c r="AD1533" i="1"/>
  <c r="AE1533" i="1"/>
  <c r="AF1533" i="1"/>
  <c r="AG1533" i="1"/>
  <c r="AH1533" i="1"/>
  <c r="AI1533" i="1"/>
  <c r="AJ1533" i="1"/>
  <c r="AK1533" i="1"/>
  <c r="C1534" i="1"/>
  <c r="H1534" i="1"/>
  <c r="I1534" i="1"/>
  <c r="J1534" i="1"/>
  <c r="K1534" i="1"/>
  <c r="M1534" i="1"/>
  <c r="P1534" i="1"/>
  <c r="R1534" i="1"/>
  <c r="S1534" i="1"/>
  <c r="T1534" i="1"/>
  <c r="U1534" i="1"/>
  <c r="X1534" i="1"/>
  <c r="Y1534" i="1"/>
  <c r="Z1534" i="1"/>
  <c r="AA1534" i="1"/>
  <c r="AB1534" i="1"/>
  <c r="AC1534" i="1"/>
  <c r="AD1534" i="1"/>
  <c r="AE1534" i="1"/>
  <c r="AF1534" i="1"/>
  <c r="AG1534" i="1"/>
  <c r="AH1534" i="1"/>
  <c r="AI1534" i="1"/>
  <c r="AJ1534" i="1"/>
  <c r="AK1534" i="1"/>
  <c r="C1535" i="1"/>
  <c r="H1535" i="1"/>
  <c r="I1535" i="1"/>
  <c r="J1535" i="1"/>
  <c r="K1535" i="1"/>
  <c r="M1535" i="1"/>
  <c r="P1535" i="1"/>
  <c r="R1535" i="1"/>
  <c r="S1535" i="1"/>
  <c r="T1535" i="1"/>
  <c r="U1535" i="1"/>
  <c r="X1535" i="1"/>
  <c r="Y1535" i="1"/>
  <c r="Z1535" i="1"/>
  <c r="AA1535" i="1"/>
  <c r="AB1535" i="1"/>
  <c r="AC1535" i="1"/>
  <c r="AD1535" i="1"/>
  <c r="AE1535" i="1"/>
  <c r="AF1535" i="1"/>
  <c r="AG1535" i="1"/>
  <c r="AH1535" i="1"/>
  <c r="AI1535" i="1"/>
  <c r="AJ1535" i="1"/>
  <c r="AK1535" i="1"/>
  <c r="C1536" i="1"/>
  <c r="H1536" i="1"/>
  <c r="I1536" i="1"/>
  <c r="J1536" i="1"/>
  <c r="K1536" i="1"/>
  <c r="M1536" i="1"/>
  <c r="P1536" i="1"/>
  <c r="R1536" i="1"/>
  <c r="S1536" i="1"/>
  <c r="T1536" i="1"/>
  <c r="U1536" i="1"/>
  <c r="X1536" i="1"/>
  <c r="Y1536" i="1"/>
  <c r="Z1536" i="1"/>
  <c r="AA1536" i="1"/>
  <c r="AB1536" i="1"/>
  <c r="AC1536" i="1"/>
  <c r="AD1536" i="1"/>
  <c r="AE1536" i="1"/>
  <c r="AF1536" i="1"/>
  <c r="AG1536" i="1"/>
  <c r="AH1536" i="1"/>
  <c r="AI1536" i="1"/>
  <c r="AJ1536" i="1"/>
  <c r="AK1536" i="1"/>
  <c r="C1537" i="1"/>
  <c r="H1537" i="1"/>
  <c r="I1537" i="1"/>
  <c r="J1537" i="1"/>
  <c r="K1537" i="1"/>
  <c r="M1537" i="1"/>
  <c r="P1537" i="1"/>
  <c r="R1537" i="1"/>
  <c r="S1537" i="1"/>
  <c r="T1537" i="1"/>
  <c r="U1537" i="1"/>
  <c r="X1537" i="1"/>
  <c r="Y1537" i="1"/>
  <c r="Z1537" i="1"/>
  <c r="AA1537" i="1"/>
  <c r="AB1537" i="1"/>
  <c r="AC1537" i="1"/>
  <c r="AD1537" i="1"/>
  <c r="AE1537" i="1"/>
  <c r="AF1537" i="1"/>
  <c r="AG1537" i="1"/>
  <c r="AH1537" i="1"/>
  <c r="AI1537" i="1"/>
  <c r="AJ1537" i="1"/>
  <c r="AK1537" i="1"/>
  <c r="C1538" i="1"/>
  <c r="H1538" i="1"/>
  <c r="I1538" i="1"/>
  <c r="J1538" i="1"/>
  <c r="K1538" i="1"/>
  <c r="M1538" i="1"/>
  <c r="P1538" i="1"/>
  <c r="R1538" i="1"/>
  <c r="S1538" i="1"/>
  <c r="T1538" i="1"/>
  <c r="U1538" i="1"/>
  <c r="X1538" i="1"/>
  <c r="Y1538" i="1"/>
  <c r="Z1538" i="1"/>
  <c r="AA1538" i="1"/>
  <c r="AB1538" i="1"/>
  <c r="AC1538" i="1"/>
  <c r="AD1538" i="1"/>
  <c r="AE1538" i="1"/>
  <c r="AF1538" i="1"/>
  <c r="AG1538" i="1"/>
  <c r="AH1538" i="1"/>
  <c r="AI1538" i="1"/>
  <c r="AJ1538" i="1"/>
  <c r="AK1538" i="1"/>
  <c r="C1539" i="1"/>
  <c r="H1539" i="1"/>
  <c r="I1539" i="1"/>
  <c r="J1539" i="1"/>
  <c r="K1539" i="1"/>
  <c r="M1539" i="1"/>
  <c r="P1539" i="1"/>
  <c r="R1539" i="1"/>
  <c r="S1539" i="1"/>
  <c r="T1539" i="1"/>
  <c r="U1539" i="1"/>
  <c r="X1539" i="1"/>
  <c r="Y1539" i="1"/>
  <c r="Z1539" i="1"/>
  <c r="AA1539" i="1"/>
  <c r="AB1539" i="1"/>
  <c r="AC1539" i="1"/>
  <c r="AD1539" i="1"/>
  <c r="AE1539" i="1"/>
  <c r="AF1539" i="1"/>
  <c r="AG1539" i="1"/>
  <c r="AH1539" i="1"/>
  <c r="AI1539" i="1"/>
  <c r="AJ1539" i="1"/>
  <c r="AK1539" i="1"/>
  <c r="C1540" i="1"/>
  <c r="H1540" i="1"/>
  <c r="I1540" i="1"/>
  <c r="J1540" i="1"/>
  <c r="K1540" i="1"/>
  <c r="M1540" i="1"/>
  <c r="P1540" i="1"/>
  <c r="R1540" i="1"/>
  <c r="S1540" i="1"/>
  <c r="T1540" i="1"/>
  <c r="U1540" i="1"/>
  <c r="X1540" i="1"/>
  <c r="Y1540" i="1"/>
  <c r="Z1540" i="1"/>
  <c r="AA1540" i="1"/>
  <c r="AB1540" i="1"/>
  <c r="AC1540" i="1"/>
  <c r="AD1540" i="1"/>
  <c r="AE1540" i="1"/>
  <c r="AF1540" i="1"/>
  <c r="AG1540" i="1"/>
  <c r="AH1540" i="1"/>
  <c r="AI1540" i="1"/>
  <c r="AJ1540" i="1"/>
  <c r="AK1540" i="1"/>
  <c r="C1541" i="1"/>
  <c r="H1541" i="1"/>
  <c r="I1541" i="1"/>
  <c r="J1541" i="1"/>
  <c r="K1541" i="1"/>
  <c r="M1541" i="1"/>
  <c r="P1541" i="1"/>
  <c r="R1541" i="1"/>
  <c r="S1541" i="1"/>
  <c r="T1541" i="1"/>
  <c r="U1541" i="1"/>
  <c r="X1541" i="1"/>
  <c r="Y1541" i="1"/>
  <c r="Z1541" i="1"/>
  <c r="AA1541" i="1"/>
  <c r="AB1541" i="1"/>
  <c r="AC1541" i="1"/>
  <c r="AD1541" i="1"/>
  <c r="AE1541" i="1"/>
  <c r="AF1541" i="1"/>
  <c r="AG1541" i="1"/>
  <c r="AH1541" i="1"/>
  <c r="AI1541" i="1"/>
  <c r="AJ1541" i="1"/>
  <c r="AK1541" i="1"/>
  <c r="C1522" i="1"/>
  <c r="H1522" i="1"/>
  <c r="I1522" i="1"/>
  <c r="J1522" i="1"/>
  <c r="K1522" i="1"/>
  <c r="M1522" i="1"/>
  <c r="P1522" i="1"/>
  <c r="R1522" i="1"/>
  <c r="S1522" i="1"/>
  <c r="T1522" i="1"/>
  <c r="U1522" i="1"/>
  <c r="X1522" i="1"/>
  <c r="Y1522" i="1"/>
  <c r="Z1522" i="1"/>
  <c r="AA1522" i="1"/>
  <c r="AB1522" i="1"/>
  <c r="AC1522" i="1"/>
  <c r="AD1522" i="1"/>
  <c r="AE1522" i="1"/>
  <c r="AF1522" i="1"/>
  <c r="AG1522" i="1"/>
  <c r="AH1522" i="1"/>
  <c r="AI1522" i="1"/>
  <c r="AJ1522" i="1"/>
  <c r="AK1522" i="1"/>
  <c r="C1523" i="1"/>
  <c r="H1523" i="1"/>
  <c r="I1523" i="1"/>
  <c r="J1523" i="1"/>
  <c r="K1523" i="1"/>
  <c r="M1523" i="1"/>
  <c r="P1523" i="1"/>
  <c r="R1523" i="1"/>
  <c r="S1523" i="1"/>
  <c r="T1523" i="1"/>
  <c r="U1523" i="1"/>
  <c r="X1523" i="1"/>
  <c r="Y1523" i="1"/>
  <c r="Z1523" i="1"/>
  <c r="AA1523" i="1"/>
  <c r="AB1523" i="1"/>
  <c r="AC1523" i="1"/>
  <c r="AD1523" i="1"/>
  <c r="AE1523" i="1"/>
  <c r="AF1523" i="1"/>
  <c r="AG1523" i="1"/>
  <c r="AH1523" i="1"/>
  <c r="AI1523" i="1"/>
  <c r="AJ1523" i="1"/>
  <c r="AK1523" i="1"/>
  <c r="C1524" i="1"/>
  <c r="H1524" i="1"/>
  <c r="I1524" i="1"/>
  <c r="J1524" i="1"/>
  <c r="K1524" i="1"/>
  <c r="M1524" i="1"/>
  <c r="P1524" i="1"/>
  <c r="R1524" i="1"/>
  <c r="S1524" i="1"/>
  <c r="T1524" i="1"/>
  <c r="U1524" i="1"/>
  <c r="X1524" i="1"/>
  <c r="Y1524" i="1"/>
  <c r="Z1524" i="1"/>
  <c r="AA1524" i="1"/>
  <c r="AB1524" i="1"/>
  <c r="AC1524" i="1"/>
  <c r="AD1524" i="1"/>
  <c r="AE1524" i="1"/>
  <c r="AF1524" i="1"/>
  <c r="AG1524" i="1"/>
  <c r="AH1524" i="1"/>
  <c r="AI1524" i="1"/>
  <c r="AJ1524" i="1"/>
  <c r="AK1524" i="1"/>
  <c r="C1525" i="1"/>
  <c r="H1525" i="1"/>
  <c r="I1525" i="1"/>
  <c r="J1525" i="1"/>
  <c r="K1525" i="1"/>
  <c r="M1525" i="1"/>
  <c r="P1525" i="1"/>
  <c r="R1525" i="1"/>
  <c r="S1525" i="1"/>
  <c r="T1525" i="1"/>
  <c r="U1525" i="1"/>
  <c r="X1525" i="1"/>
  <c r="Y1525" i="1"/>
  <c r="Z1525" i="1"/>
  <c r="AA1525" i="1"/>
  <c r="AB1525" i="1"/>
  <c r="AC1525" i="1"/>
  <c r="AD1525" i="1"/>
  <c r="AE1525" i="1"/>
  <c r="AF1525" i="1"/>
  <c r="AG1525" i="1"/>
  <c r="AH1525" i="1"/>
  <c r="AI1525" i="1"/>
  <c r="AJ1525" i="1"/>
  <c r="AK1525" i="1"/>
  <c r="C1526" i="1"/>
  <c r="H1526" i="1"/>
  <c r="I1526" i="1"/>
  <c r="J1526" i="1"/>
  <c r="K1526" i="1"/>
  <c r="M1526" i="1"/>
  <c r="P1526" i="1"/>
  <c r="R1526" i="1"/>
  <c r="S1526" i="1"/>
  <c r="T1526" i="1"/>
  <c r="U1526" i="1"/>
  <c r="X1526" i="1"/>
  <c r="Y1526" i="1"/>
  <c r="Z1526" i="1"/>
  <c r="AA1526" i="1"/>
  <c r="AB1526" i="1"/>
  <c r="AC1526" i="1"/>
  <c r="AD1526" i="1"/>
  <c r="AE1526" i="1"/>
  <c r="AF1526" i="1"/>
  <c r="AG1526" i="1"/>
  <c r="AH1526" i="1"/>
  <c r="AI1526" i="1"/>
  <c r="AJ1526" i="1"/>
  <c r="AK1526" i="1"/>
  <c r="C1527" i="1"/>
  <c r="H1527" i="1"/>
  <c r="I1527" i="1"/>
  <c r="J1527" i="1"/>
  <c r="K1527" i="1"/>
  <c r="M1527" i="1"/>
  <c r="P1527" i="1"/>
  <c r="R1527" i="1"/>
  <c r="S1527" i="1"/>
  <c r="T1527" i="1"/>
  <c r="U1527" i="1"/>
  <c r="X1527" i="1"/>
  <c r="Y1527" i="1"/>
  <c r="Z1527" i="1"/>
  <c r="AA1527" i="1"/>
  <c r="AB1527" i="1"/>
  <c r="AC1527" i="1"/>
  <c r="AD1527" i="1"/>
  <c r="AE1527" i="1"/>
  <c r="AF1527" i="1"/>
  <c r="AG1527" i="1"/>
  <c r="AH1527" i="1"/>
  <c r="AI1527" i="1"/>
  <c r="AJ1527" i="1"/>
  <c r="AK1527" i="1"/>
  <c r="C1528" i="1"/>
  <c r="H1528" i="1"/>
  <c r="I1528" i="1"/>
  <c r="J1528" i="1"/>
  <c r="K1528" i="1"/>
  <c r="M1528" i="1"/>
  <c r="P1528" i="1"/>
  <c r="R1528" i="1"/>
  <c r="S1528" i="1"/>
  <c r="T1528" i="1"/>
  <c r="U1528" i="1"/>
  <c r="X1528" i="1"/>
  <c r="Y1528" i="1"/>
  <c r="Z1528" i="1"/>
  <c r="AA1528" i="1"/>
  <c r="AB1528" i="1"/>
  <c r="AC1528" i="1"/>
  <c r="AD1528" i="1"/>
  <c r="AE1528" i="1"/>
  <c r="AF1528" i="1"/>
  <c r="AG1528" i="1"/>
  <c r="AH1528" i="1"/>
  <c r="AI1528" i="1"/>
  <c r="AJ1528" i="1"/>
  <c r="AK1528" i="1"/>
  <c r="C1529" i="1"/>
  <c r="H1529" i="1"/>
  <c r="I1529" i="1"/>
  <c r="J1529" i="1"/>
  <c r="K1529" i="1"/>
  <c r="M1529" i="1"/>
  <c r="P1529" i="1"/>
  <c r="R1529" i="1"/>
  <c r="S1529" i="1"/>
  <c r="T1529" i="1"/>
  <c r="U1529" i="1"/>
  <c r="X1529" i="1"/>
  <c r="Y1529" i="1"/>
  <c r="Z1529" i="1"/>
  <c r="AA1529" i="1"/>
  <c r="AB1529" i="1"/>
  <c r="AC1529" i="1"/>
  <c r="AD1529" i="1"/>
  <c r="AE1529" i="1"/>
  <c r="AF1529" i="1"/>
  <c r="AG1529" i="1"/>
  <c r="AH1529" i="1"/>
  <c r="AI1529" i="1"/>
  <c r="AJ1529" i="1"/>
  <c r="AK1529" i="1"/>
  <c r="C1530" i="1"/>
  <c r="H1530" i="1"/>
  <c r="I1530" i="1"/>
  <c r="J1530" i="1"/>
  <c r="K1530" i="1"/>
  <c r="M1530" i="1"/>
  <c r="P1530" i="1"/>
  <c r="R1530" i="1"/>
  <c r="S1530" i="1"/>
  <c r="T1530" i="1"/>
  <c r="U1530" i="1"/>
  <c r="X1530" i="1"/>
  <c r="Y1530" i="1"/>
  <c r="Z1530" i="1"/>
  <c r="AA1530" i="1"/>
  <c r="AB1530" i="1"/>
  <c r="AC1530" i="1"/>
  <c r="AD1530" i="1"/>
  <c r="AE1530" i="1"/>
  <c r="AF1530" i="1"/>
  <c r="AG1530" i="1"/>
  <c r="AH1530" i="1"/>
  <c r="AI1530" i="1"/>
  <c r="AJ1530" i="1"/>
  <c r="AK1530" i="1"/>
  <c r="C1531" i="1"/>
  <c r="H1531" i="1"/>
  <c r="I1531" i="1"/>
  <c r="J1531" i="1"/>
  <c r="K1531" i="1"/>
  <c r="M1531" i="1"/>
  <c r="P1531" i="1"/>
  <c r="R1531" i="1"/>
  <c r="S1531" i="1"/>
  <c r="T1531" i="1"/>
  <c r="U1531" i="1"/>
  <c r="X1531" i="1"/>
  <c r="Y1531" i="1"/>
  <c r="Z1531" i="1"/>
  <c r="AA1531" i="1"/>
  <c r="AB1531" i="1"/>
  <c r="AC1531" i="1"/>
  <c r="AD1531" i="1"/>
  <c r="AE1531" i="1"/>
  <c r="AF1531" i="1"/>
  <c r="AG1531" i="1"/>
  <c r="AH1531" i="1"/>
  <c r="AI1531" i="1"/>
  <c r="AJ1531" i="1"/>
  <c r="AK1531" i="1"/>
  <c r="C1512" i="1"/>
  <c r="H1512" i="1"/>
  <c r="I1512" i="1"/>
  <c r="J1512" i="1"/>
  <c r="K1512" i="1"/>
  <c r="M1512" i="1"/>
  <c r="P1512" i="1"/>
  <c r="R1512" i="1"/>
  <c r="S1512" i="1"/>
  <c r="T1512" i="1"/>
  <c r="U1512" i="1"/>
  <c r="X1512" i="1"/>
  <c r="Y1512" i="1"/>
  <c r="Z1512" i="1"/>
  <c r="AA1512" i="1"/>
  <c r="AB1512" i="1"/>
  <c r="AC1512" i="1"/>
  <c r="AD1512" i="1"/>
  <c r="AE1512" i="1"/>
  <c r="AF1512" i="1"/>
  <c r="AG1512" i="1"/>
  <c r="AH1512" i="1"/>
  <c r="AI1512" i="1"/>
  <c r="AJ1512" i="1"/>
  <c r="AK1512" i="1"/>
  <c r="C1513" i="1"/>
  <c r="H1513" i="1"/>
  <c r="I1513" i="1"/>
  <c r="J1513" i="1"/>
  <c r="K1513" i="1"/>
  <c r="M1513" i="1"/>
  <c r="P1513" i="1"/>
  <c r="R1513" i="1"/>
  <c r="S1513" i="1"/>
  <c r="T1513" i="1"/>
  <c r="U1513" i="1"/>
  <c r="X1513" i="1"/>
  <c r="Y1513" i="1"/>
  <c r="Z1513" i="1"/>
  <c r="AA1513" i="1"/>
  <c r="AB1513" i="1"/>
  <c r="AC1513" i="1"/>
  <c r="AD1513" i="1"/>
  <c r="AE1513" i="1"/>
  <c r="AF1513" i="1"/>
  <c r="AG1513" i="1"/>
  <c r="AH1513" i="1"/>
  <c r="AI1513" i="1"/>
  <c r="AJ1513" i="1"/>
  <c r="AK1513" i="1"/>
  <c r="C1514" i="1"/>
  <c r="H1514" i="1"/>
  <c r="I1514" i="1"/>
  <c r="J1514" i="1"/>
  <c r="K1514" i="1"/>
  <c r="M1514" i="1"/>
  <c r="P1514" i="1"/>
  <c r="R1514" i="1"/>
  <c r="S1514" i="1"/>
  <c r="T1514" i="1"/>
  <c r="U1514" i="1"/>
  <c r="X1514" i="1"/>
  <c r="Y1514" i="1"/>
  <c r="Z1514" i="1"/>
  <c r="AA1514" i="1"/>
  <c r="AB1514" i="1"/>
  <c r="AC1514" i="1"/>
  <c r="AD1514" i="1"/>
  <c r="AE1514" i="1"/>
  <c r="AF1514" i="1"/>
  <c r="AG1514" i="1"/>
  <c r="AH1514" i="1"/>
  <c r="AI1514" i="1"/>
  <c r="AJ1514" i="1"/>
  <c r="AK1514" i="1"/>
  <c r="C1515" i="1"/>
  <c r="H1515" i="1"/>
  <c r="I1515" i="1"/>
  <c r="J1515" i="1"/>
  <c r="K1515" i="1"/>
  <c r="M1515" i="1"/>
  <c r="P1515" i="1"/>
  <c r="R1515" i="1"/>
  <c r="S1515" i="1"/>
  <c r="T1515" i="1"/>
  <c r="U1515" i="1"/>
  <c r="X1515" i="1"/>
  <c r="Y1515" i="1"/>
  <c r="Z1515" i="1"/>
  <c r="AA1515" i="1"/>
  <c r="AB1515" i="1"/>
  <c r="AC1515" i="1"/>
  <c r="AD1515" i="1"/>
  <c r="AE1515" i="1"/>
  <c r="AF1515" i="1"/>
  <c r="AG1515" i="1"/>
  <c r="AH1515" i="1"/>
  <c r="AI1515" i="1"/>
  <c r="AJ1515" i="1"/>
  <c r="AK1515" i="1"/>
  <c r="C1516" i="1"/>
  <c r="H1516" i="1"/>
  <c r="I1516" i="1"/>
  <c r="J1516" i="1"/>
  <c r="K1516" i="1"/>
  <c r="M1516" i="1"/>
  <c r="P1516" i="1"/>
  <c r="R1516" i="1"/>
  <c r="S1516" i="1"/>
  <c r="T1516" i="1"/>
  <c r="U1516" i="1"/>
  <c r="X1516" i="1"/>
  <c r="Y1516" i="1"/>
  <c r="Z1516" i="1"/>
  <c r="AA1516" i="1"/>
  <c r="AB1516" i="1"/>
  <c r="AC1516" i="1"/>
  <c r="AD1516" i="1"/>
  <c r="AE1516" i="1"/>
  <c r="AF1516" i="1"/>
  <c r="AG1516" i="1"/>
  <c r="AH1516" i="1"/>
  <c r="AI1516" i="1"/>
  <c r="AJ1516" i="1"/>
  <c r="AK1516" i="1"/>
  <c r="C1517" i="1"/>
  <c r="H1517" i="1"/>
  <c r="I1517" i="1"/>
  <c r="J1517" i="1"/>
  <c r="K1517" i="1"/>
  <c r="M1517" i="1"/>
  <c r="P1517" i="1"/>
  <c r="R1517" i="1"/>
  <c r="S1517" i="1"/>
  <c r="T1517" i="1"/>
  <c r="U1517" i="1"/>
  <c r="X1517" i="1"/>
  <c r="Y1517" i="1"/>
  <c r="Z1517" i="1"/>
  <c r="AA1517" i="1"/>
  <c r="AB1517" i="1"/>
  <c r="AC1517" i="1"/>
  <c r="AD1517" i="1"/>
  <c r="AE1517" i="1"/>
  <c r="AF1517" i="1"/>
  <c r="AG1517" i="1"/>
  <c r="AH1517" i="1"/>
  <c r="AI1517" i="1"/>
  <c r="AJ1517" i="1"/>
  <c r="AK1517" i="1"/>
  <c r="C1518" i="1"/>
  <c r="H1518" i="1"/>
  <c r="I1518" i="1"/>
  <c r="J1518" i="1"/>
  <c r="K1518" i="1"/>
  <c r="M1518" i="1"/>
  <c r="P1518" i="1"/>
  <c r="R1518" i="1"/>
  <c r="S1518" i="1"/>
  <c r="T1518" i="1"/>
  <c r="U1518" i="1"/>
  <c r="X1518" i="1"/>
  <c r="Y1518" i="1"/>
  <c r="Z1518" i="1"/>
  <c r="AA1518" i="1"/>
  <c r="AB1518" i="1"/>
  <c r="AC1518" i="1"/>
  <c r="AD1518" i="1"/>
  <c r="AE1518" i="1"/>
  <c r="AF1518" i="1"/>
  <c r="AG1518" i="1"/>
  <c r="AH1518" i="1"/>
  <c r="AI1518" i="1"/>
  <c r="AJ1518" i="1"/>
  <c r="AK1518" i="1"/>
  <c r="C1519" i="1"/>
  <c r="H1519" i="1"/>
  <c r="I1519" i="1"/>
  <c r="J1519" i="1"/>
  <c r="K1519" i="1"/>
  <c r="M1519" i="1"/>
  <c r="P1519" i="1"/>
  <c r="R1519" i="1"/>
  <c r="S1519" i="1"/>
  <c r="T1519" i="1"/>
  <c r="U1519" i="1"/>
  <c r="X1519" i="1"/>
  <c r="Y1519" i="1"/>
  <c r="Z1519" i="1"/>
  <c r="AA1519" i="1"/>
  <c r="AB1519" i="1"/>
  <c r="AC1519" i="1"/>
  <c r="AD1519" i="1"/>
  <c r="AE1519" i="1"/>
  <c r="AF1519" i="1"/>
  <c r="AG1519" i="1"/>
  <c r="AH1519" i="1"/>
  <c r="AI1519" i="1"/>
  <c r="AJ1519" i="1"/>
  <c r="AK1519" i="1"/>
  <c r="C1520" i="1"/>
  <c r="H1520" i="1"/>
  <c r="I1520" i="1"/>
  <c r="J1520" i="1"/>
  <c r="K1520" i="1"/>
  <c r="M1520" i="1"/>
  <c r="P1520" i="1"/>
  <c r="R1520" i="1"/>
  <c r="S1520" i="1"/>
  <c r="T1520" i="1"/>
  <c r="U1520" i="1"/>
  <c r="X1520" i="1"/>
  <c r="Y1520" i="1"/>
  <c r="Z1520" i="1"/>
  <c r="AA1520" i="1"/>
  <c r="AB1520" i="1"/>
  <c r="AC1520" i="1"/>
  <c r="AD1520" i="1"/>
  <c r="AE1520" i="1"/>
  <c r="AF1520" i="1"/>
  <c r="AG1520" i="1"/>
  <c r="AH1520" i="1"/>
  <c r="AI1520" i="1"/>
  <c r="AJ1520" i="1"/>
  <c r="AK1520" i="1"/>
  <c r="C1521" i="1"/>
  <c r="H1521" i="1"/>
  <c r="I1521" i="1"/>
  <c r="J1521" i="1"/>
  <c r="K1521" i="1"/>
  <c r="M1521" i="1"/>
  <c r="P1521" i="1"/>
  <c r="R1521" i="1"/>
  <c r="S1521" i="1"/>
  <c r="T1521" i="1"/>
  <c r="U1521" i="1"/>
  <c r="X1521" i="1"/>
  <c r="Y1521" i="1"/>
  <c r="Z1521" i="1"/>
  <c r="AA1521" i="1"/>
  <c r="AB1521" i="1"/>
  <c r="AC1521" i="1"/>
  <c r="AD1521" i="1"/>
  <c r="AE1521" i="1"/>
  <c r="AF1521" i="1"/>
  <c r="AG1521" i="1"/>
  <c r="AH1521" i="1"/>
  <c r="AI1521" i="1"/>
  <c r="AJ1521" i="1"/>
  <c r="AK1521" i="1"/>
  <c r="C1502" i="1"/>
  <c r="H1502" i="1"/>
  <c r="I1502" i="1"/>
  <c r="J1502" i="1"/>
  <c r="K1502" i="1"/>
  <c r="M1502" i="1"/>
  <c r="P1502" i="1"/>
  <c r="R1502" i="1"/>
  <c r="S1502" i="1"/>
  <c r="T1502" i="1"/>
  <c r="U1502" i="1"/>
  <c r="X1502" i="1"/>
  <c r="Y1502" i="1"/>
  <c r="Z1502" i="1"/>
  <c r="AA1502" i="1"/>
  <c r="AB1502" i="1"/>
  <c r="AC1502" i="1"/>
  <c r="AD1502" i="1"/>
  <c r="AE1502" i="1"/>
  <c r="AF1502" i="1"/>
  <c r="AG1502" i="1"/>
  <c r="AH1502" i="1"/>
  <c r="AI1502" i="1"/>
  <c r="AJ1502" i="1"/>
  <c r="AK1502" i="1"/>
  <c r="C1503" i="1"/>
  <c r="H1503" i="1"/>
  <c r="I1503" i="1"/>
  <c r="J1503" i="1"/>
  <c r="K1503" i="1"/>
  <c r="M1503" i="1"/>
  <c r="P1503" i="1"/>
  <c r="R1503" i="1"/>
  <c r="S1503" i="1"/>
  <c r="T1503" i="1"/>
  <c r="U1503" i="1"/>
  <c r="X1503" i="1"/>
  <c r="Y1503" i="1"/>
  <c r="Z1503" i="1"/>
  <c r="AA1503" i="1"/>
  <c r="AB1503" i="1"/>
  <c r="AC1503" i="1"/>
  <c r="AD1503" i="1"/>
  <c r="AE1503" i="1"/>
  <c r="AF1503" i="1"/>
  <c r="AG1503" i="1"/>
  <c r="AH1503" i="1"/>
  <c r="AI1503" i="1"/>
  <c r="AJ1503" i="1"/>
  <c r="AK1503" i="1"/>
  <c r="C1504" i="1"/>
  <c r="H1504" i="1"/>
  <c r="I1504" i="1"/>
  <c r="J1504" i="1"/>
  <c r="K1504" i="1"/>
  <c r="M1504" i="1"/>
  <c r="P1504" i="1"/>
  <c r="R1504" i="1"/>
  <c r="S1504" i="1"/>
  <c r="T1504" i="1"/>
  <c r="U1504" i="1"/>
  <c r="X1504" i="1"/>
  <c r="Y1504" i="1"/>
  <c r="Z1504" i="1"/>
  <c r="AA1504" i="1"/>
  <c r="AB1504" i="1"/>
  <c r="AC1504" i="1"/>
  <c r="AD1504" i="1"/>
  <c r="AE1504" i="1"/>
  <c r="AF1504" i="1"/>
  <c r="AG1504" i="1"/>
  <c r="AH1504" i="1"/>
  <c r="AI1504" i="1"/>
  <c r="AJ1504" i="1"/>
  <c r="AK1504" i="1"/>
  <c r="C1505" i="1"/>
  <c r="H1505" i="1"/>
  <c r="I1505" i="1"/>
  <c r="J1505" i="1"/>
  <c r="K1505" i="1"/>
  <c r="M1505" i="1"/>
  <c r="P1505" i="1"/>
  <c r="R1505" i="1"/>
  <c r="S1505" i="1"/>
  <c r="T1505" i="1"/>
  <c r="U1505" i="1"/>
  <c r="X1505" i="1"/>
  <c r="Y1505" i="1"/>
  <c r="Z1505" i="1"/>
  <c r="AA1505" i="1"/>
  <c r="AB1505" i="1"/>
  <c r="AC1505" i="1"/>
  <c r="AD1505" i="1"/>
  <c r="AE1505" i="1"/>
  <c r="AF1505" i="1"/>
  <c r="AG1505" i="1"/>
  <c r="AH1505" i="1"/>
  <c r="AI1505" i="1"/>
  <c r="AJ1505" i="1"/>
  <c r="AK1505" i="1"/>
  <c r="C1506" i="1"/>
  <c r="H1506" i="1"/>
  <c r="I1506" i="1"/>
  <c r="J1506" i="1"/>
  <c r="K1506" i="1"/>
  <c r="M1506" i="1"/>
  <c r="P1506" i="1"/>
  <c r="R1506" i="1"/>
  <c r="S1506" i="1"/>
  <c r="T1506" i="1"/>
  <c r="U1506" i="1"/>
  <c r="X1506" i="1"/>
  <c r="Y1506" i="1"/>
  <c r="Z1506" i="1"/>
  <c r="AA1506" i="1"/>
  <c r="AB1506" i="1"/>
  <c r="AC1506" i="1"/>
  <c r="AD1506" i="1"/>
  <c r="AE1506" i="1"/>
  <c r="AF1506" i="1"/>
  <c r="AG1506" i="1"/>
  <c r="AH1506" i="1"/>
  <c r="AI1506" i="1"/>
  <c r="AJ1506" i="1"/>
  <c r="AK1506" i="1"/>
  <c r="C1507" i="1"/>
  <c r="H1507" i="1"/>
  <c r="I1507" i="1"/>
  <c r="J1507" i="1"/>
  <c r="K1507" i="1"/>
  <c r="M1507" i="1"/>
  <c r="P1507" i="1"/>
  <c r="R1507" i="1"/>
  <c r="S1507" i="1"/>
  <c r="T1507" i="1"/>
  <c r="U1507" i="1"/>
  <c r="X1507" i="1"/>
  <c r="Y1507" i="1"/>
  <c r="Z1507" i="1"/>
  <c r="AA1507" i="1"/>
  <c r="AB1507" i="1"/>
  <c r="AC1507" i="1"/>
  <c r="AD1507" i="1"/>
  <c r="AE1507" i="1"/>
  <c r="AF1507" i="1"/>
  <c r="AG1507" i="1"/>
  <c r="AH1507" i="1"/>
  <c r="AI1507" i="1"/>
  <c r="AJ1507" i="1"/>
  <c r="AK1507" i="1"/>
  <c r="C1508" i="1"/>
  <c r="H1508" i="1"/>
  <c r="I1508" i="1"/>
  <c r="J1508" i="1"/>
  <c r="K1508" i="1"/>
  <c r="M1508" i="1"/>
  <c r="P1508" i="1"/>
  <c r="R1508" i="1"/>
  <c r="S1508" i="1"/>
  <c r="T1508" i="1"/>
  <c r="U1508" i="1"/>
  <c r="X1508" i="1"/>
  <c r="Y1508" i="1"/>
  <c r="Z1508" i="1"/>
  <c r="AA1508" i="1"/>
  <c r="AB1508" i="1"/>
  <c r="AC1508" i="1"/>
  <c r="AD1508" i="1"/>
  <c r="AE1508" i="1"/>
  <c r="AF1508" i="1"/>
  <c r="AG1508" i="1"/>
  <c r="AH1508" i="1"/>
  <c r="AI1508" i="1"/>
  <c r="AJ1508" i="1"/>
  <c r="AK1508" i="1"/>
  <c r="C1509" i="1"/>
  <c r="H1509" i="1"/>
  <c r="I1509" i="1"/>
  <c r="J1509" i="1"/>
  <c r="K1509" i="1"/>
  <c r="M1509" i="1"/>
  <c r="P1509" i="1"/>
  <c r="R1509" i="1"/>
  <c r="S1509" i="1"/>
  <c r="T1509" i="1"/>
  <c r="U1509" i="1"/>
  <c r="X1509" i="1"/>
  <c r="Y1509" i="1"/>
  <c r="Z1509" i="1"/>
  <c r="AA1509" i="1"/>
  <c r="AB1509" i="1"/>
  <c r="AC1509" i="1"/>
  <c r="AD1509" i="1"/>
  <c r="AE1509" i="1"/>
  <c r="AF1509" i="1"/>
  <c r="AG1509" i="1"/>
  <c r="AH1509" i="1"/>
  <c r="AI1509" i="1"/>
  <c r="AJ1509" i="1"/>
  <c r="AK1509" i="1"/>
  <c r="C1510" i="1"/>
  <c r="H1510" i="1"/>
  <c r="I1510" i="1"/>
  <c r="J1510" i="1"/>
  <c r="K1510" i="1"/>
  <c r="M1510" i="1"/>
  <c r="P1510" i="1"/>
  <c r="R1510" i="1"/>
  <c r="S1510" i="1"/>
  <c r="T1510" i="1"/>
  <c r="U1510" i="1"/>
  <c r="X1510" i="1"/>
  <c r="Y1510" i="1"/>
  <c r="Z1510" i="1"/>
  <c r="AA1510" i="1"/>
  <c r="AB1510" i="1"/>
  <c r="AC1510" i="1"/>
  <c r="AD1510" i="1"/>
  <c r="AE1510" i="1"/>
  <c r="AF1510" i="1"/>
  <c r="AG1510" i="1"/>
  <c r="AH1510" i="1"/>
  <c r="AI1510" i="1"/>
  <c r="AJ1510" i="1"/>
  <c r="AK1510" i="1"/>
  <c r="C1511" i="1"/>
  <c r="H1511" i="1"/>
  <c r="I1511" i="1"/>
  <c r="J1511" i="1"/>
  <c r="K1511" i="1"/>
  <c r="M1511" i="1"/>
  <c r="P1511" i="1"/>
  <c r="R1511" i="1"/>
  <c r="S1511" i="1"/>
  <c r="T1511" i="1"/>
  <c r="U1511" i="1"/>
  <c r="X1511" i="1"/>
  <c r="Y1511" i="1"/>
  <c r="Z1511" i="1"/>
  <c r="AA1511" i="1"/>
  <c r="AB1511" i="1"/>
  <c r="AC1511" i="1"/>
  <c r="AD1511" i="1"/>
  <c r="AE1511" i="1"/>
  <c r="AF1511" i="1"/>
  <c r="AG1511" i="1"/>
  <c r="AH1511" i="1"/>
  <c r="AI1511" i="1"/>
  <c r="AJ1511" i="1"/>
  <c r="AK1511" i="1"/>
  <c r="C1492" i="1"/>
  <c r="H1492" i="1"/>
  <c r="I1492" i="1"/>
  <c r="J1492" i="1"/>
  <c r="K1492" i="1"/>
  <c r="M1492" i="1"/>
  <c r="P1492" i="1"/>
  <c r="R1492" i="1"/>
  <c r="S1492" i="1"/>
  <c r="T1492" i="1"/>
  <c r="U1492" i="1"/>
  <c r="X1492" i="1"/>
  <c r="Y1492" i="1"/>
  <c r="Z1492" i="1"/>
  <c r="AA1492" i="1"/>
  <c r="AB1492" i="1"/>
  <c r="AC1492" i="1"/>
  <c r="AD1492" i="1"/>
  <c r="AE1492" i="1"/>
  <c r="AF1492" i="1"/>
  <c r="AG1492" i="1"/>
  <c r="AH1492" i="1"/>
  <c r="AI1492" i="1"/>
  <c r="AJ1492" i="1"/>
  <c r="AK1492" i="1"/>
  <c r="C1493" i="1"/>
  <c r="H1493" i="1"/>
  <c r="I1493" i="1"/>
  <c r="J1493" i="1"/>
  <c r="K1493" i="1"/>
  <c r="M1493" i="1"/>
  <c r="P1493" i="1"/>
  <c r="R1493" i="1"/>
  <c r="S1493" i="1"/>
  <c r="T1493" i="1"/>
  <c r="U1493" i="1"/>
  <c r="X1493" i="1"/>
  <c r="Y1493" i="1"/>
  <c r="Z1493" i="1"/>
  <c r="AA1493" i="1"/>
  <c r="AB1493" i="1"/>
  <c r="AC1493" i="1"/>
  <c r="AD1493" i="1"/>
  <c r="AE1493" i="1"/>
  <c r="AF1493" i="1"/>
  <c r="AG1493" i="1"/>
  <c r="AH1493" i="1"/>
  <c r="AI1493" i="1"/>
  <c r="AJ1493" i="1"/>
  <c r="AK1493" i="1"/>
  <c r="C1494" i="1"/>
  <c r="H1494" i="1"/>
  <c r="I1494" i="1"/>
  <c r="J1494" i="1"/>
  <c r="K1494" i="1"/>
  <c r="M1494" i="1"/>
  <c r="P1494" i="1"/>
  <c r="R1494" i="1"/>
  <c r="S1494" i="1"/>
  <c r="T1494" i="1"/>
  <c r="U1494" i="1"/>
  <c r="X1494" i="1"/>
  <c r="Y1494" i="1"/>
  <c r="Z1494" i="1"/>
  <c r="AA1494" i="1"/>
  <c r="AB1494" i="1"/>
  <c r="AC1494" i="1"/>
  <c r="AD1494" i="1"/>
  <c r="AE1494" i="1"/>
  <c r="AF1494" i="1"/>
  <c r="AG1494" i="1"/>
  <c r="AH1494" i="1"/>
  <c r="AI1494" i="1"/>
  <c r="AJ1494" i="1"/>
  <c r="AK1494" i="1"/>
  <c r="C1495" i="1"/>
  <c r="H1495" i="1"/>
  <c r="I1495" i="1"/>
  <c r="J1495" i="1"/>
  <c r="K1495" i="1"/>
  <c r="M1495" i="1"/>
  <c r="P1495" i="1"/>
  <c r="R1495" i="1"/>
  <c r="S1495" i="1"/>
  <c r="T1495" i="1"/>
  <c r="U1495" i="1"/>
  <c r="X1495" i="1"/>
  <c r="Y1495" i="1"/>
  <c r="Z1495" i="1"/>
  <c r="AA1495" i="1"/>
  <c r="AB1495" i="1"/>
  <c r="AC1495" i="1"/>
  <c r="AD1495" i="1"/>
  <c r="AE1495" i="1"/>
  <c r="AF1495" i="1"/>
  <c r="AG1495" i="1"/>
  <c r="AH1495" i="1"/>
  <c r="AI1495" i="1"/>
  <c r="AJ1495" i="1"/>
  <c r="AK1495" i="1"/>
  <c r="C1496" i="1"/>
  <c r="H1496" i="1"/>
  <c r="I1496" i="1"/>
  <c r="J1496" i="1"/>
  <c r="K1496" i="1"/>
  <c r="M1496" i="1"/>
  <c r="P1496" i="1"/>
  <c r="R1496" i="1"/>
  <c r="S1496" i="1"/>
  <c r="T1496" i="1"/>
  <c r="U1496" i="1"/>
  <c r="X1496" i="1"/>
  <c r="Y1496" i="1"/>
  <c r="Z1496" i="1"/>
  <c r="AA1496" i="1"/>
  <c r="AB1496" i="1"/>
  <c r="AC1496" i="1"/>
  <c r="AD1496" i="1"/>
  <c r="AE1496" i="1"/>
  <c r="AF1496" i="1"/>
  <c r="AG1496" i="1"/>
  <c r="AH1496" i="1"/>
  <c r="AI1496" i="1"/>
  <c r="AJ1496" i="1"/>
  <c r="AK1496" i="1"/>
  <c r="C1497" i="1"/>
  <c r="H1497" i="1"/>
  <c r="I1497" i="1"/>
  <c r="J1497" i="1"/>
  <c r="K1497" i="1"/>
  <c r="M1497" i="1"/>
  <c r="P1497" i="1"/>
  <c r="R1497" i="1"/>
  <c r="S1497" i="1"/>
  <c r="T1497" i="1"/>
  <c r="U1497" i="1"/>
  <c r="X1497" i="1"/>
  <c r="Y1497" i="1"/>
  <c r="Z1497" i="1"/>
  <c r="AA1497" i="1"/>
  <c r="AB1497" i="1"/>
  <c r="AC1497" i="1"/>
  <c r="AD1497" i="1"/>
  <c r="AE1497" i="1"/>
  <c r="AF1497" i="1"/>
  <c r="AG1497" i="1"/>
  <c r="AH1497" i="1"/>
  <c r="AI1497" i="1"/>
  <c r="AJ1497" i="1"/>
  <c r="AK1497" i="1"/>
  <c r="C1498" i="1"/>
  <c r="H1498" i="1"/>
  <c r="I1498" i="1"/>
  <c r="J1498" i="1"/>
  <c r="K1498" i="1"/>
  <c r="M1498" i="1"/>
  <c r="P1498" i="1"/>
  <c r="R1498" i="1"/>
  <c r="S1498" i="1"/>
  <c r="T1498" i="1"/>
  <c r="U1498" i="1"/>
  <c r="X1498" i="1"/>
  <c r="Y1498" i="1"/>
  <c r="Z1498" i="1"/>
  <c r="AA1498" i="1"/>
  <c r="AB1498" i="1"/>
  <c r="AC1498" i="1"/>
  <c r="AD1498" i="1"/>
  <c r="AE1498" i="1"/>
  <c r="AF1498" i="1"/>
  <c r="AG1498" i="1"/>
  <c r="AH1498" i="1"/>
  <c r="AI1498" i="1"/>
  <c r="AJ1498" i="1"/>
  <c r="AK1498" i="1"/>
  <c r="C1499" i="1"/>
  <c r="H1499" i="1"/>
  <c r="I1499" i="1"/>
  <c r="J1499" i="1"/>
  <c r="K1499" i="1"/>
  <c r="M1499" i="1"/>
  <c r="P1499" i="1"/>
  <c r="R1499" i="1"/>
  <c r="S1499" i="1"/>
  <c r="T1499" i="1"/>
  <c r="U1499" i="1"/>
  <c r="X1499" i="1"/>
  <c r="Y1499" i="1"/>
  <c r="Z1499" i="1"/>
  <c r="AA1499" i="1"/>
  <c r="AB1499" i="1"/>
  <c r="AC1499" i="1"/>
  <c r="AD1499" i="1"/>
  <c r="AE1499" i="1"/>
  <c r="AF1499" i="1"/>
  <c r="AG1499" i="1"/>
  <c r="AH1499" i="1"/>
  <c r="AI1499" i="1"/>
  <c r="AJ1499" i="1"/>
  <c r="AK1499" i="1"/>
  <c r="C1500" i="1"/>
  <c r="H1500" i="1"/>
  <c r="I1500" i="1"/>
  <c r="J1500" i="1"/>
  <c r="K1500" i="1"/>
  <c r="M1500" i="1"/>
  <c r="P1500" i="1"/>
  <c r="R1500" i="1"/>
  <c r="S1500" i="1"/>
  <c r="T1500" i="1"/>
  <c r="U1500" i="1"/>
  <c r="X1500" i="1"/>
  <c r="Y1500" i="1"/>
  <c r="Z1500" i="1"/>
  <c r="AA1500" i="1"/>
  <c r="AB1500" i="1"/>
  <c r="AC1500" i="1"/>
  <c r="AD1500" i="1"/>
  <c r="AE1500" i="1"/>
  <c r="AF1500" i="1"/>
  <c r="AG1500" i="1"/>
  <c r="AH1500" i="1"/>
  <c r="AI1500" i="1"/>
  <c r="AJ1500" i="1"/>
  <c r="AK1500" i="1"/>
  <c r="C1501" i="1"/>
  <c r="H1501" i="1"/>
  <c r="I1501" i="1"/>
  <c r="J1501" i="1"/>
  <c r="K1501" i="1"/>
  <c r="M1501" i="1"/>
  <c r="P1501" i="1"/>
  <c r="R1501" i="1"/>
  <c r="S1501" i="1"/>
  <c r="T1501" i="1"/>
  <c r="U1501" i="1"/>
  <c r="X1501" i="1"/>
  <c r="Y1501" i="1"/>
  <c r="Z1501" i="1"/>
  <c r="AA1501" i="1"/>
  <c r="AB1501" i="1"/>
  <c r="AC1501" i="1"/>
  <c r="AD1501" i="1"/>
  <c r="AE1501" i="1"/>
  <c r="AF1501" i="1"/>
  <c r="AG1501" i="1"/>
  <c r="AH1501" i="1"/>
  <c r="AI1501" i="1"/>
  <c r="AJ1501" i="1"/>
  <c r="AK1501" i="1"/>
  <c r="C1482" i="1"/>
  <c r="H1482" i="1"/>
  <c r="I1482" i="1"/>
  <c r="J1482" i="1"/>
  <c r="K1482" i="1"/>
  <c r="M1482" i="1"/>
  <c r="P1482" i="1"/>
  <c r="R1482" i="1"/>
  <c r="S1482" i="1"/>
  <c r="T1482" i="1"/>
  <c r="U1482" i="1"/>
  <c r="X1482" i="1"/>
  <c r="Y1482" i="1"/>
  <c r="Z1482" i="1"/>
  <c r="AA1482" i="1"/>
  <c r="AB1482" i="1"/>
  <c r="AC1482" i="1"/>
  <c r="AD1482" i="1"/>
  <c r="AE1482" i="1"/>
  <c r="AF1482" i="1"/>
  <c r="AG1482" i="1"/>
  <c r="AH1482" i="1"/>
  <c r="AI1482" i="1"/>
  <c r="AJ1482" i="1"/>
  <c r="AK1482" i="1"/>
  <c r="C1483" i="1"/>
  <c r="H1483" i="1"/>
  <c r="I1483" i="1"/>
  <c r="J1483" i="1"/>
  <c r="K1483" i="1"/>
  <c r="M1483" i="1"/>
  <c r="P1483" i="1"/>
  <c r="R1483" i="1"/>
  <c r="S1483" i="1"/>
  <c r="T1483" i="1"/>
  <c r="U1483" i="1"/>
  <c r="X1483" i="1"/>
  <c r="Y1483" i="1"/>
  <c r="Z1483" i="1"/>
  <c r="AA1483" i="1"/>
  <c r="AB1483" i="1"/>
  <c r="AC1483" i="1"/>
  <c r="AD1483" i="1"/>
  <c r="AE1483" i="1"/>
  <c r="AF1483" i="1"/>
  <c r="AG1483" i="1"/>
  <c r="AH1483" i="1"/>
  <c r="AI1483" i="1"/>
  <c r="AJ1483" i="1"/>
  <c r="AK1483" i="1"/>
  <c r="C1484" i="1"/>
  <c r="H1484" i="1"/>
  <c r="I1484" i="1"/>
  <c r="J1484" i="1"/>
  <c r="K1484" i="1"/>
  <c r="M1484" i="1"/>
  <c r="P1484" i="1"/>
  <c r="R1484" i="1"/>
  <c r="S1484" i="1"/>
  <c r="T1484" i="1"/>
  <c r="U1484" i="1"/>
  <c r="X1484" i="1"/>
  <c r="Y1484" i="1"/>
  <c r="Z1484" i="1"/>
  <c r="AA1484" i="1"/>
  <c r="AB1484" i="1"/>
  <c r="AC1484" i="1"/>
  <c r="AD1484" i="1"/>
  <c r="AE1484" i="1"/>
  <c r="AF1484" i="1"/>
  <c r="AG1484" i="1"/>
  <c r="AH1484" i="1"/>
  <c r="AI1484" i="1"/>
  <c r="AJ1484" i="1"/>
  <c r="AK1484" i="1"/>
  <c r="C1485" i="1"/>
  <c r="H1485" i="1"/>
  <c r="I1485" i="1"/>
  <c r="J1485" i="1"/>
  <c r="K1485" i="1"/>
  <c r="M1485" i="1"/>
  <c r="P1485" i="1"/>
  <c r="R1485" i="1"/>
  <c r="S1485" i="1"/>
  <c r="T1485" i="1"/>
  <c r="U1485" i="1"/>
  <c r="X1485" i="1"/>
  <c r="Y1485" i="1"/>
  <c r="Z1485" i="1"/>
  <c r="AA1485" i="1"/>
  <c r="AB1485" i="1"/>
  <c r="AC1485" i="1"/>
  <c r="AD1485" i="1"/>
  <c r="AE1485" i="1"/>
  <c r="AF1485" i="1"/>
  <c r="AG1485" i="1"/>
  <c r="AH1485" i="1"/>
  <c r="AI1485" i="1"/>
  <c r="AJ1485" i="1"/>
  <c r="AK1485" i="1"/>
  <c r="C1486" i="1"/>
  <c r="H1486" i="1"/>
  <c r="I1486" i="1"/>
  <c r="J1486" i="1"/>
  <c r="K1486" i="1"/>
  <c r="M1486" i="1"/>
  <c r="P1486" i="1"/>
  <c r="R1486" i="1"/>
  <c r="S1486" i="1"/>
  <c r="T1486" i="1"/>
  <c r="U1486" i="1"/>
  <c r="X1486" i="1"/>
  <c r="Y1486" i="1"/>
  <c r="Z1486" i="1"/>
  <c r="AA1486" i="1"/>
  <c r="AB1486" i="1"/>
  <c r="AC1486" i="1"/>
  <c r="AD1486" i="1"/>
  <c r="AE1486" i="1"/>
  <c r="AF1486" i="1"/>
  <c r="AG1486" i="1"/>
  <c r="AH1486" i="1"/>
  <c r="AI1486" i="1"/>
  <c r="AJ1486" i="1"/>
  <c r="AK1486" i="1"/>
  <c r="C1487" i="1"/>
  <c r="H1487" i="1"/>
  <c r="I1487" i="1"/>
  <c r="J1487" i="1"/>
  <c r="K1487" i="1"/>
  <c r="M1487" i="1"/>
  <c r="P1487" i="1"/>
  <c r="R1487" i="1"/>
  <c r="S1487" i="1"/>
  <c r="T1487" i="1"/>
  <c r="U1487" i="1"/>
  <c r="X1487" i="1"/>
  <c r="Y1487" i="1"/>
  <c r="Z1487" i="1"/>
  <c r="AA1487" i="1"/>
  <c r="AB1487" i="1"/>
  <c r="AC1487" i="1"/>
  <c r="AD1487" i="1"/>
  <c r="AE1487" i="1"/>
  <c r="AF1487" i="1"/>
  <c r="AG1487" i="1"/>
  <c r="AH1487" i="1"/>
  <c r="AI1487" i="1"/>
  <c r="AJ1487" i="1"/>
  <c r="AK1487" i="1"/>
  <c r="C1488" i="1"/>
  <c r="H1488" i="1"/>
  <c r="I1488" i="1"/>
  <c r="J1488" i="1"/>
  <c r="K1488" i="1"/>
  <c r="M1488" i="1"/>
  <c r="P1488" i="1"/>
  <c r="R1488" i="1"/>
  <c r="S1488" i="1"/>
  <c r="T1488" i="1"/>
  <c r="U1488" i="1"/>
  <c r="X1488" i="1"/>
  <c r="Y1488" i="1"/>
  <c r="Z1488" i="1"/>
  <c r="AA1488" i="1"/>
  <c r="AB1488" i="1"/>
  <c r="AC1488" i="1"/>
  <c r="AD1488" i="1"/>
  <c r="AE1488" i="1"/>
  <c r="AF1488" i="1"/>
  <c r="AG1488" i="1"/>
  <c r="AH1488" i="1"/>
  <c r="AI1488" i="1"/>
  <c r="AJ1488" i="1"/>
  <c r="AK1488" i="1"/>
  <c r="C1489" i="1"/>
  <c r="H1489" i="1"/>
  <c r="I1489" i="1"/>
  <c r="J1489" i="1"/>
  <c r="K1489" i="1"/>
  <c r="M1489" i="1"/>
  <c r="P1489" i="1"/>
  <c r="R1489" i="1"/>
  <c r="S1489" i="1"/>
  <c r="T1489" i="1"/>
  <c r="U1489" i="1"/>
  <c r="X1489" i="1"/>
  <c r="Y1489" i="1"/>
  <c r="Z1489" i="1"/>
  <c r="AA1489" i="1"/>
  <c r="AB1489" i="1"/>
  <c r="AC1489" i="1"/>
  <c r="AD1489" i="1"/>
  <c r="AE1489" i="1"/>
  <c r="AF1489" i="1"/>
  <c r="AG1489" i="1"/>
  <c r="AH1489" i="1"/>
  <c r="AI1489" i="1"/>
  <c r="AJ1489" i="1"/>
  <c r="AK1489" i="1"/>
  <c r="C1490" i="1"/>
  <c r="H1490" i="1"/>
  <c r="I1490" i="1"/>
  <c r="J1490" i="1"/>
  <c r="K1490" i="1"/>
  <c r="M1490" i="1"/>
  <c r="P1490" i="1"/>
  <c r="R1490" i="1"/>
  <c r="S1490" i="1"/>
  <c r="T1490" i="1"/>
  <c r="U1490" i="1"/>
  <c r="X1490" i="1"/>
  <c r="Y1490" i="1"/>
  <c r="Z1490" i="1"/>
  <c r="AA1490" i="1"/>
  <c r="AB1490" i="1"/>
  <c r="AC1490" i="1"/>
  <c r="AD1490" i="1"/>
  <c r="AE1490" i="1"/>
  <c r="AF1490" i="1"/>
  <c r="AG1490" i="1"/>
  <c r="AH1490" i="1"/>
  <c r="AI1490" i="1"/>
  <c r="AJ1490" i="1"/>
  <c r="AK1490" i="1"/>
  <c r="C1491" i="1"/>
  <c r="H1491" i="1"/>
  <c r="I1491" i="1"/>
  <c r="J1491" i="1"/>
  <c r="K1491" i="1"/>
  <c r="M1491" i="1"/>
  <c r="P1491" i="1"/>
  <c r="R1491" i="1"/>
  <c r="S1491" i="1"/>
  <c r="T1491" i="1"/>
  <c r="U1491" i="1"/>
  <c r="X1491" i="1"/>
  <c r="Y1491" i="1"/>
  <c r="Z1491" i="1"/>
  <c r="AA1491" i="1"/>
  <c r="AB1491" i="1"/>
  <c r="AC1491" i="1"/>
  <c r="AD1491" i="1"/>
  <c r="AE1491" i="1"/>
  <c r="AF1491" i="1"/>
  <c r="AG1491" i="1"/>
  <c r="AH1491" i="1"/>
  <c r="AI1491" i="1"/>
  <c r="AJ1491" i="1"/>
  <c r="AK1491" i="1"/>
  <c r="C1472" i="1"/>
  <c r="H1472" i="1"/>
  <c r="I1472" i="1"/>
  <c r="J1472" i="1"/>
  <c r="K1472" i="1"/>
  <c r="M1472" i="1"/>
  <c r="P1472" i="1"/>
  <c r="R1472" i="1"/>
  <c r="S1472" i="1"/>
  <c r="T1472" i="1"/>
  <c r="U1472" i="1"/>
  <c r="X1472" i="1"/>
  <c r="Y1472" i="1"/>
  <c r="Z1472" i="1"/>
  <c r="AA1472" i="1"/>
  <c r="AB1472" i="1"/>
  <c r="AC1472" i="1"/>
  <c r="AD1472" i="1"/>
  <c r="AE1472" i="1"/>
  <c r="AF1472" i="1"/>
  <c r="AG1472" i="1"/>
  <c r="AH1472" i="1"/>
  <c r="AI1472" i="1"/>
  <c r="AJ1472" i="1"/>
  <c r="AK1472" i="1"/>
  <c r="C1473" i="1"/>
  <c r="H1473" i="1"/>
  <c r="I1473" i="1"/>
  <c r="J1473" i="1"/>
  <c r="K1473" i="1"/>
  <c r="M1473" i="1"/>
  <c r="P1473" i="1"/>
  <c r="R1473" i="1"/>
  <c r="S1473" i="1"/>
  <c r="T1473" i="1"/>
  <c r="U1473" i="1"/>
  <c r="X1473" i="1"/>
  <c r="Y1473" i="1"/>
  <c r="Z1473" i="1"/>
  <c r="AA1473" i="1"/>
  <c r="AB1473" i="1"/>
  <c r="AC1473" i="1"/>
  <c r="AD1473" i="1"/>
  <c r="AE1473" i="1"/>
  <c r="AF1473" i="1"/>
  <c r="AG1473" i="1"/>
  <c r="AH1473" i="1"/>
  <c r="AI1473" i="1"/>
  <c r="AJ1473" i="1"/>
  <c r="AK1473" i="1"/>
  <c r="C1474" i="1"/>
  <c r="H1474" i="1"/>
  <c r="I1474" i="1"/>
  <c r="J1474" i="1"/>
  <c r="K1474" i="1"/>
  <c r="M1474" i="1"/>
  <c r="P1474" i="1"/>
  <c r="R1474" i="1"/>
  <c r="S1474" i="1"/>
  <c r="T1474" i="1"/>
  <c r="U1474" i="1"/>
  <c r="X1474" i="1"/>
  <c r="Y1474" i="1"/>
  <c r="Z1474" i="1"/>
  <c r="AA1474" i="1"/>
  <c r="AB1474" i="1"/>
  <c r="AC1474" i="1"/>
  <c r="AD1474" i="1"/>
  <c r="AE1474" i="1"/>
  <c r="AF1474" i="1"/>
  <c r="AG1474" i="1"/>
  <c r="AH1474" i="1"/>
  <c r="AI1474" i="1"/>
  <c r="AJ1474" i="1"/>
  <c r="AK1474" i="1"/>
  <c r="C1475" i="1"/>
  <c r="H1475" i="1"/>
  <c r="I1475" i="1"/>
  <c r="J1475" i="1"/>
  <c r="K1475" i="1"/>
  <c r="M1475" i="1"/>
  <c r="P1475" i="1"/>
  <c r="R1475" i="1"/>
  <c r="S1475" i="1"/>
  <c r="T1475" i="1"/>
  <c r="U1475" i="1"/>
  <c r="X1475" i="1"/>
  <c r="Y1475" i="1"/>
  <c r="Z1475" i="1"/>
  <c r="AA1475" i="1"/>
  <c r="AB1475" i="1"/>
  <c r="AC1475" i="1"/>
  <c r="AD1475" i="1"/>
  <c r="AE1475" i="1"/>
  <c r="AF1475" i="1"/>
  <c r="AG1475" i="1"/>
  <c r="AH1475" i="1"/>
  <c r="AI1475" i="1"/>
  <c r="AJ1475" i="1"/>
  <c r="AK1475" i="1"/>
  <c r="C1476" i="1"/>
  <c r="H1476" i="1"/>
  <c r="I1476" i="1"/>
  <c r="J1476" i="1"/>
  <c r="K1476" i="1"/>
  <c r="M1476" i="1"/>
  <c r="P1476" i="1"/>
  <c r="R1476" i="1"/>
  <c r="S1476" i="1"/>
  <c r="T1476" i="1"/>
  <c r="U1476" i="1"/>
  <c r="X1476" i="1"/>
  <c r="Y1476" i="1"/>
  <c r="Z1476" i="1"/>
  <c r="AA1476" i="1"/>
  <c r="AB1476" i="1"/>
  <c r="AC1476" i="1"/>
  <c r="AD1476" i="1"/>
  <c r="AE1476" i="1"/>
  <c r="AF1476" i="1"/>
  <c r="AG1476" i="1"/>
  <c r="AH1476" i="1"/>
  <c r="AI1476" i="1"/>
  <c r="AJ1476" i="1"/>
  <c r="AK1476" i="1"/>
  <c r="C1477" i="1"/>
  <c r="H1477" i="1"/>
  <c r="I1477" i="1"/>
  <c r="J1477" i="1"/>
  <c r="K1477" i="1"/>
  <c r="M1477" i="1"/>
  <c r="P1477" i="1"/>
  <c r="R1477" i="1"/>
  <c r="S1477" i="1"/>
  <c r="T1477" i="1"/>
  <c r="U1477" i="1"/>
  <c r="X1477" i="1"/>
  <c r="Y1477" i="1"/>
  <c r="Z1477" i="1"/>
  <c r="AA1477" i="1"/>
  <c r="AB1477" i="1"/>
  <c r="AC1477" i="1"/>
  <c r="AD1477" i="1"/>
  <c r="AE1477" i="1"/>
  <c r="AF1477" i="1"/>
  <c r="AG1477" i="1"/>
  <c r="AH1477" i="1"/>
  <c r="AI1477" i="1"/>
  <c r="AJ1477" i="1"/>
  <c r="AK1477" i="1"/>
  <c r="C1478" i="1"/>
  <c r="H1478" i="1"/>
  <c r="I1478" i="1"/>
  <c r="J1478" i="1"/>
  <c r="K1478" i="1"/>
  <c r="M1478" i="1"/>
  <c r="P1478" i="1"/>
  <c r="R1478" i="1"/>
  <c r="S1478" i="1"/>
  <c r="T1478" i="1"/>
  <c r="U1478" i="1"/>
  <c r="X1478" i="1"/>
  <c r="Y1478" i="1"/>
  <c r="Z1478" i="1"/>
  <c r="AA1478" i="1"/>
  <c r="AB1478" i="1"/>
  <c r="AC1478" i="1"/>
  <c r="AD1478" i="1"/>
  <c r="AE1478" i="1"/>
  <c r="AF1478" i="1"/>
  <c r="AG1478" i="1"/>
  <c r="AH1478" i="1"/>
  <c r="AI1478" i="1"/>
  <c r="AJ1478" i="1"/>
  <c r="AK1478" i="1"/>
  <c r="C1479" i="1"/>
  <c r="H1479" i="1"/>
  <c r="I1479" i="1"/>
  <c r="J1479" i="1"/>
  <c r="K1479" i="1"/>
  <c r="M1479" i="1"/>
  <c r="P1479" i="1"/>
  <c r="R1479" i="1"/>
  <c r="S1479" i="1"/>
  <c r="T1479" i="1"/>
  <c r="U1479" i="1"/>
  <c r="X1479" i="1"/>
  <c r="Y1479" i="1"/>
  <c r="Z1479" i="1"/>
  <c r="AA1479" i="1"/>
  <c r="AB1479" i="1"/>
  <c r="AC1479" i="1"/>
  <c r="AD1479" i="1"/>
  <c r="AE1479" i="1"/>
  <c r="AF1479" i="1"/>
  <c r="AG1479" i="1"/>
  <c r="AH1479" i="1"/>
  <c r="AI1479" i="1"/>
  <c r="AJ1479" i="1"/>
  <c r="AK1479" i="1"/>
  <c r="C1480" i="1"/>
  <c r="H1480" i="1"/>
  <c r="I1480" i="1"/>
  <c r="J1480" i="1"/>
  <c r="K1480" i="1"/>
  <c r="M1480" i="1"/>
  <c r="P1480" i="1"/>
  <c r="R1480" i="1"/>
  <c r="S1480" i="1"/>
  <c r="T1480" i="1"/>
  <c r="U1480" i="1"/>
  <c r="X1480" i="1"/>
  <c r="Y1480" i="1"/>
  <c r="Z1480" i="1"/>
  <c r="AA1480" i="1"/>
  <c r="AB1480" i="1"/>
  <c r="AC1480" i="1"/>
  <c r="AD1480" i="1"/>
  <c r="AE1480" i="1"/>
  <c r="AF1480" i="1"/>
  <c r="AG1480" i="1"/>
  <c r="AH1480" i="1"/>
  <c r="AI1480" i="1"/>
  <c r="AJ1480" i="1"/>
  <c r="AK1480" i="1"/>
  <c r="C1481" i="1"/>
  <c r="H1481" i="1"/>
  <c r="I1481" i="1"/>
  <c r="J1481" i="1"/>
  <c r="K1481" i="1"/>
  <c r="M1481" i="1"/>
  <c r="P1481" i="1"/>
  <c r="R1481" i="1"/>
  <c r="S1481" i="1"/>
  <c r="T1481" i="1"/>
  <c r="U1481" i="1"/>
  <c r="X1481" i="1"/>
  <c r="Y1481" i="1"/>
  <c r="Z1481" i="1"/>
  <c r="AA1481" i="1"/>
  <c r="AB1481" i="1"/>
  <c r="AC1481" i="1"/>
  <c r="AD1481" i="1"/>
  <c r="AE1481" i="1"/>
  <c r="AF1481" i="1"/>
  <c r="AG1481" i="1"/>
  <c r="AH1481" i="1"/>
  <c r="AI1481" i="1"/>
  <c r="AJ1481" i="1"/>
  <c r="AK1481" i="1"/>
  <c r="C1462" i="1"/>
  <c r="H1462" i="1"/>
  <c r="I1462" i="1"/>
  <c r="J1462" i="1"/>
  <c r="K1462" i="1"/>
  <c r="M1462" i="1"/>
  <c r="P1462" i="1"/>
  <c r="R1462" i="1"/>
  <c r="S1462" i="1"/>
  <c r="T1462" i="1"/>
  <c r="U1462" i="1"/>
  <c r="X1462" i="1"/>
  <c r="Y1462" i="1"/>
  <c r="Z1462" i="1"/>
  <c r="AA1462" i="1"/>
  <c r="AB1462" i="1"/>
  <c r="AC1462" i="1"/>
  <c r="AD1462" i="1"/>
  <c r="AE1462" i="1"/>
  <c r="AF1462" i="1"/>
  <c r="AG1462" i="1"/>
  <c r="AH1462" i="1"/>
  <c r="AI1462" i="1"/>
  <c r="AJ1462" i="1"/>
  <c r="AK1462" i="1"/>
  <c r="C1463" i="1"/>
  <c r="H1463" i="1"/>
  <c r="I1463" i="1"/>
  <c r="J1463" i="1"/>
  <c r="K1463" i="1"/>
  <c r="M1463" i="1"/>
  <c r="P1463" i="1"/>
  <c r="R1463" i="1"/>
  <c r="S1463" i="1"/>
  <c r="T1463" i="1"/>
  <c r="U1463" i="1"/>
  <c r="X1463" i="1"/>
  <c r="Y1463" i="1"/>
  <c r="Z1463" i="1"/>
  <c r="AA1463" i="1"/>
  <c r="AB1463" i="1"/>
  <c r="AC1463" i="1"/>
  <c r="AD1463" i="1"/>
  <c r="AE1463" i="1"/>
  <c r="AF1463" i="1"/>
  <c r="AG1463" i="1"/>
  <c r="AH1463" i="1"/>
  <c r="AI1463" i="1"/>
  <c r="AJ1463" i="1"/>
  <c r="AK1463" i="1"/>
  <c r="C1464" i="1"/>
  <c r="H1464" i="1"/>
  <c r="I1464" i="1"/>
  <c r="J1464" i="1"/>
  <c r="K1464" i="1"/>
  <c r="M1464" i="1"/>
  <c r="P1464" i="1"/>
  <c r="R1464" i="1"/>
  <c r="S1464" i="1"/>
  <c r="T1464" i="1"/>
  <c r="U1464" i="1"/>
  <c r="X1464" i="1"/>
  <c r="Y1464" i="1"/>
  <c r="Z1464" i="1"/>
  <c r="AA1464" i="1"/>
  <c r="AB1464" i="1"/>
  <c r="AC1464" i="1"/>
  <c r="AD1464" i="1"/>
  <c r="AE1464" i="1"/>
  <c r="AF1464" i="1"/>
  <c r="AG1464" i="1"/>
  <c r="AH1464" i="1"/>
  <c r="AI1464" i="1"/>
  <c r="AJ1464" i="1"/>
  <c r="AK1464" i="1"/>
  <c r="C1465" i="1"/>
  <c r="H1465" i="1"/>
  <c r="I1465" i="1"/>
  <c r="J1465" i="1"/>
  <c r="K1465" i="1"/>
  <c r="M1465" i="1"/>
  <c r="P1465" i="1"/>
  <c r="R1465" i="1"/>
  <c r="S1465" i="1"/>
  <c r="T1465" i="1"/>
  <c r="U1465" i="1"/>
  <c r="X1465" i="1"/>
  <c r="Y1465" i="1"/>
  <c r="Z1465" i="1"/>
  <c r="AA1465" i="1"/>
  <c r="AB1465" i="1"/>
  <c r="AC1465" i="1"/>
  <c r="AD1465" i="1"/>
  <c r="AE1465" i="1"/>
  <c r="AF1465" i="1"/>
  <c r="AG1465" i="1"/>
  <c r="AH1465" i="1"/>
  <c r="AI1465" i="1"/>
  <c r="AJ1465" i="1"/>
  <c r="AK1465" i="1"/>
  <c r="C1466" i="1"/>
  <c r="H1466" i="1"/>
  <c r="I1466" i="1"/>
  <c r="J1466" i="1"/>
  <c r="K1466" i="1"/>
  <c r="M1466" i="1"/>
  <c r="P1466" i="1"/>
  <c r="R1466" i="1"/>
  <c r="S1466" i="1"/>
  <c r="T1466" i="1"/>
  <c r="U1466" i="1"/>
  <c r="X1466" i="1"/>
  <c r="Y1466" i="1"/>
  <c r="Z1466" i="1"/>
  <c r="AA1466" i="1"/>
  <c r="AB1466" i="1"/>
  <c r="AC1466" i="1"/>
  <c r="AD1466" i="1"/>
  <c r="AE1466" i="1"/>
  <c r="AF1466" i="1"/>
  <c r="AG1466" i="1"/>
  <c r="AH1466" i="1"/>
  <c r="AI1466" i="1"/>
  <c r="AJ1466" i="1"/>
  <c r="AK1466" i="1"/>
  <c r="C1467" i="1"/>
  <c r="H1467" i="1"/>
  <c r="I1467" i="1"/>
  <c r="J1467" i="1"/>
  <c r="K1467" i="1"/>
  <c r="M1467" i="1"/>
  <c r="P1467" i="1"/>
  <c r="R1467" i="1"/>
  <c r="S1467" i="1"/>
  <c r="T1467" i="1"/>
  <c r="U1467" i="1"/>
  <c r="X1467" i="1"/>
  <c r="Y1467" i="1"/>
  <c r="Z1467" i="1"/>
  <c r="AA1467" i="1"/>
  <c r="AB1467" i="1"/>
  <c r="AC1467" i="1"/>
  <c r="AD1467" i="1"/>
  <c r="AE1467" i="1"/>
  <c r="AF1467" i="1"/>
  <c r="AG1467" i="1"/>
  <c r="AH1467" i="1"/>
  <c r="AI1467" i="1"/>
  <c r="AJ1467" i="1"/>
  <c r="AK1467" i="1"/>
  <c r="C1468" i="1"/>
  <c r="H1468" i="1"/>
  <c r="I1468" i="1"/>
  <c r="J1468" i="1"/>
  <c r="K1468" i="1"/>
  <c r="M1468" i="1"/>
  <c r="P1468" i="1"/>
  <c r="R1468" i="1"/>
  <c r="S1468" i="1"/>
  <c r="T1468" i="1"/>
  <c r="U1468" i="1"/>
  <c r="X1468" i="1"/>
  <c r="Y1468" i="1"/>
  <c r="Z1468" i="1"/>
  <c r="AA1468" i="1"/>
  <c r="AB1468" i="1"/>
  <c r="AC1468" i="1"/>
  <c r="AD1468" i="1"/>
  <c r="AE1468" i="1"/>
  <c r="AF1468" i="1"/>
  <c r="AG1468" i="1"/>
  <c r="AH1468" i="1"/>
  <c r="AI1468" i="1"/>
  <c r="AJ1468" i="1"/>
  <c r="AK1468" i="1"/>
  <c r="C1469" i="1"/>
  <c r="H1469" i="1"/>
  <c r="I1469" i="1"/>
  <c r="J1469" i="1"/>
  <c r="K1469" i="1"/>
  <c r="M1469" i="1"/>
  <c r="P1469" i="1"/>
  <c r="R1469" i="1"/>
  <c r="S1469" i="1"/>
  <c r="T1469" i="1"/>
  <c r="U1469" i="1"/>
  <c r="X1469" i="1"/>
  <c r="Y1469" i="1"/>
  <c r="Z1469" i="1"/>
  <c r="AA1469" i="1"/>
  <c r="AB1469" i="1"/>
  <c r="AC1469" i="1"/>
  <c r="AD1469" i="1"/>
  <c r="AE1469" i="1"/>
  <c r="AF1469" i="1"/>
  <c r="AG1469" i="1"/>
  <c r="AH1469" i="1"/>
  <c r="AI1469" i="1"/>
  <c r="AJ1469" i="1"/>
  <c r="AK1469" i="1"/>
  <c r="C1470" i="1"/>
  <c r="H1470" i="1"/>
  <c r="I1470" i="1"/>
  <c r="J1470" i="1"/>
  <c r="K1470" i="1"/>
  <c r="M1470" i="1"/>
  <c r="P1470" i="1"/>
  <c r="R1470" i="1"/>
  <c r="S1470" i="1"/>
  <c r="T1470" i="1"/>
  <c r="U1470" i="1"/>
  <c r="X1470" i="1"/>
  <c r="Y1470" i="1"/>
  <c r="Z1470" i="1"/>
  <c r="AA1470" i="1"/>
  <c r="AB1470" i="1"/>
  <c r="AC1470" i="1"/>
  <c r="AD1470" i="1"/>
  <c r="AE1470" i="1"/>
  <c r="AF1470" i="1"/>
  <c r="AG1470" i="1"/>
  <c r="AH1470" i="1"/>
  <c r="AI1470" i="1"/>
  <c r="AJ1470" i="1"/>
  <c r="AK1470" i="1"/>
  <c r="C1471" i="1"/>
  <c r="H1471" i="1"/>
  <c r="I1471" i="1"/>
  <c r="J1471" i="1"/>
  <c r="K1471" i="1"/>
  <c r="M1471" i="1"/>
  <c r="P1471" i="1"/>
  <c r="R1471" i="1"/>
  <c r="S1471" i="1"/>
  <c r="T1471" i="1"/>
  <c r="U1471" i="1"/>
  <c r="X1471" i="1"/>
  <c r="Y1471" i="1"/>
  <c r="Z1471" i="1"/>
  <c r="AA1471" i="1"/>
  <c r="AB1471" i="1"/>
  <c r="AC1471" i="1"/>
  <c r="AD1471" i="1"/>
  <c r="AE1471" i="1"/>
  <c r="AF1471" i="1"/>
  <c r="AG1471" i="1"/>
  <c r="AH1471" i="1"/>
  <c r="AI1471" i="1"/>
  <c r="AJ1471" i="1"/>
  <c r="AK1471" i="1"/>
  <c r="C1452" i="1"/>
  <c r="H1452" i="1"/>
  <c r="I1452" i="1"/>
  <c r="J1452" i="1"/>
  <c r="K1452" i="1"/>
  <c r="M1452" i="1"/>
  <c r="P1452" i="1"/>
  <c r="R1452" i="1"/>
  <c r="S1452" i="1"/>
  <c r="T1452" i="1"/>
  <c r="U1452" i="1"/>
  <c r="X1452" i="1"/>
  <c r="Y1452" i="1"/>
  <c r="Z1452" i="1"/>
  <c r="AA1452" i="1"/>
  <c r="AB1452" i="1"/>
  <c r="AC1452" i="1"/>
  <c r="AD1452" i="1"/>
  <c r="AE1452" i="1"/>
  <c r="AF1452" i="1"/>
  <c r="AG1452" i="1"/>
  <c r="AH1452" i="1"/>
  <c r="AI1452" i="1"/>
  <c r="AJ1452" i="1"/>
  <c r="AK1452" i="1"/>
  <c r="C1453" i="1"/>
  <c r="H1453" i="1"/>
  <c r="I1453" i="1"/>
  <c r="J1453" i="1"/>
  <c r="K1453" i="1"/>
  <c r="M1453" i="1"/>
  <c r="P1453" i="1"/>
  <c r="R1453" i="1"/>
  <c r="S1453" i="1"/>
  <c r="T1453" i="1"/>
  <c r="U1453" i="1"/>
  <c r="X1453" i="1"/>
  <c r="Y1453" i="1"/>
  <c r="Z1453" i="1"/>
  <c r="AA1453" i="1"/>
  <c r="AB1453" i="1"/>
  <c r="AC1453" i="1"/>
  <c r="AD1453" i="1"/>
  <c r="AE1453" i="1"/>
  <c r="AF1453" i="1"/>
  <c r="AG1453" i="1"/>
  <c r="AH1453" i="1"/>
  <c r="AI1453" i="1"/>
  <c r="AJ1453" i="1"/>
  <c r="AK1453" i="1"/>
  <c r="C1454" i="1"/>
  <c r="H1454" i="1"/>
  <c r="I1454" i="1"/>
  <c r="J1454" i="1"/>
  <c r="K1454" i="1"/>
  <c r="M1454" i="1"/>
  <c r="P1454" i="1"/>
  <c r="R1454" i="1"/>
  <c r="S1454" i="1"/>
  <c r="T1454" i="1"/>
  <c r="U1454" i="1"/>
  <c r="X1454" i="1"/>
  <c r="Y1454" i="1"/>
  <c r="Z1454" i="1"/>
  <c r="AA1454" i="1"/>
  <c r="AB1454" i="1"/>
  <c r="AC1454" i="1"/>
  <c r="AD1454" i="1"/>
  <c r="AE1454" i="1"/>
  <c r="AF1454" i="1"/>
  <c r="AG1454" i="1"/>
  <c r="AH1454" i="1"/>
  <c r="AI1454" i="1"/>
  <c r="AJ1454" i="1"/>
  <c r="AK1454" i="1"/>
  <c r="C1455" i="1"/>
  <c r="H1455" i="1"/>
  <c r="I1455" i="1"/>
  <c r="J1455" i="1"/>
  <c r="K1455" i="1"/>
  <c r="M1455" i="1"/>
  <c r="P1455" i="1"/>
  <c r="R1455" i="1"/>
  <c r="S1455" i="1"/>
  <c r="T1455" i="1"/>
  <c r="U1455" i="1"/>
  <c r="X1455" i="1"/>
  <c r="Y1455" i="1"/>
  <c r="Z1455" i="1"/>
  <c r="AA1455" i="1"/>
  <c r="AB1455" i="1"/>
  <c r="AC1455" i="1"/>
  <c r="AD1455" i="1"/>
  <c r="AE1455" i="1"/>
  <c r="AF1455" i="1"/>
  <c r="AG1455" i="1"/>
  <c r="AH1455" i="1"/>
  <c r="AI1455" i="1"/>
  <c r="AJ1455" i="1"/>
  <c r="AK1455" i="1"/>
  <c r="C1456" i="1"/>
  <c r="H1456" i="1"/>
  <c r="I1456" i="1"/>
  <c r="J1456" i="1"/>
  <c r="K1456" i="1"/>
  <c r="M1456" i="1"/>
  <c r="P1456" i="1"/>
  <c r="R1456" i="1"/>
  <c r="S1456" i="1"/>
  <c r="T1456" i="1"/>
  <c r="U1456" i="1"/>
  <c r="X1456" i="1"/>
  <c r="Y1456" i="1"/>
  <c r="Z1456" i="1"/>
  <c r="AA1456" i="1"/>
  <c r="AB1456" i="1"/>
  <c r="AC1456" i="1"/>
  <c r="AD1456" i="1"/>
  <c r="AE1456" i="1"/>
  <c r="AF1456" i="1"/>
  <c r="AG1456" i="1"/>
  <c r="AH1456" i="1"/>
  <c r="AI1456" i="1"/>
  <c r="AJ1456" i="1"/>
  <c r="AK1456" i="1"/>
  <c r="C1457" i="1"/>
  <c r="H1457" i="1"/>
  <c r="I1457" i="1"/>
  <c r="J1457" i="1"/>
  <c r="K1457" i="1"/>
  <c r="M1457" i="1"/>
  <c r="P1457" i="1"/>
  <c r="R1457" i="1"/>
  <c r="S1457" i="1"/>
  <c r="T1457" i="1"/>
  <c r="U1457" i="1"/>
  <c r="X1457" i="1"/>
  <c r="Y1457" i="1"/>
  <c r="Z1457" i="1"/>
  <c r="AA1457" i="1"/>
  <c r="AB1457" i="1"/>
  <c r="AC1457" i="1"/>
  <c r="AD1457" i="1"/>
  <c r="AE1457" i="1"/>
  <c r="AF1457" i="1"/>
  <c r="AG1457" i="1"/>
  <c r="AH1457" i="1"/>
  <c r="AI1457" i="1"/>
  <c r="AJ1457" i="1"/>
  <c r="AK1457" i="1"/>
  <c r="C1458" i="1"/>
  <c r="H1458" i="1"/>
  <c r="I1458" i="1"/>
  <c r="J1458" i="1"/>
  <c r="K1458" i="1"/>
  <c r="M1458" i="1"/>
  <c r="P1458" i="1"/>
  <c r="R1458" i="1"/>
  <c r="S1458" i="1"/>
  <c r="T1458" i="1"/>
  <c r="U1458" i="1"/>
  <c r="X1458" i="1"/>
  <c r="Y1458" i="1"/>
  <c r="Z1458" i="1"/>
  <c r="AA1458" i="1"/>
  <c r="AB1458" i="1"/>
  <c r="AC1458" i="1"/>
  <c r="AD1458" i="1"/>
  <c r="AE1458" i="1"/>
  <c r="AF1458" i="1"/>
  <c r="AG1458" i="1"/>
  <c r="AH1458" i="1"/>
  <c r="AI1458" i="1"/>
  <c r="AJ1458" i="1"/>
  <c r="AK1458" i="1"/>
  <c r="C1459" i="1"/>
  <c r="H1459" i="1"/>
  <c r="I1459" i="1"/>
  <c r="J1459" i="1"/>
  <c r="K1459" i="1"/>
  <c r="M1459" i="1"/>
  <c r="P1459" i="1"/>
  <c r="R1459" i="1"/>
  <c r="S1459" i="1"/>
  <c r="T1459" i="1"/>
  <c r="U1459" i="1"/>
  <c r="X1459" i="1"/>
  <c r="Y1459" i="1"/>
  <c r="Z1459" i="1"/>
  <c r="AA1459" i="1"/>
  <c r="AB1459" i="1"/>
  <c r="AC1459" i="1"/>
  <c r="AD1459" i="1"/>
  <c r="AE1459" i="1"/>
  <c r="AF1459" i="1"/>
  <c r="AG1459" i="1"/>
  <c r="AH1459" i="1"/>
  <c r="AI1459" i="1"/>
  <c r="AJ1459" i="1"/>
  <c r="AK1459" i="1"/>
  <c r="C1460" i="1"/>
  <c r="H1460" i="1"/>
  <c r="I1460" i="1"/>
  <c r="J1460" i="1"/>
  <c r="K1460" i="1"/>
  <c r="M1460" i="1"/>
  <c r="P1460" i="1"/>
  <c r="R1460" i="1"/>
  <c r="S1460" i="1"/>
  <c r="T1460" i="1"/>
  <c r="U1460" i="1"/>
  <c r="X1460" i="1"/>
  <c r="Y1460" i="1"/>
  <c r="Z1460" i="1"/>
  <c r="AA1460" i="1"/>
  <c r="AB1460" i="1"/>
  <c r="AC1460" i="1"/>
  <c r="AD1460" i="1"/>
  <c r="AE1460" i="1"/>
  <c r="AF1460" i="1"/>
  <c r="AG1460" i="1"/>
  <c r="AH1460" i="1"/>
  <c r="AI1460" i="1"/>
  <c r="AJ1460" i="1"/>
  <c r="AK1460" i="1"/>
  <c r="C1461" i="1"/>
  <c r="H1461" i="1"/>
  <c r="I1461" i="1"/>
  <c r="J1461" i="1"/>
  <c r="K1461" i="1"/>
  <c r="M1461" i="1"/>
  <c r="P1461" i="1"/>
  <c r="R1461" i="1"/>
  <c r="S1461" i="1"/>
  <c r="T1461" i="1"/>
  <c r="U1461" i="1"/>
  <c r="X1461" i="1"/>
  <c r="Y1461" i="1"/>
  <c r="Z1461" i="1"/>
  <c r="AA1461" i="1"/>
  <c r="AB1461" i="1"/>
  <c r="AC1461" i="1"/>
  <c r="AD1461" i="1"/>
  <c r="AE1461" i="1"/>
  <c r="AF1461" i="1"/>
  <c r="AG1461" i="1"/>
  <c r="AH1461" i="1"/>
  <c r="AI1461" i="1"/>
  <c r="AJ1461" i="1"/>
  <c r="AK1461" i="1"/>
  <c r="C1442" i="1"/>
  <c r="H1442" i="1"/>
  <c r="I1442" i="1"/>
  <c r="J1442" i="1"/>
  <c r="K1442" i="1"/>
  <c r="M1442" i="1"/>
  <c r="P1442" i="1"/>
  <c r="R1442" i="1"/>
  <c r="S1442" i="1"/>
  <c r="T1442" i="1"/>
  <c r="U1442" i="1"/>
  <c r="X1442" i="1"/>
  <c r="Y1442" i="1"/>
  <c r="Z1442" i="1"/>
  <c r="AA1442" i="1"/>
  <c r="AB1442" i="1"/>
  <c r="AC1442" i="1"/>
  <c r="AD1442" i="1"/>
  <c r="AE1442" i="1"/>
  <c r="AF1442" i="1"/>
  <c r="AG1442" i="1"/>
  <c r="AH1442" i="1"/>
  <c r="AI1442" i="1"/>
  <c r="AJ1442" i="1"/>
  <c r="AK1442" i="1"/>
  <c r="C1443" i="1"/>
  <c r="H1443" i="1"/>
  <c r="I1443" i="1"/>
  <c r="J1443" i="1"/>
  <c r="K1443" i="1"/>
  <c r="M1443" i="1"/>
  <c r="P1443" i="1"/>
  <c r="R1443" i="1"/>
  <c r="S1443" i="1"/>
  <c r="T1443" i="1"/>
  <c r="U1443" i="1"/>
  <c r="X1443" i="1"/>
  <c r="Y1443" i="1"/>
  <c r="Z1443" i="1"/>
  <c r="AA1443" i="1"/>
  <c r="AB1443" i="1"/>
  <c r="AC1443" i="1"/>
  <c r="AD1443" i="1"/>
  <c r="AE1443" i="1"/>
  <c r="AF1443" i="1"/>
  <c r="AG1443" i="1"/>
  <c r="AH1443" i="1"/>
  <c r="AI1443" i="1"/>
  <c r="AJ1443" i="1"/>
  <c r="AK1443" i="1"/>
  <c r="C1444" i="1"/>
  <c r="H1444" i="1"/>
  <c r="I1444" i="1"/>
  <c r="J1444" i="1"/>
  <c r="K1444" i="1"/>
  <c r="M1444" i="1"/>
  <c r="P1444" i="1"/>
  <c r="R1444" i="1"/>
  <c r="S1444" i="1"/>
  <c r="T1444" i="1"/>
  <c r="U1444" i="1"/>
  <c r="X1444" i="1"/>
  <c r="Y1444" i="1"/>
  <c r="Z1444" i="1"/>
  <c r="AA1444" i="1"/>
  <c r="AB1444" i="1"/>
  <c r="AC1444" i="1"/>
  <c r="AD1444" i="1"/>
  <c r="AE1444" i="1"/>
  <c r="AF1444" i="1"/>
  <c r="AG1444" i="1"/>
  <c r="AH1444" i="1"/>
  <c r="AI1444" i="1"/>
  <c r="AJ1444" i="1"/>
  <c r="AK1444" i="1"/>
  <c r="C1445" i="1"/>
  <c r="H1445" i="1"/>
  <c r="I1445" i="1"/>
  <c r="J1445" i="1"/>
  <c r="K1445" i="1"/>
  <c r="M1445" i="1"/>
  <c r="P1445" i="1"/>
  <c r="R1445" i="1"/>
  <c r="S1445" i="1"/>
  <c r="T1445" i="1"/>
  <c r="U1445" i="1"/>
  <c r="X1445" i="1"/>
  <c r="Y1445" i="1"/>
  <c r="Z1445" i="1"/>
  <c r="AA1445" i="1"/>
  <c r="AB1445" i="1"/>
  <c r="AC1445" i="1"/>
  <c r="AD1445" i="1"/>
  <c r="AE1445" i="1"/>
  <c r="AF1445" i="1"/>
  <c r="AG1445" i="1"/>
  <c r="AH1445" i="1"/>
  <c r="AI1445" i="1"/>
  <c r="AJ1445" i="1"/>
  <c r="AK1445" i="1"/>
  <c r="C1446" i="1"/>
  <c r="H1446" i="1"/>
  <c r="I1446" i="1"/>
  <c r="J1446" i="1"/>
  <c r="K1446" i="1"/>
  <c r="M1446" i="1"/>
  <c r="P1446" i="1"/>
  <c r="R1446" i="1"/>
  <c r="S1446" i="1"/>
  <c r="T1446" i="1"/>
  <c r="U1446" i="1"/>
  <c r="X1446" i="1"/>
  <c r="Y1446" i="1"/>
  <c r="Z1446" i="1"/>
  <c r="AA1446" i="1"/>
  <c r="AB1446" i="1"/>
  <c r="AC1446" i="1"/>
  <c r="AD1446" i="1"/>
  <c r="AE1446" i="1"/>
  <c r="AF1446" i="1"/>
  <c r="AG1446" i="1"/>
  <c r="AH1446" i="1"/>
  <c r="AI1446" i="1"/>
  <c r="AJ1446" i="1"/>
  <c r="AK1446" i="1"/>
  <c r="C1447" i="1"/>
  <c r="H1447" i="1"/>
  <c r="I1447" i="1"/>
  <c r="J1447" i="1"/>
  <c r="K1447" i="1"/>
  <c r="M1447" i="1"/>
  <c r="P1447" i="1"/>
  <c r="R1447" i="1"/>
  <c r="S1447" i="1"/>
  <c r="T1447" i="1"/>
  <c r="U1447" i="1"/>
  <c r="X1447" i="1"/>
  <c r="Y1447" i="1"/>
  <c r="Z1447" i="1"/>
  <c r="AA1447" i="1"/>
  <c r="AB1447" i="1"/>
  <c r="AC1447" i="1"/>
  <c r="AD1447" i="1"/>
  <c r="AE1447" i="1"/>
  <c r="AF1447" i="1"/>
  <c r="AG1447" i="1"/>
  <c r="AH1447" i="1"/>
  <c r="AI1447" i="1"/>
  <c r="AJ1447" i="1"/>
  <c r="AK1447" i="1"/>
  <c r="C1448" i="1"/>
  <c r="H1448" i="1"/>
  <c r="I1448" i="1"/>
  <c r="J1448" i="1"/>
  <c r="K1448" i="1"/>
  <c r="M1448" i="1"/>
  <c r="P1448" i="1"/>
  <c r="R1448" i="1"/>
  <c r="S1448" i="1"/>
  <c r="T1448" i="1"/>
  <c r="U1448" i="1"/>
  <c r="X1448" i="1"/>
  <c r="Y1448" i="1"/>
  <c r="Z1448" i="1"/>
  <c r="AA1448" i="1"/>
  <c r="AB1448" i="1"/>
  <c r="AC1448" i="1"/>
  <c r="AD1448" i="1"/>
  <c r="AE1448" i="1"/>
  <c r="AF1448" i="1"/>
  <c r="AG1448" i="1"/>
  <c r="AH1448" i="1"/>
  <c r="AI1448" i="1"/>
  <c r="AJ1448" i="1"/>
  <c r="AK1448" i="1"/>
  <c r="C1449" i="1"/>
  <c r="H1449" i="1"/>
  <c r="I1449" i="1"/>
  <c r="J1449" i="1"/>
  <c r="K1449" i="1"/>
  <c r="M1449" i="1"/>
  <c r="P1449" i="1"/>
  <c r="R1449" i="1"/>
  <c r="S1449" i="1"/>
  <c r="T1449" i="1"/>
  <c r="U1449" i="1"/>
  <c r="X1449" i="1"/>
  <c r="Y1449" i="1"/>
  <c r="Z1449" i="1"/>
  <c r="AA1449" i="1"/>
  <c r="AB1449" i="1"/>
  <c r="AC1449" i="1"/>
  <c r="AD1449" i="1"/>
  <c r="AE1449" i="1"/>
  <c r="AF1449" i="1"/>
  <c r="AG1449" i="1"/>
  <c r="AH1449" i="1"/>
  <c r="AI1449" i="1"/>
  <c r="AJ1449" i="1"/>
  <c r="AK1449" i="1"/>
  <c r="C1450" i="1"/>
  <c r="H1450" i="1"/>
  <c r="I1450" i="1"/>
  <c r="J1450" i="1"/>
  <c r="K1450" i="1"/>
  <c r="M1450" i="1"/>
  <c r="P1450" i="1"/>
  <c r="R1450" i="1"/>
  <c r="S1450" i="1"/>
  <c r="T1450" i="1"/>
  <c r="U1450" i="1"/>
  <c r="X1450" i="1"/>
  <c r="Y1450" i="1"/>
  <c r="Z1450" i="1"/>
  <c r="AA1450" i="1"/>
  <c r="AB1450" i="1"/>
  <c r="AC1450" i="1"/>
  <c r="AD1450" i="1"/>
  <c r="AE1450" i="1"/>
  <c r="AF1450" i="1"/>
  <c r="AG1450" i="1"/>
  <c r="AH1450" i="1"/>
  <c r="AI1450" i="1"/>
  <c r="AJ1450" i="1"/>
  <c r="AK1450" i="1"/>
  <c r="C1451" i="1"/>
  <c r="H1451" i="1"/>
  <c r="I1451" i="1"/>
  <c r="J1451" i="1"/>
  <c r="K1451" i="1"/>
  <c r="M1451" i="1"/>
  <c r="P1451" i="1"/>
  <c r="R1451" i="1"/>
  <c r="S1451" i="1"/>
  <c r="T1451" i="1"/>
  <c r="U1451" i="1"/>
  <c r="X1451" i="1"/>
  <c r="Y1451" i="1"/>
  <c r="Z1451" i="1"/>
  <c r="AA1451" i="1"/>
  <c r="AB1451" i="1"/>
  <c r="AC1451" i="1"/>
  <c r="AD1451" i="1"/>
  <c r="AE1451" i="1"/>
  <c r="AF1451" i="1"/>
  <c r="AG1451" i="1"/>
  <c r="AH1451" i="1"/>
  <c r="AI1451" i="1"/>
  <c r="AJ1451" i="1"/>
  <c r="AK1451" i="1"/>
  <c r="C1432" i="1"/>
  <c r="H1432" i="1"/>
  <c r="I1432" i="1"/>
  <c r="J1432" i="1"/>
  <c r="K1432" i="1"/>
  <c r="M1432" i="1"/>
  <c r="P1432" i="1"/>
  <c r="R1432" i="1"/>
  <c r="S1432" i="1"/>
  <c r="T1432" i="1"/>
  <c r="U1432" i="1"/>
  <c r="X1432" i="1"/>
  <c r="Y1432" i="1"/>
  <c r="Z1432" i="1"/>
  <c r="AA1432" i="1"/>
  <c r="AB1432" i="1"/>
  <c r="AC1432" i="1"/>
  <c r="AD1432" i="1"/>
  <c r="AE1432" i="1"/>
  <c r="AF1432" i="1"/>
  <c r="AG1432" i="1"/>
  <c r="AH1432" i="1"/>
  <c r="AI1432" i="1"/>
  <c r="AJ1432" i="1"/>
  <c r="AK1432" i="1"/>
  <c r="C1433" i="1"/>
  <c r="H1433" i="1"/>
  <c r="I1433" i="1"/>
  <c r="J1433" i="1"/>
  <c r="K1433" i="1"/>
  <c r="M1433" i="1"/>
  <c r="P1433" i="1"/>
  <c r="R1433" i="1"/>
  <c r="S1433" i="1"/>
  <c r="T1433" i="1"/>
  <c r="U1433" i="1"/>
  <c r="X1433" i="1"/>
  <c r="Y1433" i="1"/>
  <c r="Z1433" i="1"/>
  <c r="AA1433" i="1"/>
  <c r="AB1433" i="1"/>
  <c r="AC1433" i="1"/>
  <c r="AD1433" i="1"/>
  <c r="AE1433" i="1"/>
  <c r="AF1433" i="1"/>
  <c r="AG1433" i="1"/>
  <c r="AH1433" i="1"/>
  <c r="AI1433" i="1"/>
  <c r="AJ1433" i="1"/>
  <c r="AK1433" i="1"/>
  <c r="C1434" i="1"/>
  <c r="H1434" i="1"/>
  <c r="I1434" i="1"/>
  <c r="J1434" i="1"/>
  <c r="K1434" i="1"/>
  <c r="M1434" i="1"/>
  <c r="P1434" i="1"/>
  <c r="R1434" i="1"/>
  <c r="S1434" i="1"/>
  <c r="T1434" i="1"/>
  <c r="U1434" i="1"/>
  <c r="X1434" i="1"/>
  <c r="Y1434" i="1"/>
  <c r="Z1434" i="1"/>
  <c r="AA1434" i="1"/>
  <c r="AB1434" i="1"/>
  <c r="AC1434" i="1"/>
  <c r="AD1434" i="1"/>
  <c r="AE1434" i="1"/>
  <c r="AF1434" i="1"/>
  <c r="AG1434" i="1"/>
  <c r="AH1434" i="1"/>
  <c r="AI1434" i="1"/>
  <c r="AJ1434" i="1"/>
  <c r="AK1434" i="1"/>
  <c r="C1435" i="1"/>
  <c r="H1435" i="1"/>
  <c r="I1435" i="1"/>
  <c r="J1435" i="1"/>
  <c r="K1435" i="1"/>
  <c r="M1435" i="1"/>
  <c r="P1435" i="1"/>
  <c r="R1435" i="1"/>
  <c r="S1435" i="1"/>
  <c r="T1435" i="1"/>
  <c r="U1435" i="1"/>
  <c r="X1435" i="1"/>
  <c r="Y1435" i="1"/>
  <c r="Z1435" i="1"/>
  <c r="AA1435" i="1"/>
  <c r="AB1435" i="1"/>
  <c r="AC1435" i="1"/>
  <c r="AD1435" i="1"/>
  <c r="AE1435" i="1"/>
  <c r="AF1435" i="1"/>
  <c r="AG1435" i="1"/>
  <c r="AH1435" i="1"/>
  <c r="AI1435" i="1"/>
  <c r="AJ1435" i="1"/>
  <c r="AK1435" i="1"/>
  <c r="C1436" i="1"/>
  <c r="H1436" i="1"/>
  <c r="I1436" i="1"/>
  <c r="J1436" i="1"/>
  <c r="K1436" i="1"/>
  <c r="M1436" i="1"/>
  <c r="P1436" i="1"/>
  <c r="R1436" i="1"/>
  <c r="S1436" i="1"/>
  <c r="T1436" i="1"/>
  <c r="U1436" i="1"/>
  <c r="X1436" i="1"/>
  <c r="Y1436" i="1"/>
  <c r="Z1436" i="1"/>
  <c r="AA1436" i="1"/>
  <c r="AB1436" i="1"/>
  <c r="AC1436" i="1"/>
  <c r="AD1436" i="1"/>
  <c r="AE1436" i="1"/>
  <c r="AF1436" i="1"/>
  <c r="AG1436" i="1"/>
  <c r="AH1436" i="1"/>
  <c r="AI1436" i="1"/>
  <c r="AJ1436" i="1"/>
  <c r="AK1436" i="1"/>
  <c r="C1437" i="1"/>
  <c r="H1437" i="1"/>
  <c r="I1437" i="1"/>
  <c r="J1437" i="1"/>
  <c r="K1437" i="1"/>
  <c r="M1437" i="1"/>
  <c r="P1437" i="1"/>
  <c r="R1437" i="1"/>
  <c r="S1437" i="1"/>
  <c r="T1437" i="1"/>
  <c r="U1437" i="1"/>
  <c r="X1437" i="1"/>
  <c r="Y1437" i="1"/>
  <c r="Z1437" i="1"/>
  <c r="AA1437" i="1"/>
  <c r="AB1437" i="1"/>
  <c r="AC1437" i="1"/>
  <c r="AD1437" i="1"/>
  <c r="AE1437" i="1"/>
  <c r="AF1437" i="1"/>
  <c r="AG1437" i="1"/>
  <c r="AH1437" i="1"/>
  <c r="AI1437" i="1"/>
  <c r="AJ1437" i="1"/>
  <c r="AK1437" i="1"/>
  <c r="C1438" i="1"/>
  <c r="H1438" i="1"/>
  <c r="I1438" i="1"/>
  <c r="J1438" i="1"/>
  <c r="K1438" i="1"/>
  <c r="M1438" i="1"/>
  <c r="P1438" i="1"/>
  <c r="R1438" i="1"/>
  <c r="S1438" i="1"/>
  <c r="T1438" i="1"/>
  <c r="U1438" i="1"/>
  <c r="X1438" i="1"/>
  <c r="Y1438" i="1"/>
  <c r="Z1438" i="1"/>
  <c r="AA1438" i="1"/>
  <c r="AB1438" i="1"/>
  <c r="AC1438" i="1"/>
  <c r="AD1438" i="1"/>
  <c r="AE1438" i="1"/>
  <c r="AF1438" i="1"/>
  <c r="AG1438" i="1"/>
  <c r="AH1438" i="1"/>
  <c r="AI1438" i="1"/>
  <c r="AJ1438" i="1"/>
  <c r="AK1438" i="1"/>
  <c r="C1439" i="1"/>
  <c r="H1439" i="1"/>
  <c r="I1439" i="1"/>
  <c r="J1439" i="1"/>
  <c r="K1439" i="1"/>
  <c r="M1439" i="1"/>
  <c r="P1439" i="1"/>
  <c r="R1439" i="1"/>
  <c r="S1439" i="1"/>
  <c r="T1439" i="1"/>
  <c r="U1439" i="1"/>
  <c r="X1439" i="1"/>
  <c r="Y1439" i="1"/>
  <c r="Z1439" i="1"/>
  <c r="AA1439" i="1"/>
  <c r="AB1439" i="1"/>
  <c r="AC1439" i="1"/>
  <c r="AD1439" i="1"/>
  <c r="AE1439" i="1"/>
  <c r="AF1439" i="1"/>
  <c r="AG1439" i="1"/>
  <c r="AH1439" i="1"/>
  <c r="AI1439" i="1"/>
  <c r="AJ1439" i="1"/>
  <c r="AK1439" i="1"/>
  <c r="C1440" i="1"/>
  <c r="H1440" i="1"/>
  <c r="I1440" i="1"/>
  <c r="J1440" i="1"/>
  <c r="K1440" i="1"/>
  <c r="M1440" i="1"/>
  <c r="P1440" i="1"/>
  <c r="R1440" i="1"/>
  <c r="S1440" i="1"/>
  <c r="T1440" i="1"/>
  <c r="U1440" i="1"/>
  <c r="X1440" i="1"/>
  <c r="Y1440" i="1"/>
  <c r="Z1440" i="1"/>
  <c r="AA1440" i="1"/>
  <c r="AB1440" i="1"/>
  <c r="AC1440" i="1"/>
  <c r="AD1440" i="1"/>
  <c r="AE1440" i="1"/>
  <c r="AF1440" i="1"/>
  <c r="AG1440" i="1"/>
  <c r="AH1440" i="1"/>
  <c r="AI1440" i="1"/>
  <c r="AJ1440" i="1"/>
  <c r="AK1440" i="1"/>
  <c r="C1441" i="1"/>
  <c r="H1441" i="1"/>
  <c r="I1441" i="1"/>
  <c r="J1441" i="1"/>
  <c r="K1441" i="1"/>
  <c r="M1441" i="1"/>
  <c r="P1441" i="1"/>
  <c r="R1441" i="1"/>
  <c r="S1441" i="1"/>
  <c r="T1441" i="1"/>
  <c r="U1441" i="1"/>
  <c r="X1441" i="1"/>
  <c r="Y1441" i="1"/>
  <c r="Z1441" i="1"/>
  <c r="AA1441" i="1"/>
  <c r="AB1441" i="1"/>
  <c r="AC1441" i="1"/>
  <c r="AD1441" i="1"/>
  <c r="AE1441" i="1"/>
  <c r="AF1441" i="1"/>
  <c r="AG1441" i="1"/>
  <c r="AH1441" i="1"/>
  <c r="AI1441" i="1"/>
  <c r="AJ1441" i="1"/>
  <c r="AK1441" i="1"/>
  <c r="C1422" i="1"/>
  <c r="H1422" i="1"/>
  <c r="I1422" i="1"/>
  <c r="J1422" i="1"/>
  <c r="K1422" i="1"/>
  <c r="M1422" i="1"/>
  <c r="P1422" i="1"/>
  <c r="R1422" i="1"/>
  <c r="S1422" i="1"/>
  <c r="T1422" i="1"/>
  <c r="U1422" i="1"/>
  <c r="X1422" i="1"/>
  <c r="Y1422" i="1"/>
  <c r="Z1422" i="1"/>
  <c r="AA1422" i="1"/>
  <c r="AB1422" i="1"/>
  <c r="AC1422" i="1"/>
  <c r="AD1422" i="1"/>
  <c r="AE1422" i="1"/>
  <c r="AF1422" i="1"/>
  <c r="AG1422" i="1"/>
  <c r="AH1422" i="1"/>
  <c r="AI1422" i="1"/>
  <c r="AJ1422" i="1"/>
  <c r="AK1422" i="1"/>
  <c r="C1423" i="1"/>
  <c r="H1423" i="1"/>
  <c r="I1423" i="1"/>
  <c r="J1423" i="1"/>
  <c r="K1423" i="1"/>
  <c r="M1423" i="1"/>
  <c r="P1423" i="1"/>
  <c r="R1423" i="1"/>
  <c r="S1423" i="1"/>
  <c r="T1423" i="1"/>
  <c r="U1423" i="1"/>
  <c r="X1423" i="1"/>
  <c r="Y1423" i="1"/>
  <c r="Z1423" i="1"/>
  <c r="AA1423" i="1"/>
  <c r="AB1423" i="1"/>
  <c r="AC1423" i="1"/>
  <c r="AD1423" i="1"/>
  <c r="AE1423" i="1"/>
  <c r="AF1423" i="1"/>
  <c r="AG1423" i="1"/>
  <c r="AH1423" i="1"/>
  <c r="AI1423" i="1"/>
  <c r="AJ1423" i="1"/>
  <c r="AK1423" i="1"/>
  <c r="C1424" i="1"/>
  <c r="H1424" i="1"/>
  <c r="I1424" i="1"/>
  <c r="J1424" i="1"/>
  <c r="K1424" i="1"/>
  <c r="M1424" i="1"/>
  <c r="P1424" i="1"/>
  <c r="R1424" i="1"/>
  <c r="S1424" i="1"/>
  <c r="T1424" i="1"/>
  <c r="U1424" i="1"/>
  <c r="X1424" i="1"/>
  <c r="Y1424" i="1"/>
  <c r="Z1424" i="1"/>
  <c r="AA1424" i="1"/>
  <c r="AB1424" i="1"/>
  <c r="AC1424" i="1"/>
  <c r="AD1424" i="1"/>
  <c r="AE1424" i="1"/>
  <c r="AF1424" i="1"/>
  <c r="AG1424" i="1"/>
  <c r="AH1424" i="1"/>
  <c r="AI1424" i="1"/>
  <c r="AJ1424" i="1"/>
  <c r="AK1424" i="1"/>
  <c r="C1425" i="1"/>
  <c r="H1425" i="1"/>
  <c r="I1425" i="1"/>
  <c r="J1425" i="1"/>
  <c r="K1425" i="1"/>
  <c r="M1425" i="1"/>
  <c r="P1425" i="1"/>
  <c r="R1425" i="1"/>
  <c r="S1425" i="1"/>
  <c r="T1425" i="1"/>
  <c r="U1425" i="1"/>
  <c r="X1425" i="1"/>
  <c r="Y1425" i="1"/>
  <c r="Z1425" i="1"/>
  <c r="AA1425" i="1"/>
  <c r="AB1425" i="1"/>
  <c r="AC1425" i="1"/>
  <c r="AD1425" i="1"/>
  <c r="AE1425" i="1"/>
  <c r="AF1425" i="1"/>
  <c r="AG1425" i="1"/>
  <c r="AH1425" i="1"/>
  <c r="AI1425" i="1"/>
  <c r="AJ1425" i="1"/>
  <c r="AK1425" i="1"/>
  <c r="C1426" i="1"/>
  <c r="H1426" i="1"/>
  <c r="I1426" i="1"/>
  <c r="J1426" i="1"/>
  <c r="K1426" i="1"/>
  <c r="M1426" i="1"/>
  <c r="P1426" i="1"/>
  <c r="R1426" i="1"/>
  <c r="S1426" i="1"/>
  <c r="T1426" i="1"/>
  <c r="U1426" i="1"/>
  <c r="X1426" i="1"/>
  <c r="Y1426" i="1"/>
  <c r="Z1426" i="1"/>
  <c r="AA1426" i="1"/>
  <c r="AB1426" i="1"/>
  <c r="AC1426" i="1"/>
  <c r="AD1426" i="1"/>
  <c r="AE1426" i="1"/>
  <c r="AF1426" i="1"/>
  <c r="AG1426" i="1"/>
  <c r="AH1426" i="1"/>
  <c r="AI1426" i="1"/>
  <c r="AJ1426" i="1"/>
  <c r="AK1426" i="1"/>
  <c r="C1427" i="1"/>
  <c r="H1427" i="1"/>
  <c r="I1427" i="1"/>
  <c r="J1427" i="1"/>
  <c r="K1427" i="1"/>
  <c r="M1427" i="1"/>
  <c r="P1427" i="1"/>
  <c r="R1427" i="1"/>
  <c r="S1427" i="1"/>
  <c r="T1427" i="1"/>
  <c r="U1427" i="1"/>
  <c r="X1427" i="1"/>
  <c r="Y1427" i="1"/>
  <c r="Z1427" i="1"/>
  <c r="AA1427" i="1"/>
  <c r="AB1427" i="1"/>
  <c r="AC1427" i="1"/>
  <c r="AD1427" i="1"/>
  <c r="AE1427" i="1"/>
  <c r="AF1427" i="1"/>
  <c r="AG1427" i="1"/>
  <c r="AH1427" i="1"/>
  <c r="AI1427" i="1"/>
  <c r="AJ1427" i="1"/>
  <c r="AK1427" i="1"/>
  <c r="C1428" i="1"/>
  <c r="H1428" i="1"/>
  <c r="I1428" i="1"/>
  <c r="J1428" i="1"/>
  <c r="K1428" i="1"/>
  <c r="M1428" i="1"/>
  <c r="P1428" i="1"/>
  <c r="R1428" i="1"/>
  <c r="S1428" i="1"/>
  <c r="T1428" i="1"/>
  <c r="U1428" i="1"/>
  <c r="X1428" i="1"/>
  <c r="Y1428" i="1"/>
  <c r="Z1428" i="1"/>
  <c r="AA1428" i="1"/>
  <c r="AB1428" i="1"/>
  <c r="AC1428" i="1"/>
  <c r="AD1428" i="1"/>
  <c r="AE1428" i="1"/>
  <c r="AF1428" i="1"/>
  <c r="AG1428" i="1"/>
  <c r="AH1428" i="1"/>
  <c r="AI1428" i="1"/>
  <c r="AJ1428" i="1"/>
  <c r="AK1428" i="1"/>
  <c r="C1429" i="1"/>
  <c r="H1429" i="1"/>
  <c r="I1429" i="1"/>
  <c r="J1429" i="1"/>
  <c r="K1429" i="1"/>
  <c r="M1429" i="1"/>
  <c r="P1429" i="1"/>
  <c r="R1429" i="1"/>
  <c r="S1429" i="1"/>
  <c r="T1429" i="1"/>
  <c r="U1429" i="1"/>
  <c r="X1429" i="1"/>
  <c r="Y1429" i="1"/>
  <c r="Z1429" i="1"/>
  <c r="AA1429" i="1"/>
  <c r="AB1429" i="1"/>
  <c r="AC1429" i="1"/>
  <c r="AD1429" i="1"/>
  <c r="AE1429" i="1"/>
  <c r="AF1429" i="1"/>
  <c r="AG1429" i="1"/>
  <c r="AH1429" i="1"/>
  <c r="AI1429" i="1"/>
  <c r="AJ1429" i="1"/>
  <c r="AK1429" i="1"/>
  <c r="C1430" i="1"/>
  <c r="H1430" i="1"/>
  <c r="I1430" i="1"/>
  <c r="J1430" i="1"/>
  <c r="K1430" i="1"/>
  <c r="M1430" i="1"/>
  <c r="P1430" i="1"/>
  <c r="R1430" i="1"/>
  <c r="S1430" i="1"/>
  <c r="T1430" i="1"/>
  <c r="U1430" i="1"/>
  <c r="X1430" i="1"/>
  <c r="Y1430" i="1"/>
  <c r="Z1430" i="1"/>
  <c r="AA1430" i="1"/>
  <c r="AB1430" i="1"/>
  <c r="AC1430" i="1"/>
  <c r="AD1430" i="1"/>
  <c r="AE1430" i="1"/>
  <c r="AF1430" i="1"/>
  <c r="AG1430" i="1"/>
  <c r="AH1430" i="1"/>
  <c r="AI1430" i="1"/>
  <c r="AJ1430" i="1"/>
  <c r="AK1430" i="1"/>
  <c r="C1431" i="1"/>
  <c r="H1431" i="1"/>
  <c r="I1431" i="1"/>
  <c r="J1431" i="1"/>
  <c r="K1431" i="1"/>
  <c r="M1431" i="1"/>
  <c r="P1431" i="1"/>
  <c r="R1431" i="1"/>
  <c r="S1431" i="1"/>
  <c r="T1431" i="1"/>
  <c r="U1431" i="1"/>
  <c r="X1431" i="1"/>
  <c r="Y1431" i="1"/>
  <c r="Z1431" i="1"/>
  <c r="AA1431" i="1"/>
  <c r="AB1431" i="1"/>
  <c r="AC1431" i="1"/>
  <c r="AD1431" i="1"/>
  <c r="AE1431" i="1"/>
  <c r="AF1431" i="1"/>
  <c r="AG1431" i="1"/>
  <c r="AH1431" i="1"/>
  <c r="AI1431" i="1"/>
  <c r="AJ1431" i="1"/>
  <c r="AK1431" i="1"/>
  <c r="C1412" i="1"/>
  <c r="H1412" i="1"/>
  <c r="I1412" i="1"/>
  <c r="J1412" i="1"/>
  <c r="K1412" i="1"/>
  <c r="M1412" i="1"/>
  <c r="P1412" i="1"/>
  <c r="R1412" i="1"/>
  <c r="S1412" i="1"/>
  <c r="T1412" i="1"/>
  <c r="U1412" i="1"/>
  <c r="X1412" i="1"/>
  <c r="Y1412" i="1"/>
  <c r="Z1412" i="1"/>
  <c r="AA1412" i="1"/>
  <c r="AB1412" i="1"/>
  <c r="AC1412" i="1"/>
  <c r="AD1412" i="1"/>
  <c r="AE1412" i="1"/>
  <c r="AF1412" i="1"/>
  <c r="AG1412" i="1"/>
  <c r="AH1412" i="1"/>
  <c r="AI1412" i="1"/>
  <c r="AJ1412" i="1"/>
  <c r="AK1412" i="1"/>
  <c r="C1413" i="1"/>
  <c r="H1413" i="1"/>
  <c r="I1413" i="1"/>
  <c r="J1413" i="1"/>
  <c r="K1413" i="1"/>
  <c r="M1413" i="1"/>
  <c r="P1413" i="1"/>
  <c r="R1413" i="1"/>
  <c r="S1413" i="1"/>
  <c r="T1413" i="1"/>
  <c r="U1413" i="1"/>
  <c r="X1413" i="1"/>
  <c r="Y1413" i="1"/>
  <c r="Z1413" i="1"/>
  <c r="AA1413" i="1"/>
  <c r="AB1413" i="1"/>
  <c r="AC1413" i="1"/>
  <c r="AD1413" i="1"/>
  <c r="AE1413" i="1"/>
  <c r="AF1413" i="1"/>
  <c r="AG1413" i="1"/>
  <c r="AH1413" i="1"/>
  <c r="AI1413" i="1"/>
  <c r="AJ1413" i="1"/>
  <c r="AK1413" i="1"/>
  <c r="C1414" i="1"/>
  <c r="H1414" i="1"/>
  <c r="I1414" i="1"/>
  <c r="J1414" i="1"/>
  <c r="K1414" i="1"/>
  <c r="M1414" i="1"/>
  <c r="P1414" i="1"/>
  <c r="R1414" i="1"/>
  <c r="S1414" i="1"/>
  <c r="T1414" i="1"/>
  <c r="U1414" i="1"/>
  <c r="X1414" i="1"/>
  <c r="Y1414" i="1"/>
  <c r="Z1414" i="1"/>
  <c r="AA1414" i="1"/>
  <c r="AB1414" i="1"/>
  <c r="AC1414" i="1"/>
  <c r="AD1414" i="1"/>
  <c r="AE1414" i="1"/>
  <c r="AF1414" i="1"/>
  <c r="AG1414" i="1"/>
  <c r="AH1414" i="1"/>
  <c r="AI1414" i="1"/>
  <c r="AJ1414" i="1"/>
  <c r="AK1414" i="1"/>
  <c r="C1415" i="1"/>
  <c r="H1415" i="1"/>
  <c r="I1415" i="1"/>
  <c r="J1415" i="1"/>
  <c r="K1415" i="1"/>
  <c r="M1415" i="1"/>
  <c r="P1415" i="1"/>
  <c r="R1415" i="1"/>
  <c r="S1415" i="1"/>
  <c r="T1415" i="1"/>
  <c r="U1415" i="1"/>
  <c r="X1415" i="1"/>
  <c r="Y1415" i="1"/>
  <c r="Z1415" i="1"/>
  <c r="AA1415" i="1"/>
  <c r="AB1415" i="1"/>
  <c r="AC1415" i="1"/>
  <c r="AD1415" i="1"/>
  <c r="AE1415" i="1"/>
  <c r="AF1415" i="1"/>
  <c r="AG1415" i="1"/>
  <c r="AH1415" i="1"/>
  <c r="AI1415" i="1"/>
  <c r="AJ1415" i="1"/>
  <c r="AK1415" i="1"/>
  <c r="C1416" i="1"/>
  <c r="H1416" i="1"/>
  <c r="I1416" i="1"/>
  <c r="J1416" i="1"/>
  <c r="K1416" i="1"/>
  <c r="M1416" i="1"/>
  <c r="P1416" i="1"/>
  <c r="R1416" i="1"/>
  <c r="S1416" i="1"/>
  <c r="T1416" i="1"/>
  <c r="U1416" i="1"/>
  <c r="X1416" i="1"/>
  <c r="Y1416" i="1"/>
  <c r="Z1416" i="1"/>
  <c r="AA1416" i="1"/>
  <c r="AB1416" i="1"/>
  <c r="AC1416" i="1"/>
  <c r="AD1416" i="1"/>
  <c r="AE1416" i="1"/>
  <c r="AF1416" i="1"/>
  <c r="AG1416" i="1"/>
  <c r="AH1416" i="1"/>
  <c r="AI1416" i="1"/>
  <c r="AJ1416" i="1"/>
  <c r="AK1416" i="1"/>
  <c r="C1417" i="1"/>
  <c r="H1417" i="1"/>
  <c r="I1417" i="1"/>
  <c r="J1417" i="1"/>
  <c r="K1417" i="1"/>
  <c r="M1417" i="1"/>
  <c r="P1417" i="1"/>
  <c r="R1417" i="1"/>
  <c r="S1417" i="1"/>
  <c r="T1417" i="1"/>
  <c r="U1417" i="1"/>
  <c r="X1417" i="1"/>
  <c r="Y1417" i="1"/>
  <c r="Z1417" i="1"/>
  <c r="AA1417" i="1"/>
  <c r="AB1417" i="1"/>
  <c r="AC1417" i="1"/>
  <c r="AD1417" i="1"/>
  <c r="AE1417" i="1"/>
  <c r="AF1417" i="1"/>
  <c r="AG1417" i="1"/>
  <c r="AH1417" i="1"/>
  <c r="AI1417" i="1"/>
  <c r="AJ1417" i="1"/>
  <c r="AK1417" i="1"/>
  <c r="C1418" i="1"/>
  <c r="H1418" i="1"/>
  <c r="I1418" i="1"/>
  <c r="J1418" i="1"/>
  <c r="K1418" i="1"/>
  <c r="M1418" i="1"/>
  <c r="P1418" i="1"/>
  <c r="R1418" i="1"/>
  <c r="S1418" i="1"/>
  <c r="T1418" i="1"/>
  <c r="U1418" i="1"/>
  <c r="X1418" i="1"/>
  <c r="Y1418" i="1"/>
  <c r="Z1418" i="1"/>
  <c r="AA1418" i="1"/>
  <c r="AB1418" i="1"/>
  <c r="AC1418" i="1"/>
  <c r="AD1418" i="1"/>
  <c r="AE1418" i="1"/>
  <c r="AF1418" i="1"/>
  <c r="AG1418" i="1"/>
  <c r="AH1418" i="1"/>
  <c r="AI1418" i="1"/>
  <c r="AJ1418" i="1"/>
  <c r="AK1418" i="1"/>
  <c r="C1419" i="1"/>
  <c r="H1419" i="1"/>
  <c r="I1419" i="1"/>
  <c r="J1419" i="1"/>
  <c r="K1419" i="1"/>
  <c r="M1419" i="1"/>
  <c r="P1419" i="1"/>
  <c r="R1419" i="1"/>
  <c r="S1419" i="1"/>
  <c r="T1419" i="1"/>
  <c r="U1419" i="1"/>
  <c r="X1419" i="1"/>
  <c r="Y1419" i="1"/>
  <c r="Z1419" i="1"/>
  <c r="AA1419" i="1"/>
  <c r="AB1419" i="1"/>
  <c r="AC1419" i="1"/>
  <c r="AD1419" i="1"/>
  <c r="AE1419" i="1"/>
  <c r="AF1419" i="1"/>
  <c r="AG1419" i="1"/>
  <c r="AH1419" i="1"/>
  <c r="AI1419" i="1"/>
  <c r="AJ1419" i="1"/>
  <c r="AK1419" i="1"/>
  <c r="C1420" i="1"/>
  <c r="H1420" i="1"/>
  <c r="I1420" i="1"/>
  <c r="J1420" i="1"/>
  <c r="K1420" i="1"/>
  <c r="M1420" i="1"/>
  <c r="P1420" i="1"/>
  <c r="R1420" i="1"/>
  <c r="S1420" i="1"/>
  <c r="T1420" i="1"/>
  <c r="U1420" i="1"/>
  <c r="X1420" i="1"/>
  <c r="Y1420" i="1"/>
  <c r="Z1420" i="1"/>
  <c r="AA1420" i="1"/>
  <c r="AB1420" i="1"/>
  <c r="AC1420" i="1"/>
  <c r="AD1420" i="1"/>
  <c r="AE1420" i="1"/>
  <c r="AF1420" i="1"/>
  <c r="AG1420" i="1"/>
  <c r="AH1420" i="1"/>
  <c r="AI1420" i="1"/>
  <c r="AJ1420" i="1"/>
  <c r="AK1420" i="1"/>
  <c r="C1421" i="1"/>
  <c r="H1421" i="1"/>
  <c r="I1421" i="1"/>
  <c r="J1421" i="1"/>
  <c r="K1421" i="1"/>
  <c r="M1421" i="1"/>
  <c r="P1421" i="1"/>
  <c r="R1421" i="1"/>
  <c r="S1421" i="1"/>
  <c r="T1421" i="1"/>
  <c r="U1421" i="1"/>
  <c r="X1421" i="1"/>
  <c r="Y1421" i="1"/>
  <c r="Z1421" i="1"/>
  <c r="AA1421" i="1"/>
  <c r="AB1421" i="1"/>
  <c r="AC1421" i="1"/>
  <c r="AD1421" i="1"/>
  <c r="AE1421" i="1"/>
  <c r="AF1421" i="1"/>
  <c r="AG1421" i="1"/>
  <c r="AH1421" i="1"/>
  <c r="AI1421" i="1"/>
  <c r="AJ1421" i="1"/>
  <c r="AK1421" i="1"/>
  <c r="C1402" i="1"/>
  <c r="H1402" i="1"/>
  <c r="I1402" i="1"/>
  <c r="J1402" i="1"/>
  <c r="K1402" i="1"/>
  <c r="M1402" i="1"/>
  <c r="P1402" i="1"/>
  <c r="R1402" i="1"/>
  <c r="S1402" i="1"/>
  <c r="T1402" i="1"/>
  <c r="U1402" i="1"/>
  <c r="X1402" i="1"/>
  <c r="Y1402" i="1"/>
  <c r="Z1402" i="1"/>
  <c r="AA1402" i="1"/>
  <c r="AB1402" i="1"/>
  <c r="AC1402" i="1"/>
  <c r="AD1402" i="1"/>
  <c r="AE1402" i="1"/>
  <c r="AF1402" i="1"/>
  <c r="AG1402" i="1"/>
  <c r="AH1402" i="1"/>
  <c r="AI1402" i="1"/>
  <c r="AJ1402" i="1"/>
  <c r="AK1402" i="1"/>
  <c r="C1403" i="1"/>
  <c r="H1403" i="1"/>
  <c r="I1403" i="1"/>
  <c r="J1403" i="1"/>
  <c r="K1403" i="1"/>
  <c r="M1403" i="1"/>
  <c r="P1403" i="1"/>
  <c r="R1403" i="1"/>
  <c r="S1403" i="1"/>
  <c r="T1403" i="1"/>
  <c r="U1403" i="1"/>
  <c r="X1403" i="1"/>
  <c r="Y1403" i="1"/>
  <c r="Z1403" i="1"/>
  <c r="AA1403" i="1"/>
  <c r="AB1403" i="1"/>
  <c r="AC1403" i="1"/>
  <c r="AD1403" i="1"/>
  <c r="AE1403" i="1"/>
  <c r="AF1403" i="1"/>
  <c r="AG1403" i="1"/>
  <c r="AH1403" i="1"/>
  <c r="AI1403" i="1"/>
  <c r="AJ1403" i="1"/>
  <c r="AK1403" i="1"/>
  <c r="C1404" i="1"/>
  <c r="H1404" i="1"/>
  <c r="I1404" i="1"/>
  <c r="J1404" i="1"/>
  <c r="K1404" i="1"/>
  <c r="M1404" i="1"/>
  <c r="P1404" i="1"/>
  <c r="R1404" i="1"/>
  <c r="S1404" i="1"/>
  <c r="T1404" i="1"/>
  <c r="U1404" i="1"/>
  <c r="X1404" i="1"/>
  <c r="Y1404" i="1"/>
  <c r="Z1404" i="1"/>
  <c r="AA1404" i="1"/>
  <c r="AB1404" i="1"/>
  <c r="AC1404" i="1"/>
  <c r="AD1404" i="1"/>
  <c r="AE1404" i="1"/>
  <c r="AF1404" i="1"/>
  <c r="AG1404" i="1"/>
  <c r="AH1404" i="1"/>
  <c r="AI1404" i="1"/>
  <c r="AJ1404" i="1"/>
  <c r="AK1404" i="1"/>
  <c r="C1405" i="1"/>
  <c r="H1405" i="1"/>
  <c r="I1405" i="1"/>
  <c r="J1405" i="1"/>
  <c r="K1405" i="1"/>
  <c r="M1405" i="1"/>
  <c r="P1405" i="1"/>
  <c r="R1405" i="1"/>
  <c r="S1405" i="1"/>
  <c r="T1405" i="1"/>
  <c r="U1405" i="1"/>
  <c r="X1405" i="1"/>
  <c r="Y1405" i="1"/>
  <c r="Z1405" i="1"/>
  <c r="AA1405" i="1"/>
  <c r="AB1405" i="1"/>
  <c r="AC1405" i="1"/>
  <c r="AD1405" i="1"/>
  <c r="AE1405" i="1"/>
  <c r="AF1405" i="1"/>
  <c r="AG1405" i="1"/>
  <c r="AH1405" i="1"/>
  <c r="AI1405" i="1"/>
  <c r="AJ1405" i="1"/>
  <c r="AK1405" i="1"/>
  <c r="C1406" i="1"/>
  <c r="H1406" i="1"/>
  <c r="I1406" i="1"/>
  <c r="J1406" i="1"/>
  <c r="K1406" i="1"/>
  <c r="M1406" i="1"/>
  <c r="P1406" i="1"/>
  <c r="R1406" i="1"/>
  <c r="S1406" i="1"/>
  <c r="T1406" i="1"/>
  <c r="U1406" i="1"/>
  <c r="X1406" i="1"/>
  <c r="Y1406" i="1"/>
  <c r="Z1406" i="1"/>
  <c r="AA1406" i="1"/>
  <c r="AB1406" i="1"/>
  <c r="AC1406" i="1"/>
  <c r="AD1406" i="1"/>
  <c r="AE1406" i="1"/>
  <c r="AF1406" i="1"/>
  <c r="AG1406" i="1"/>
  <c r="AH1406" i="1"/>
  <c r="AI1406" i="1"/>
  <c r="AJ1406" i="1"/>
  <c r="AK1406" i="1"/>
  <c r="C1407" i="1"/>
  <c r="H1407" i="1"/>
  <c r="I1407" i="1"/>
  <c r="J1407" i="1"/>
  <c r="K1407" i="1"/>
  <c r="M1407" i="1"/>
  <c r="P1407" i="1"/>
  <c r="R1407" i="1"/>
  <c r="S1407" i="1"/>
  <c r="T1407" i="1"/>
  <c r="U1407" i="1"/>
  <c r="X1407" i="1"/>
  <c r="Y1407" i="1"/>
  <c r="Z1407" i="1"/>
  <c r="AA1407" i="1"/>
  <c r="AB1407" i="1"/>
  <c r="AC1407" i="1"/>
  <c r="AD1407" i="1"/>
  <c r="AE1407" i="1"/>
  <c r="AF1407" i="1"/>
  <c r="AG1407" i="1"/>
  <c r="AH1407" i="1"/>
  <c r="AI1407" i="1"/>
  <c r="AJ1407" i="1"/>
  <c r="AK1407" i="1"/>
  <c r="C1408" i="1"/>
  <c r="H1408" i="1"/>
  <c r="I1408" i="1"/>
  <c r="J1408" i="1"/>
  <c r="K1408" i="1"/>
  <c r="M1408" i="1"/>
  <c r="P1408" i="1"/>
  <c r="R1408" i="1"/>
  <c r="S1408" i="1"/>
  <c r="T1408" i="1"/>
  <c r="U1408" i="1"/>
  <c r="X1408" i="1"/>
  <c r="Y1408" i="1"/>
  <c r="Z1408" i="1"/>
  <c r="AA1408" i="1"/>
  <c r="AB1408" i="1"/>
  <c r="AC1408" i="1"/>
  <c r="AD1408" i="1"/>
  <c r="AE1408" i="1"/>
  <c r="AF1408" i="1"/>
  <c r="AG1408" i="1"/>
  <c r="AH1408" i="1"/>
  <c r="AI1408" i="1"/>
  <c r="AJ1408" i="1"/>
  <c r="AK1408" i="1"/>
  <c r="C1409" i="1"/>
  <c r="H1409" i="1"/>
  <c r="I1409" i="1"/>
  <c r="J1409" i="1"/>
  <c r="K1409" i="1"/>
  <c r="M1409" i="1"/>
  <c r="P1409" i="1"/>
  <c r="R1409" i="1"/>
  <c r="S1409" i="1"/>
  <c r="T1409" i="1"/>
  <c r="U1409" i="1"/>
  <c r="X1409" i="1"/>
  <c r="Y1409" i="1"/>
  <c r="Z1409" i="1"/>
  <c r="AA1409" i="1"/>
  <c r="AB1409" i="1"/>
  <c r="AC1409" i="1"/>
  <c r="AD1409" i="1"/>
  <c r="AE1409" i="1"/>
  <c r="AF1409" i="1"/>
  <c r="AG1409" i="1"/>
  <c r="AH1409" i="1"/>
  <c r="AI1409" i="1"/>
  <c r="AJ1409" i="1"/>
  <c r="AK1409" i="1"/>
  <c r="C1410" i="1"/>
  <c r="H1410" i="1"/>
  <c r="I1410" i="1"/>
  <c r="J1410" i="1"/>
  <c r="K1410" i="1"/>
  <c r="M1410" i="1"/>
  <c r="P1410" i="1"/>
  <c r="R1410" i="1"/>
  <c r="S1410" i="1"/>
  <c r="T1410" i="1"/>
  <c r="U1410" i="1"/>
  <c r="X1410" i="1"/>
  <c r="Y1410" i="1"/>
  <c r="Z1410" i="1"/>
  <c r="AA1410" i="1"/>
  <c r="AB1410" i="1"/>
  <c r="AC1410" i="1"/>
  <c r="AD1410" i="1"/>
  <c r="AE1410" i="1"/>
  <c r="AF1410" i="1"/>
  <c r="AG1410" i="1"/>
  <c r="AH1410" i="1"/>
  <c r="AI1410" i="1"/>
  <c r="AJ1410" i="1"/>
  <c r="AK1410" i="1"/>
  <c r="C1411" i="1"/>
  <c r="H1411" i="1"/>
  <c r="I1411" i="1"/>
  <c r="J1411" i="1"/>
  <c r="K1411" i="1"/>
  <c r="M1411" i="1"/>
  <c r="P1411" i="1"/>
  <c r="R1411" i="1"/>
  <c r="S1411" i="1"/>
  <c r="T1411" i="1"/>
  <c r="U1411" i="1"/>
  <c r="X1411" i="1"/>
  <c r="Y1411" i="1"/>
  <c r="Z1411" i="1"/>
  <c r="AA1411" i="1"/>
  <c r="AB1411" i="1"/>
  <c r="AC1411" i="1"/>
  <c r="AD1411" i="1"/>
  <c r="AE1411" i="1"/>
  <c r="AF1411" i="1"/>
  <c r="AG1411" i="1"/>
  <c r="AH1411" i="1"/>
  <c r="AI1411" i="1"/>
  <c r="AJ1411" i="1"/>
  <c r="AK1411" i="1"/>
  <c r="C1392" i="1"/>
  <c r="H1392" i="1"/>
  <c r="I1392" i="1"/>
  <c r="J1392" i="1"/>
  <c r="K1392" i="1"/>
  <c r="M1392" i="1"/>
  <c r="P1392" i="1"/>
  <c r="R1392" i="1"/>
  <c r="S1392" i="1"/>
  <c r="T1392" i="1"/>
  <c r="U1392" i="1"/>
  <c r="X1392" i="1"/>
  <c r="Y1392" i="1"/>
  <c r="Z1392" i="1"/>
  <c r="AA1392" i="1"/>
  <c r="AB1392" i="1"/>
  <c r="AC1392" i="1"/>
  <c r="AD1392" i="1"/>
  <c r="AE1392" i="1"/>
  <c r="AF1392" i="1"/>
  <c r="AG1392" i="1"/>
  <c r="AH1392" i="1"/>
  <c r="AI1392" i="1"/>
  <c r="AJ1392" i="1"/>
  <c r="AK1392" i="1"/>
  <c r="C1393" i="1"/>
  <c r="H1393" i="1"/>
  <c r="I1393" i="1"/>
  <c r="J1393" i="1"/>
  <c r="K1393" i="1"/>
  <c r="M1393" i="1"/>
  <c r="P1393" i="1"/>
  <c r="R1393" i="1"/>
  <c r="S1393" i="1"/>
  <c r="T1393" i="1"/>
  <c r="U1393" i="1"/>
  <c r="X1393" i="1"/>
  <c r="Y1393" i="1"/>
  <c r="Z1393" i="1"/>
  <c r="AA1393" i="1"/>
  <c r="AB1393" i="1"/>
  <c r="AC1393" i="1"/>
  <c r="AD1393" i="1"/>
  <c r="AE1393" i="1"/>
  <c r="AF1393" i="1"/>
  <c r="AG1393" i="1"/>
  <c r="AH1393" i="1"/>
  <c r="AI1393" i="1"/>
  <c r="AJ1393" i="1"/>
  <c r="AK1393" i="1"/>
  <c r="C1394" i="1"/>
  <c r="H1394" i="1"/>
  <c r="I1394" i="1"/>
  <c r="J1394" i="1"/>
  <c r="K1394" i="1"/>
  <c r="M1394" i="1"/>
  <c r="P1394" i="1"/>
  <c r="R1394" i="1"/>
  <c r="S1394" i="1"/>
  <c r="T1394" i="1"/>
  <c r="U1394" i="1"/>
  <c r="X1394" i="1"/>
  <c r="Y1394" i="1"/>
  <c r="Z1394" i="1"/>
  <c r="AA1394" i="1"/>
  <c r="AB1394" i="1"/>
  <c r="AC1394" i="1"/>
  <c r="AD1394" i="1"/>
  <c r="AE1394" i="1"/>
  <c r="AF1394" i="1"/>
  <c r="AG1394" i="1"/>
  <c r="AH1394" i="1"/>
  <c r="AI1394" i="1"/>
  <c r="AJ1394" i="1"/>
  <c r="AK1394" i="1"/>
  <c r="C1395" i="1"/>
  <c r="H1395" i="1"/>
  <c r="I1395" i="1"/>
  <c r="J1395" i="1"/>
  <c r="K1395" i="1"/>
  <c r="M1395" i="1"/>
  <c r="P1395" i="1"/>
  <c r="R1395" i="1"/>
  <c r="S1395" i="1"/>
  <c r="T1395" i="1"/>
  <c r="U1395" i="1"/>
  <c r="X1395" i="1"/>
  <c r="Y1395" i="1"/>
  <c r="Z1395" i="1"/>
  <c r="AA1395" i="1"/>
  <c r="AB1395" i="1"/>
  <c r="AC1395" i="1"/>
  <c r="AD1395" i="1"/>
  <c r="AE1395" i="1"/>
  <c r="AF1395" i="1"/>
  <c r="AG1395" i="1"/>
  <c r="AH1395" i="1"/>
  <c r="AI1395" i="1"/>
  <c r="AJ1395" i="1"/>
  <c r="AK1395" i="1"/>
  <c r="C1396" i="1"/>
  <c r="H1396" i="1"/>
  <c r="I1396" i="1"/>
  <c r="J1396" i="1"/>
  <c r="K1396" i="1"/>
  <c r="M1396" i="1"/>
  <c r="P1396" i="1"/>
  <c r="R1396" i="1"/>
  <c r="S1396" i="1"/>
  <c r="T1396" i="1"/>
  <c r="U1396" i="1"/>
  <c r="X1396" i="1"/>
  <c r="Y1396" i="1"/>
  <c r="Z1396" i="1"/>
  <c r="AA1396" i="1"/>
  <c r="AB1396" i="1"/>
  <c r="AC1396" i="1"/>
  <c r="AD1396" i="1"/>
  <c r="AE1396" i="1"/>
  <c r="AF1396" i="1"/>
  <c r="AG1396" i="1"/>
  <c r="AH1396" i="1"/>
  <c r="AI1396" i="1"/>
  <c r="AJ1396" i="1"/>
  <c r="AK1396" i="1"/>
  <c r="C1397" i="1"/>
  <c r="H1397" i="1"/>
  <c r="I1397" i="1"/>
  <c r="J1397" i="1"/>
  <c r="K1397" i="1"/>
  <c r="M1397" i="1"/>
  <c r="P1397" i="1"/>
  <c r="R1397" i="1"/>
  <c r="S1397" i="1"/>
  <c r="T1397" i="1"/>
  <c r="U1397" i="1"/>
  <c r="X1397" i="1"/>
  <c r="Y1397" i="1"/>
  <c r="Z1397" i="1"/>
  <c r="AA1397" i="1"/>
  <c r="AB1397" i="1"/>
  <c r="AC1397" i="1"/>
  <c r="AD1397" i="1"/>
  <c r="AE1397" i="1"/>
  <c r="AF1397" i="1"/>
  <c r="AG1397" i="1"/>
  <c r="AH1397" i="1"/>
  <c r="AI1397" i="1"/>
  <c r="AJ1397" i="1"/>
  <c r="AK1397" i="1"/>
  <c r="C1398" i="1"/>
  <c r="H1398" i="1"/>
  <c r="I1398" i="1"/>
  <c r="J1398" i="1"/>
  <c r="K1398" i="1"/>
  <c r="M1398" i="1"/>
  <c r="P1398" i="1"/>
  <c r="R1398" i="1"/>
  <c r="S1398" i="1"/>
  <c r="T1398" i="1"/>
  <c r="U1398" i="1"/>
  <c r="X1398" i="1"/>
  <c r="Y1398" i="1"/>
  <c r="Z1398" i="1"/>
  <c r="AA1398" i="1"/>
  <c r="AB1398" i="1"/>
  <c r="AC1398" i="1"/>
  <c r="AD1398" i="1"/>
  <c r="AE1398" i="1"/>
  <c r="AF1398" i="1"/>
  <c r="AG1398" i="1"/>
  <c r="AH1398" i="1"/>
  <c r="AI1398" i="1"/>
  <c r="AJ1398" i="1"/>
  <c r="AK1398" i="1"/>
  <c r="C1399" i="1"/>
  <c r="H1399" i="1"/>
  <c r="I1399" i="1"/>
  <c r="J1399" i="1"/>
  <c r="K1399" i="1"/>
  <c r="M1399" i="1"/>
  <c r="P1399" i="1"/>
  <c r="R1399" i="1"/>
  <c r="S1399" i="1"/>
  <c r="T1399" i="1"/>
  <c r="U1399" i="1"/>
  <c r="X1399" i="1"/>
  <c r="Y1399" i="1"/>
  <c r="Z1399" i="1"/>
  <c r="AA1399" i="1"/>
  <c r="AB1399" i="1"/>
  <c r="AC1399" i="1"/>
  <c r="AD1399" i="1"/>
  <c r="AE1399" i="1"/>
  <c r="AF1399" i="1"/>
  <c r="AG1399" i="1"/>
  <c r="AH1399" i="1"/>
  <c r="AI1399" i="1"/>
  <c r="AJ1399" i="1"/>
  <c r="AK1399" i="1"/>
  <c r="C1400" i="1"/>
  <c r="H1400" i="1"/>
  <c r="I1400" i="1"/>
  <c r="J1400" i="1"/>
  <c r="K1400" i="1"/>
  <c r="M1400" i="1"/>
  <c r="P1400" i="1"/>
  <c r="R1400" i="1"/>
  <c r="S1400" i="1"/>
  <c r="T1400" i="1"/>
  <c r="U1400" i="1"/>
  <c r="X1400" i="1"/>
  <c r="Y1400" i="1"/>
  <c r="Z1400" i="1"/>
  <c r="AA1400" i="1"/>
  <c r="AB1400" i="1"/>
  <c r="AC1400" i="1"/>
  <c r="AD1400" i="1"/>
  <c r="AE1400" i="1"/>
  <c r="AF1400" i="1"/>
  <c r="AG1400" i="1"/>
  <c r="AH1400" i="1"/>
  <c r="AI1400" i="1"/>
  <c r="AJ1400" i="1"/>
  <c r="AK1400" i="1"/>
  <c r="C1401" i="1"/>
  <c r="H1401" i="1"/>
  <c r="I1401" i="1"/>
  <c r="J1401" i="1"/>
  <c r="K1401" i="1"/>
  <c r="M1401" i="1"/>
  <c r="P1401" i="1"/>
  <c r="R1401" i="1"/>
  <c r="S1401" i="1"/>
  <c r="T1401" i="1"/>
  <c r="U1401" i="1"/>
  <c r="X1401" i="1"/>
  <c r="Y1401" i="1"/>
  <c r="Z1401" i="1"/>
  <c r="AA1401" i="1"/>
  <c r="AB1401" i="1"/>
  <c r="AC1401" i="1"/>
  <c r="AD1401" i="1"/>
  <c r="AE1401" i="1"/>
  <c r="AF1401" i="1"/>
  <c r="AG1401" i="1"/>
  <c r="AH1401" i="1"/>
  <c r="AI1401" i="1"/>
  <c r="AJ1401" i="1"/>
  <c r="AK1401" i="1"/>
  <c r="C1382" i="1"/>
  <c r="H1382" i="1"/>
  <c r="I1382" i="1"/>
  <c r="J1382" i="1"/>
  <c r="K1382" i="1"/>
  <c r="M1382" i="1"/>
  <c r="P1382" i="1"/>
  <c r="R1382" i="1"/>
  <c r="S1382" i="1"/>
  <c r="T1382" i="1"/>
  <c r="U1382" i="1"/>
  <c r="X1382" i="1"/>
  <c r="Y1382" i="1"/>
  <c r="Z1382" i="1"/>
  <c r="AA1382" i="1"/>
  <c r="AB1382" i="1"/>
  <c r="AC1382" i="1"/>
  <c r="AD1382" i="1"/>
  <c r="AE1382" i="1"/>
  <c r="AF1382" i="1"/>
  <c r="AG1382" i="1"/>
  <c r="AH1382" i="1"/>
  <c r="AI1382" i="1"/>
  <c r="AJ1382" i="1"/>
  <c r="AK1382" i="1"/>
  <c r="C1383" i="1"/>
  <c r="H1383" i="1"/>
  <c r="I1383" i="1"/>
  <c r="J1383" i="1"/>
  <c r="K1383" i="1"/>
  <c r="M1383" i="1"/>
  <c r="P1383" i="1"/>
  <c r="R1383" i="1"/>
  <c r="S1383" i="1"/>
  <c r="T1383" i="1"/>
  <c r="U1383" i="1"/>
  <c r="X1383" i="1"/>
  <c r="Y1383" i="1"/>
  <c r="Z1383" i="1"/>
  <c r="AA1383" i="1"/>
  <c r="AB1383" i="1"/>
  <c r="AC1383" i="1"/>
  <c r="AD1383" i="1"/>
  <c r="AE1383" i="1"/>
  <c r="AF1383" i="1"/>
  <c r="AG1383" i="1"/>
  <c r="AH1383" i="1"/>
  <c r="AI1383" i="1"/>
  <c r="AJ1383" i="1"/>
  <c r="AK1383" i="1"/>
  <c r="C1384" i="1"/>
  <c r="H1384" i="1"/>
  <c r="I1384" i="1"/>
  <c r="J1384" i="1"/>
  <c r="K1384" i="1"/>
  <c r="M1384" i="1"/>
  <c r="P1384" i="1"/>
  <c r="R1384" i="1"/>
  <c r="S1384" i="1"/>
  <c r="T1384" i="1"/>
  <c r="U1384" i="1"/>
  <c r="X1384" i="1"/>
  <c r="Y1384" i="1"/>
  <c r="Z1384" i="1"/>
  <c r="AA1384" i="1"/>
  <c r="AB1384" i="1"/>
  <c r="AC1384" i="1"/>
  <c r="AD1384" i="1"/>
  <c r="AE1384" i="1"/>
  <c r="AF1384" i="1"/>
  <c r="AG1384" i="1"/>
  <c r="AH1384" i="1"/>
  <c r="AI1384" i="1"/>
  <c r="AJ1384" i="1"/>
  <c r="AK1384" i="1"/>
  <c r="C1385" i="1"/>
  <c r="H1385" i="1"/>
  <c r="I1385" i="1"/>
  <c r="J1385" i="1"/>
  <c r="K1385" i="1"/>
  <c r="M1385" i="1"/>
  <c r="P1385" i="1"/>
  <c r="R1385" i="1"/>
  <c r="S1385" i="1"/>
  <c r="T1385" i="1"/>
  <c r="U1385" i="1"/>
  <c r="X1385" i="1"/>
  <c r="Y1385" i="1"/>
  <c r="Z1385" i="1"/>
  <c r="AA1385" i="1"/>
  <c r="AB1385" i="1"/>
  <c r="AC1385" i="1"/>
  <c r="AD1385" i="1"/>
  <c r="AE1385" i="1"/>
  <c r="AF1385" i="1"/>
  <c r="AG1385" i="1"/>
  <c r="AH1385" i="1"/>
  <c r="AI1385" i="1"/>
  <c r="AJ1385" i="1"/>
  <c r="AK1385" i="1"/>
  <c r="C1386" i="1"/>
  <c r="H1386" i="1"/>
  <c r="I1386" i="1"/>
  <c r="J1386" i="1"/>
  <c r="K1386" i="1"/>
  <c r="M1386" i="1"/>
  <c r="P1386" i="1"/>
  <c r="R1386" i="1"/>
  <c r="S1386" i="1"/>
  <c r="T1386" i="1"/>
  <c r="U1386" i="1"/>
  <c r="X1386" i="1"/>
  <c r="Y1386" i="1"/>
  <c r="Z1386" i="1"/>
  <c r="AA1386" i="1"/>
  <c r="AB1386" i="1"/>
  <c r="AC1386" i="1"/>
  <c r="AD1386" i="1"/>
  <c r="AE1386" i="1"/>
  <c r="AF1386" i="1"/>
  <c r="AG1386" i="1"/>
  <c r="AH1386" i="1"/>
  <c r="AI1386" i="1"/>
  <c r="AJ1386" i="1"/>
  <c r="AK1386" i="1"/>
  <c r="C1387" i="1"/>
  <c r="H1387" i="1"/>
  <c r="I1387" i="1"/>
  <c r="J1387" i="1"/>
  <c r="K1387" i="1"/>
  <c r="M1387" i="1"/>
  <c r="P1387" i="1"/>
  <c r="R1387" i="1"/>
  <c r="S1387" i="1"/>
  <c r="T1387" i="1"/>
  <c r="U1387" i="1"/>
  <c r="X1387" i="1"/>
  <c r="Y1387" i="1"/>
  <c r="Z1387" i="1"/>
  <c r="AA1387" i="1"/>
  <c r="AB1387" i="1"/>
  <c r="AC1387" i="1"/>
  <c r="AD1387" i="1"/>
  <c r="AE1387" i="1"/>
  <c r="AF1387" i="1"/>
  <c r="AG1387" i="1"/>
  <c r="AH1387" i="1"/>
  <c r="AI1387" i="1"/>
  <c r="AJ1387" i="1"/>
  <c r="AK1387" i="1"/>
  <c r="C1388" i="1"/>
  <c r="H1388" i="1"/>
  <c r="I1388" i="1"/>
  <c r="J1388" i="1"/>
  <c r="K1388" i="1"/>
  <c r="M1388" i="1"/>
  <c r="P1388" i="1"/>
  <c r="R1388" i="1"/>
  <c r="S1388" i="1"/>
  <c r="T1388" i="1"/>
  <c r="U1388" i="1"/>
  <c r="X1388" i="1"/>
  <c r="Y1388" i="1"/>
  <c r="Z1388" i="1"/>
  <c r="AA1388" i="1"/>
  <c r="AB1388" i="1"/>
  <c r="AC1388" i="1"/>
  <c r="AD1388" i="1"/>
  <c r="AE1388" i="1"/>
  <c r="AF1388" i="1"/>
  <c r="AG1388" i="1"/>
  <c r="AH1388" i="1"/>
  <c r="AI1388" i="1"/>
  <c r="AJ1388" i="1"/>
  <c r="AK1388" i="1"/>
  <c r="C1389" i="1"/>
  <c r="H1389" i="1"/>
  <c r="I1389" i="1"/>
  <c r="J1389" i="1"/>
  <c r="K1389" i="1"/>
  <c r="M1389" i="1"/>
  <c r="P1389" i="1"/>
  <c r="R1389" i="1"/>
  <c r="S1389" i="1"/>
  <c r="T1389" i="1"/>
  <c r="U1389" i="1"/>
  <c r="X1389" i="1"/>
  <c r="Y1389" i="1"/>
  <c r="Z1389" i="1"/>
  <c r="AA1389" i="1"/>
  <c r="AB1389" i="1"/>
  <c r="AC1389" i="1"/>
  <c r="AD1389" i="1"/>
  <c r="AE1389" i="1"/>
  <c r="AF1389" i="1"/>
  <c r="AG1389" i="1"/>
  <c r="AH1389" i="1"/>
  <c r="AI1389" i="1"/>
  <c r="AJ1389" i="1"/>
  <c r="AK1389" i="1"/>
  <c r="C1390" i="1"/>
  <c r="H1390" i="1"/>
  <c r="I1390" i="1"/>
  <c r="J1390" i="1"/>
  <c r="K1390" i="1"/>
  <c r="M1390" i="1"/>
  <c r="P1390" i="1"/>
  <c r="R1390" i="1"/>
  <c r="S1390" i="1"/>
  <c r="T1390" i="1"/>
  <c r="U1390" i="1"/>
  <c r="X1390" i="1"/>
  <c r="Y1390" i="1"/>
  <c r="Z1390" i="1"/>
  <c r="AA1390" i="1"/>
  <c r="AB1390" i="1"/>
  <c r="AC1390" i="1"/>
  <c r="AD1390" i="1"/>
  <c r="AE1390" i="1"/>
  <c r="AF1390" i="1"/>
  <c r="AG1390" i="1"/>
  <c r="AH1390" i="1"/>
  <c r="AI1390" i="1"/>
  <c r="AJ1390" i="1"/>
  <c r="AK1390" i="1"/>
  <c r="C1391" i="1"/>
  <c r="H1391" i="1"/>
  <c r="I1391" i="1"/>
  <c r="J1391" i="1"/>
  <c r="K1391" i="1"/>
  <c r="M1391" i="1"/>
  <c r="P1391" i="1"/>
  <c r="R1391" i="1"/>
  <c r="S1391" i="1"/>
  <c r="T1391" i="1"/>
  <c r="U1391" i="1"/>
  <c r="X1391" i="1"/>
  <c r="Y1391" i="1"/>
  <c r="Z1391" i="1"/>
  <c r="AA1391" i="1"/>
  <c r="AB1391" i="1"/>
  <c r="AC1391" i="1"/>
  <c r="AD1391" i="1"/>
  <c r="AE1391" i="1"/>
  <c r="AF1391" i="1"/>
  <c r="AG1391" i="1"/>
  <c r="AH1391" i="1"/>
  <c r="AI1391" i="1"/>
  <c r="AJ1391" i="1"/>
  <c r="AK1391" i="1"/>
  <c r="C1372" i="1"/>
  <c r="H1372" i="1"/>
  <c r="I1372" i="1"/>
  <c r="J1372" i="1"/>
  <c r="K1372" i="1"/>
  <c r="M1372" i="1"/>
  <c r="P1372" i="1"/>
  <c r="R1372" i="1"/>
  <c r="S1372" i="1"/>
  <c r="T1372" i="1"/>
  <c r="U1372" i="1"/>
  <c r="X1372" i="1"/>
  <c r="Y1372" i="1"/>
  <c r="Z1372" i="1"/>
  <c r="AA1372" i="1"/>
  <c r="AB1372" i="1"/>
  <c r="AC1372" i="1"/>
  <c r="AD1372" i="1"/>
  <c r="AE1372" i="1"/>
  <c r="AF1372" i="1"/>
  <c r="AG1372" i="1"/>
  <c r="AH1372" i="1"/>
  <c r="AI1372" i="1"/>
  <c r="AJ1372" i="1"/>
  <c r="AK1372" i="1"/>
  <c r="C1373" i="1"/>
  <c r="H1373" i="1"/>
  <c r="I1373" i="1"/>
  <c r="J1373" i="1"/>
  <c r="K1373" i="1"/>
  <c r="M1373" i="1"/>
  <c r="P1373" i="1"/>
  <c r="R1373" i="1"/>
  <c r="S1373" i="1"/>
  <c r="T1373" i="1"/>
  <c r="U1373" i="1"/>
  <c r="X1373" i="1"/>
  <c r="Y1373" i="1"/>
  <c r="Z1373" i="1"/>
  <c r="AA1373" i="1"/>
  <c r="AB1373" i="1"/>
  <c r="AC1373" i="1"/>
  <c r="AD1373" i="1"/>
  <c r="AE1373" i="1"/>
  <c r="AF1373" i="1"/>
  <c r="AG1373" i="1"/>
  <c r="AH1373" i="1"/>
  <c r="AI1373" i="1"/>
  <c r="AJ1373" i="1"/>
  <c r="AK1373" i="1"/>
  <c r="C1374" i="1"/>
  <c r="H1374" i="1"/>
  <c r="I1374" i="1"/>
  <c r="J1374" i="1"/>
  <c r="K1374" i="1"/>
  <c r="M1374" i="1"/>
  <c r="P1374" i="1"/>
  <c r="R1374" i="1"/>
  <c r="S1374" i="1"/>
  <c r="T1374" i="1"/>
  <c r="U1374" i="1"/>
  <c r="X1374" i="1"/>
  <c r="Y1374" i="1"/>
  <c r="Z1374" i="1"/>
  <c r="AA1374" i="1"/>
  <c r="AB1374" i="1"/>
  <c r="AC1374" i="1"/>
  <c r="AD1374" i="1"/>
  <c r="AE1374" i="1"/>
  <c r="AF1374" i="1"/>
  <c r="AG1374" i="1"/>
  <c r="AH1374" i="1"/>
  <c r="AI1374" i="1"/>
  <c r="AJ1374" i="1"/>
  <c r="AK1374" i="1"/>
  <c r="C1375" i="1"/>
  <c r="H1375" i="1"/>
  <c r="I1375" i="1"/>
  <c r="J1375" i="1"/>
  <c r="K1375" i="1"/>
  <c r="M1375" i="1"/>
  <c r="P1375" i="1"/>
  <c r="R1375" i="1"/>
  <c r="S1375" i="1"/>
  <c r="T1375" i="1"/>
  <c r="U1375" i="1"/>
  <c r="X1375" i="1"/>
  <c r="Y1375" i="1"/>
  <c r="Z1375" i="1"/>
  <c r="AA1375" i="1"/>
  <c r="AB1375" i="1"/>
  <c r="AC1375" i="1"/>
  <c r="AD1375" i="1"/>
  <c r="AE1375" i="1"/>
  <c r="AF1375" i="1"/>
  <c r="AG1375" i="1"/>
  <c r="AH1375" i="1"/>
  <c r="AI1375" i="1"/>
  <c r="AJ1375" i="1"/>
  <c r="AK1375" i="1"/>
  <c r="C1376" i="1"/>
  <c r="H1376" i="1"/>
  <c r="I1376" i="1"/>
  <c r="J1376" i="1"/>
  <c r="K1376" i="1"/>
  <c r="M1376" i="1"/>
  <c r="P1376" i="1"/>
  <c r="R1376" i="1"/>
  <c r="S1376" i="1"/>
  <c r="T1376" i="1"/>
  <c r="U1376" i="1"/>
  <c r="X1376" i="1"/>
  <c r="Y1376" i="1"/>
  <c r="Z1376" i="1"/>
  <c r="AA1376" i="1"/>
  <c r="AB1376" i="1"/>
  <c r="AC1376" i="1"/>
  <c r="AD1376" i="1"/>
  <c r="AE1376" i="1"/>
  <c r="AF1376" i="1"/>
  <c r="AG1376" i="1"/>
  <c r="AH1376" i="1"/>
  <c r="AI1376" i="1"/>
  <c r="AJ1376" i="1"/>
  <c r="AK1376" i="1"/>
  <c r="C1377" i="1"/>
  <c r="H1377" i="1"/>
  <c r="I1377" i="1"/>
  <c r="J1377" i="1"/>
  <c r="K1377" i="1"/>
  <c r="M1377" i="1"/>
  <c r="P1377" i="1"/>
  <c r="R1377" i="1"/>
  <c r="S1377" i="1"/>
  <c r="T1377" i="1"/>
  <c r="U1377" i="1"/>
  <c r="X1377" i="1"/>
  <c r="Y1377" i="1"/>
  <c r="Z1377" i="1"/>
  <c r="AA1377" i="1"/>
  <c r="AB1377" i="1"/>
  <c r="AC1377" i="1"/>
  <c r="AD1377" i="1"/>
  <c r="AE1377" i="1"/>
  <c r="AF1377" i="1"/>
  <c r="AG1377" i="1"/>
  <c r="AH1377" i="1"/>
  <c r="AI1377" i="1"/>
  <c r="AJ1377" i="1"/>
  <c r="AK1377" i="1"/>
  <c r="C1378" i="1"/>
  <c r="H1378" i="1"/>
  <c r="I1378" i="1"/>
  <c r="J1378" i="1"/>
  <c r="K1378" i="1"/>
  <c r="M1378" i="1"/>
  <c r="P1378" i="1"/>
  <c r="R1378" i="1"/>
  <c r="S1378" i="1"/>
  <c r="T1378" i="1"/>
  <c r="U1378" i="1"/>
  <c r="X1378" i="1"/>
  <c r="Y1378" i="1"/>
  <c r="Z1378" i="1"/>
  <c r="AA1378" i="1"/>
  <c r="AB1378" i="1"/>
  <c r="AC1378" i="1"/>
  <c r="AD1378" i="1"/>
  <c r="AE1378" i="1"/>
  <c r="AF1378" i="1"/>
  <c r="AG1378" i="1"/>
  <c r="AH1378" i="1"/>
  <c r="AI1378" i="1"/>
  <c r="AJ1378" i="1"/>
  <c r="AK1378" i="1"/>
  <c r="C1379" i="1"/>
  <c r="H1379" i="1"/>
  <c r="I1379" i="1"/>
  <c r="J1379" i="1"/>
  <c r="K1379" i="1"/>
  <c r="M1379" i="1"/>
  <c r="P1379" i="1"/>
  <c r="R1379" i="1"/>
  <c r="S1379" i="1"/>
  <c r="T1379" i="1"/>
  <c r="U1379" i="1"/>
  <c r="X1379" i="1"/>
  <c r="Y1379" i="1"/>
  <c r="Z1379" i="1"/>
  <c r="AA1379" i="1"/>
  <c r="AB1379" i="1"/>
  <c r="AC1379" i="1"/>
  <c r="AD1379" i="1"/>
  <c r="AE1379" i="1"/>
  <c r="AF1379" i="1"/>
  <c r="AG1379" i="1"/>
  <c r="AH1379" i="1"/>
  <c r="AI1379" i="1"/>
  <c r="AJ1379" i="1"/>
  <c r="AK1379" i="1"/>
  <c r="C1380" i="1"/>
  <c r="H1380" i="1"/>
  <c r="I1380" i="1"/>
  <c r="J1380" i="1"/>
  <c r="K1380" i="1"/>
  <c r="M1380" i="1"/>
  <c r="P1380" i="1"/>
  <c r="R1380" i="1"/>
  <c r="S1380" i="1"/>
  <c r="T1380" i="1"/>
  <c r="U1380" i="1"/>
  <c r="X1380" i="1"/>
  <c r="Y1380" i="1"/>
  <c r="Z1380" i="1"/>
  <c r="AA1380" i="1"/>
  <c r="AB1380" i="1"/>
  <c r="AC1380" i="1"/>
  <c r="AD1380" i="1"/>
  <c r="AE1380" i="1"/>
  <c r="AF1380" i="1"/>
  <c r="AG1380" i="1"/>
  <c r="AH1380" i="1"/>
  <c r="AI1380" i="1"/>
  <c r="AJ1380" i="1"/>
  <c r="AK1380" i="1"/>
  <c r="C1381" i="1"/>
  <c r="H1381" i="1"/>
  <c r="I1381" i="1"/>
  <c r="J1381" i="1"/>
  <c r="K1381" i="1"/>
  <c r="M1381" i="1"/>
  <c r="P1381" i="1"/>
  <c r="R1381" i="1"/>
  <c r="S1381" i="1"/>
  <c r="T1381" i="1"/>
  <c r="U1381" i="1"/>
  <c r="X1381" i="1"/>
  <c r="Y1381" i="1"/>
  <c r="Z1381" i="1"/>
  <c r="AA1381" i="1"/>
  <c r="AB1381" i="1"/>
  <c r="AC1381" i="1"/>
  <c r="AD1381" i="1"/>
  <c r="AE1381" i="1"/>
  <c r="AF1381" i="1"/>
  <c r="AG1381" i="1"/>
  <c r="AH1381" i="1"/>
  <c r="AI1381" i="1"/>
  <c r="AJ1381" i="1"/>
  <c r="AK1381" i="1"/>
  <c r="C1362" i="1"/>
  <c r="H1362" i="1"/>
  <c r="I1362" i="1"/>
  <c r="J1362" i="1"/>
  <c r="K1362" i="1"/>
  <c r="M1362" i="1"/>
  <c r="P1362" i="1"/>
  <c r="R1362" i="1"/>
  <c r="S1362" i="1"/>
  <c r="T1362" i="1"/>
  <c r="U1362" i="1"/>
  <c r="X1362" i="1"/>
  <c r="Y1362" i="1"/>
  <c r="Z1362" i="1"/>
  <c r="AA1362" i="1"/>
  <c r="AB1362" i="1"/>
  <c r="AC1362" i="1"/>
  <c r="AD1362" i="1"/>
  <c r="AE1362" i="1"/>
  <c r="AF1362" i="1"/>
  <c r="AG1362" i="1"/>
  <c r="AH1362" i="1"/>
  <c r="AI1362" i="1"/>
  <c r="AJ1362" i="1"/>
  <c r="AK1362" i="1"/>
  <c r="C1363" i="1"/>
  <c r="H1363" i="1"/>
  <c r="I1363" i="1"/>
  <c r="J1363" i="1"/>
  <c r="K1363" i="1"/>
  <c r="M1363" i="1"/>
  <c r="P1363" i="1"/>
  <c r="R1363" i="1"/>
  <c r="S1363" i="1"/>
  <c r="T1363" i="1"/>
  <c r="U1363" i="1"/>
  <c r="X1363" i="1"/>
  <c r="Y1363" i="1"/>
  <c r="Z1363" i="1"/>
  <c r="AA1363" i="1"/>
  <c r="AB1363" i="1"/>
  <c r="AC1363" i="1"/>
  <c r="AD1363" i="1"/>
  <c r="AE1363" i="1"/>
  <c r="AF1363" i="1"/>
  <c r="AG1363" i="1"/>
  <c r="AH1363" i="1"/>
  <c r="AI1363" i="1"/>
  <c r="AJ1363" i="1"/>
  <c r="AK1363" i="1"/>
  <c r="C1364" i="1"/>
  <c r="H1364" i="1"/>
  <c r="I1364" i="1"/>
  <c r="J1364" i="1"/>
  <c r="K1364" i="1"/>
  <c r="M1364" i="1"/>
  <c r="P1364" i="1"/>
  <c r="R1364" i="1"/>
  <c r="S1364" i="1"/>
  <c r="T1364" i="1"/>
  <c r="U1364" i="1"/>
  <c r="X1364" i="1"/>
  <c r="Y1364" i="1"/>
  <c r="Z1364" i="1"/>
  <c r="AA1364" i="1"/>
  <c r="AB1364" i="1"/>
  <c r="AC1364" i="1"/>
  <c r="AD1364" i="1"/>
  <c r="AE1364" i="1"/>
  <c r="AF1364" i="1"/>
  <c r="AG1364" i="1"/>
  <c r="AH1364" i="1"/>
  <c r="AI1364" i="1"/>
  <c r="AJ1364" i="1"/>
  <c r="AK1364" i="1"/>
  <c r="C1365" i="1"/>
  <c r="H1365" i="1"/>
  <c r="I1365" i="1"/>
  <c r="J1365" i="1"/>
  <c r="K1365" i="1"/>
  <c r="M1365" i="1"/>
  <c r="P1365" i="1"/>
  <c r="R1365" i="1"/>
  <c r="S1365" i="1"/>
  <c r="T1365" i="1"/>
  <c r="U1365" i="1"/>
  <c r="X1365" i="1"/>
  <c r="Y1365" i="1"/>
  <c r="Z1365" i="1"/>
  <c r="AA1365" i="1"/>
  <c r="AB1365" i="1"/>
  <c r="AC1365" i="1"/>
  <c r="AD1365" i="1"/>
  <c r="AE1365" i="1"/>
  <c r="AF1365" i="1"/>
  <c r="AG1365" i="1"/>
  <c r="AH1365" i="1"/>
  <c r="AI1365" i="1"/>
  <c r="AJ1365" i="1"/>
  <c r="AK1365" i="1"/>
  <c r="C1366" i="1"/>
  <c r="H1366" i="1"/>
  <c r="I1366" i="1"/>
  <c r="J1366" i="1"/>
  <c r="K1366" i="1"/>
  <c r="M1366" i="1"/>
  <c r="P1366" i="1"/>
  <c r="R1366" i="1"/>
  <c r="S1366" i="1"/>
  <c r="T1366" i="1"/>
  <c r="U1366" i="1"/>
  <c r="X1366" i="1"/>
  <c r="Y1366" i="1"/>
  <c r="Z1366" i="1"/>
  <c r="AA1366" i="1"/>
  <c r="AB1366" i="1"/>
  <c r="AC1366" i="1"/>
  <c r="AD1366" i="1"/>
  <c r="AE1366" i="1"/>
  <c r="AF1366" i="1"/>
  <c r="AG1366" i="1"/>
  <c r="AH1366" i="1"/>
  <c r="AI1366" i="1"/>
  <c r="AJ1366" i="1"/>
  <c r="AK1366" i="1"/>
  <c r="C1367" i="1"/>
  <c r="H1367" i="1"/>
  <c r="I1367" i="1"/>
  <c r="J1367" i="1"/>
  <c r="K1367" i="1"/>
  <c r="M1367" i="1"/>
  <c r="P1367" i="1"/>
  <c r="R1367" i="1"/>
  <c r="S1367" i="1"/>
  <c r="T1367" i="1"/>
  <c r="U1367" i="1"/>
  <c r="X1367" i="1"/>
  <c r="Y1367" i="1"/>
  <c r="Z1367" i="1"/>
  <c r="AA1367" i="1"/>
  <c r="AB1367" i="1"/>
  <c r="AC1367" i="1"/>
  <c r="AD1367" i="1"/>
  <c r="AE1367" i="1"/>
  <c r="AF1367" i="1"/>
  <c r="AG1367" i="1"/>
  <c r="AH1367" i="1"/>
  <c r="AI1367" i="1"/>
  <c r="AJ1367" i="1"/>
  <c r="AK1367" i="1"/>
  <c r="C1368" i="1"/>
  <c r="H1368" i="1"/>
  <c r="I1368" i="1"/>
  <c r="J1368" i="1"/>
  <c r="K1368" i="1"/>
  <c r="M1368" i="1"/>
  <c r="P1368" i="1"/>
  <c r="R1368" i="1"/>
  <c r="S1368" i="1"/>
  <c r="T1368" i="1"/>
  <c r="U1368" i="1"/>
  <c r="X1368" i="1"/>
  <c r="Y1368" i="1"/>
  <c r="Z1368" i="1"/>
  <c r="AA1368" i="1"/>
  <c r="AB1368" i="1"/>
  <c r="AC1368" i="1"/>
  <c r="AD1368" i="1"/>
  <c r="AE1368" i="1"/>
  <c r="AF1368" i="1"/>
  <c r="AG1368" i="1"/>
  <c r="AH1368" i="1"/>
  <c r="AI1368" i="1"/>
  <c r="AJ1368" i="1"/>
  <c r="AK1368" i="1"/>
  <c r="C1369" i="1"/>
  <c r="H1369" i="1"/>
  <c r="I1369" i="1"/>
  <c r="J1369" i="1"/>
  <c r="K1369" i="1"/>
  <c r="M1369" i="1"/>
  <c r="P1369" i="1"/>
  <c r="R1369" i="1"/>
  <c r="S1369" i="1"/>
  <c r="T1369" i="1"/>
  <c r="U1369" i="1"/>
  <c r="X1369" i="1"/>
  <c r="Y1369" i="1"/>
  <c r="Z1369" i="1"/>
  <c r="AA1369" i="1"/>
  <c r="AB1369" i="1"/>
  <c r="AC1369" i="1"/>
  <c r="AD1369" i="1"/>
  <c r="AE1369" i="1"/>
  <c r="AF1369" i="1"/>
  <c r="AG1369" i="1"/>
  <c r="AH1369" i="1"/>
  <c r="AI1369" i="1"/>
  <c r="AJ1369" i="1"/>
  <c r="AK1369" i="1"/>
  <c r="C1370" i="1"/>
  <c r="H1370" i="1"/>
  <c r="I1370" i="1"/>
  <c r="J1370" i="1"/>
  <c r="K1370" i="1"/>
  <c r="M1370" i="1"/>
  <c r="P1370" i="1"/>
  <c r="R1370" i="1"/>
  <c r="S1370" i="1"/>
  <c r="T1370" i="1"/>
  <c r="U1370" i="1"/>
  <c r="X1370" i="1"/>
  <c r="Y1370" i="1"/>
  <c r="Z1370" i="1"/>
  <c r="AA1370" i="1"/>
  <c r="AB1370" i="1"/>
  <c r="AC1370" i="1"/>
  <c r="AD1370" i="1"/>
  <c r="AE1370" i="1"/>
  <c r="AF1370" i="1"/>
  <c r="AG1370" i="1"/>
  <c r="AH1370" i="1"/>
  <c r="AI1370" i="1"/>
  <c r="AJ1370" i="1"/>
  <c r="AK1370" i="1"/>
  <c r="C1371" i="1"/>
  <c r="H1371" i="1"/>
  <c r="I1371" i="1"/>
  <c r="J1371" i="1"/>
  <c r="K1371" i="1"/>
  <c r="M1371" i="1"/>
  <c r="P1371" i="1"/>
  <c r="R1371" i="1"/>
  <c r="S1371" i="1"/>
  <c r="T1371" i="1"/>
  <c r="U1371" i="1"/>
  <c r="X1371" i="1"/>
  <c r="Y1371" i="1"/>
  <c r="Z1371" i="1"/>
  <c r="AA1371" i="1"/>
  <c r="AB1371" i="1"/>
  <c r="AC1371" i="1"/>
  <c r="AD1371" i="1"/>
  <c r="AE1371" i="1"/>
  <c r="AF1371" i="1"/>
  <c r="AG1371" i="1"/>
  <c r="AH1371" i="1"/>
  <c r="AI1371" i="1"/>
  <c r="AJ1371" i="1"/>
  <c r="AK1371" i="1"/>
  <c r="C1352" i="1"/>
  <c r="H1352" i="1"/>
  <c r="I1352" i="1"/>
  <c r="J1352" i="1"/>
  <c r="K1352" i="1"/>
  <c r="M1352" i="1"/>
  <c r="P1352" i="1"/>
  <c r="R1352" i="1"/>
  <c r="S1352" i="1"/>
  <c r="T1352" i="1"/>
  <c r="U1352" i="1"/>
  <c r="X1352" i="1"/>
  <c r="Y1352" i="1"/>
  <c r="Z1352" i="1"/>
  <c r="AA1352" i="1"/>
  <c r="AB1352" i="1"/>
  <c r="AC1352" i="1"/>
  <c r="AD1352" i="1"/>
  <c r="AE1352" i="1"/>
  <c r="AF1352" i="1"/>
  <c r="AG1352" i="1"/>
  <c r="AH1352" i="1"/>
  <c r="AI1352" i="1"/>
  <c r="AJ1352" i="1"/>
  <c r="AK1352" i="1"/>
  <c r="C1353" i="1"/>
  <c r="H1353" i="1"/>
  <c r="I1353" i="1"/>
  <c r="J1353" i="1"/>
  <c r="K1353" i="1"/>
  <c r="M1353" i="1"/>
  <c r="P1353" i="1"/>
  <c r="R1353" i="1"/>
  <c r="S1353" i="1"/>
  <c r="T1353" i="1"/>
  <c r="U1353" i="1"/>
  <c r="X1353" i="1"/>
  <c r="Y1353" i="1"/>
  <c r="Z1353" i="1"/>
  <c r="AA1353" i="1"/>
  <c r="AB1353" i="1"/>
  <c r="AC1353" i="1"/>
  <c r="AD1353" i="1"/>
  <c r="AE1353" i="1"/>
  <c r="AF1353" i="1"/>
  <c r="AG1353" i="1"/>
  <c r="AH1353" i="1"/>
  <c r="AI1353" i="1"/>
  <c r="AJ1353" i="1"/>
  <c r="AK1353" i="1"/>
  <c r="C1354" i="1"/>
  <c r="H1354" i="1"/>
  <c r="I1354" i="1"/>
  <c r="J1354" i="1"/>
  <c r="K1354" i="1"/>
  <c r="M1354" i="1"/>
  <c r="P1354" i="1"/>
  <c r="R1354" i="1"/>
  <c r="S1354" i="1"/>
  <c r="T1354" i="1"/>
  <c r="U1354" i="1"/>
  <c r="X1354" i="1"/>
  <c r="Y1354" i="1"/>
  <c r="Z1354" i="1"/>
  <c r="AA1354" i="1"/>
  <c r="AB1354" i="1"/>
  <c r="AC1354" i="1"/>
  <c r="AD1354" i="1"/>
  <c r="AE1354" i="1"/>
  <c r="AF1354" i="1"/>
  <c r="AG1354" i="1"/>
  <c r="AH1354" i="1"/>
  <c r="AI1354" i="1"/>
  <c r="AJ1354" i="1"/>
  <c r="AK1354" i="1"/>
  <c r="C1355" i="1"/>
  <c r="H1355" i="1"/>
  <c r="I1355" i="1"/>
  <c r="J1355" i="1"/>
  <c r="K1355" i="1"/>
  <c r="M1355" i="1"/>
  <c r="P1355" i="1"/>
  <c r="R1355" i="1"/>
  <c r="S1355" i="1"/>
  <c r="T1355" i="1"/>
  <c r="U1355" i="1"/>
  <c r="X1355" i="1"/>
  <c r="Y1355" i="1"/>
  <c r="Z1355" i="1"/>
  <c r="AA1355" i="1"/>
  <c r="AB1355" i="1"/>
  <c r="AC1355" i="1"/>
  <c r="AD1355" i="1"/>
  <c r="AE1355" i="1"/>
  <c r="AF1355" i="1"/>
  <c r="AG1355" i="1"/>
  <c r="AH1355" i="1"/>
  <c r="AI1355" i="1"/>
  <c r="AJ1355" i="1"/>
  <c r="AK1355" i="1"/>
  <c r="C1356" i="1"/>
  <c r="H1356" i="1"/>
  <c r="I1356" i="1"/>
  <c r="J1356" i="1"/>
  <c r="K1356" i="1"/>
  <c r="M1356" i="1"/>
  <c r="P1356" i="1"/>
  <c r="R1356" i="1"/>
  <c r="S1356" i="1"/>
  <c r="T1356" i="1"/>
  <c r="U1356" i="1"/>
  <c r="X1356" i="1"/>
  <c r="Y1356" i="1"/>
  <c r="Z1356" i="1"/>
  <c r="AA1356" i="1"/>
  <c r="AB1356" i="1"/>
  <c r="AC1356" i="1"/>
  <c r="AD1356" i="1"/>
  <c r="AE1356" i="1"/>
  <c r="AF1356" i="1"/>
  <c r="AG1356" i="1"/>
  <c r="AH1356" i="1"/>
  <c r="AI1356" i="1"/>
  <c r="AJ1356" i="1"/>
  <c r="AK1356" i="1"/>
  <c r="C1357" i="1"/>
  <c r="H1357" i="1"/>
  <c r="I1357" i="1"/>
  <c r="J1357" i="1"/>
  <c r="K1357" i="1"/>
  <c r="M1357" i="1"/>
  <c r="P1357" i="1"/>
  <c r="R1357" i="1"/>
  <c r="S1357" i="1"/>
  <c r="T1357" i="1"/>
  <c r="U1357" i="1"/>
  <c r="X1357" i="1"/>
  <c r="Y1357" i="1"/>
  <c r="Z1357" i="1"/>
  <c r="AA1357" i="1"/>
  <c r="AB1357" i="1"/>
  <c r="AC1357" i="1"/>
  <c r="AD1357" i="1"/>
  <c r="AE1357" i="1"/>
  <c r="AF1357" i="1"/>
  <c r="AG1357" i="1"/>
  <c r="AH1357" i="1"/>
  <c r="AI1357" i="1"/>
  <c r="AJ1357" i="1"/>
  <c r="AK1357" i="1"/>
  <c r="C1358" i="1"/>
  <c r="H1358" i="1"/>
  <c r="I1358" i="1"/>
  <c r="J1358" i="1"/>
  <c r="K1358" i="1"/>
  <c r="M1358" i="1"/>
  <c r="P1358" i="1"/>
  <c r="R1358" i="1"/>
  <c r="S1358" i="1"/>
  <c r="T1358" i="1"/>
  <c r="U1358" i="1"/>
  <c r="X1358" i="1"/>
  <c r="Y1358" i="1"/>
  <c r="Z1358" i="1"/>
  <c r="AA1358" i="1"/>
  <c r="AB1358" i="1"/>
  <c r="AC1358" i="1"/>
  <c r="AD1358" i="1"/>
  <c r="AE1358" i="1"/>
  <c r="AF1358" i="1"/>
  <c r="AG1358" i="1"/>
  <c r="AH1358" i="1"/>
  <c r="AI1358" i="1"/>
  <c r="AJ1358" i="1"/>
  <c r="AK1358" i="1"/>
  <c r="C1359" i="1"/>
  <c r="H1359" i="1"/>
  <c r="I1359" i="1"/>
  <c r="J1359" i="1"/>
  <c r="K1359" i="1"/>
  <c r="M1359" i="1"/>
  <c r="P1359" i="1"/>
  <c r="R1359" i="1"/>
  <c r="S1359" i="1"/>
  <c r="T1359" i="1"/>
  <c r="U1359" i="1"/>
  <c r="X1359" i="1"/>
  <c r="Y1359" i="1"/>
  <c r="Z1359" i="1"/>
  <c r="AA1359" i="1"/>
  <c r="AB1359" i="1"/>
  <c r="AC1359" i="1"/>
  <c r="AD1359" i="1"/>
  <c r="AE1359" i="1"/>
  <c r="AF1359" i="1"/>
  <c r="AG1359" i="1"/>
  <c r="AH1359" i="1"/>
  <c r="AI1359" i="1"/>
  <c r="AJ1359" i="1"/>
  <c r="AK1359" i="1"/>
  <c r="C1360" i="1"/>
  <c r="H1360" i="1"/>
  <c r="I1360" i="1"/>
  <c r="J1360" i="1"/>
  <c r="K1360" i="1"/>
  <c r="M1360" i="1"/>
  <c r="P1360" i="1"/>
  <c r="R1360" i="1"/>
  <c r="S1360" i="1"/>
  <c r="T1360" i="1"/>
  <c r="U1360" i="1"/>
  <c r="X1360" i="1"/>
  <c r="Y1360" i="1"/>
  <c r="Z1360" i="1"/>
  <c r="AA1360" i="1"/>
  <c r="AB1360" i="1"/>
  <c r="AC1360" i="1"/>
  <c r="AD1360" i="1"/>
  <c r="AE1360" i="1"/>
  <c r="AF1360" i="1"/>
  <c r="AG1360" i="1"/>
  <c r="AH1360" i="1"/>
  <c r="AI1360" i="1"/>
  <c r="AJ1360" i="1"/>
  <c r="AK1360" i="1"/>
  <c r="C1361" i="1"/>
  <c r="H1361" i="1"/>
  <c r="I1361" i="1"/>
  <c r="J1361" i="1"/>
  <c r="K1361" i="1"/>
  <c r="M1361" i="1"/>
  <c r="P1361" i="1"/>
  <c r="R1361" i="1"/>
  <c r="S1361" i="1"/>
  <c r="T1361" i="1"/>
  <c r="U1361" i="1"/>
  <c r="X1361" i="1"/>
  <c r="Y1361" i="1"/>
  <c r="Z1361" i="1"/>
  <c r="AA1361" i="1"/>
  <c r="AB1361" i="1"/>
  <c r="AC1361" i="1"/>
  <c r="AD1361" i="1"/>
  <c r="AE1361" i="1"/>
  <c r="AF1361" i="1"/>
  <c r="AG1361" i="1"/>
  <c r="AH1361" i="1"/>
  <c r="AI1361" i="1"/>
  <c r="AJ1361" i="1"/>
  <c r="AK1361" i="1"/>
  <c r="C1342" i="1"/>
  <c r="H1342" i="1"/>
  <c r="I1342" i="1"/>
  <c r="J1342" i="1"/>
  <c r="K1342" i="1"/>
  <c r="M1342" i="1"/>
  <c r="P1342" i="1"/>
  <c r="R1342" i="1"/>
  <c r="S1342" i="1"/>
  <c r="T1342" i="1"/>
  <c r="U1342" i="1"/>
  <c r="X1342" i="1"/>
  <c r="Y1342" i="1"/>
  <c r="Z1342" i="1"/>
  <c r="AA1342" i="1"/>
  <c r="AB1342" i="1"/>
  <c r="AC1342" i="1"/>
  <c r="AD1342" i="1"/>
  <c r="AE1342" i="1"/>
  <c r="AF1342" i="1"/>
  <c r="AG1342" i="1"/>
  <c r="AH1342" i="1"/>
  <c r="AI1342" i="1"/>
  <c r="AJ1342" i="1"/>
  <c r="AK1342" i="1"/>
  <c r="C1343" i="1"/>
  <c r="H1343" i="1"/>
  <c r="I1343" i="1"/>
  <c r="J1343" i="1"/>
  <c r="K1343" i="1"/>
  <c r="M1343" i="1"/>
  <c r="P1343" i="1"/>
  <c r="R1343" i="1"/>
  <c r="S1343" i="1"/>
  <c r="T1343" i="1"/>
  <c r="U1343" i="1"/>
  <c r="X1343" i="1"/>
  <c r="Y1343" i="1"/>
  <c r="Z1343" i="1"/>
  <c r="AA1343" i="1"/>
  <c r="AB1343" i="1"/>
  <c r="AC1343" i="1"/>
  <c r="AD1343" i="1"/>
  <c r="AE1343" i="1"/>
  <c r="AF1343" i="1"/>
  <c r="AG1343" i="1"/>
  <c r="AH1343" i="1"/>
  <c r="AI1343" i="1"/>
  <c r="AJ1343" i="1"/>
  <c r="AK1343" i="1"/>
  <c r="C1344" i="1"/>
  <c r="H1344" i="1"/>
  <c r="I1344" i="1"/>
  <c r="J1344" i="1"/>
  <c r="K1344" i="1"/>
  <c r="M1344" i="1"/>
  <c r="P1344" i="1"/>
  <c r="R1344" i="1"/>
  <c r="S1344" i="1"/>
  <c r="T1344" i="1"/>
  <c r="U1344" i="1"/>
  <c r="X1344" i="1"/>
  <c r="Y1344" i="1"/>
  <c r="Z1344" i="1"/>
  <c r="AA1344" i="1"/>
  <c r="AB1344" i="1"/>
  <c r="AC1344" i="1"/>
  <c r="AD1344" i="1"/>
  <c r="AE1344" i="1"/>
  <c r="AF1344" i="1"/>
  <c r="AG1344" i="1"/>
  <c r="AH1344" i="1"/>
  <c r="AI1344" i="1"/>
  <c r="AJ1344" i="1"/>
  <c r="AK1344" i="1"/>
  <c r="C1345" i="1"/>
  <c r="H1345" i="1"/>
  <c r="I1345" i="1"/>
  <c r="J1345" i="1"/>
  <c r="K1345" i="1"/>
  <c r="M1345" i="1"/>
  <c r="P1345" i="1"/>
  <c r="R1345" i="1"/>
  <c r="S1345" i="1"/>
  <c r="T1345" i="1"/>
  <c r="U1345" i="1"/>
  <c r="X1345" i="1"/>
  <c r="Y1345" i="1"/>
  <c r="Z1345" i="1"/>
  <c r="AA1345" i="1"/>
  <c r="AB1345" i="1"/>
  <c r="AC1345" i="1"/>
  <c r="AD1345" i="1"/>
  <c r="AE1345" i="1"/>
  <c r="AF1345" i="1"/>
  <c r="AG1345" i="1"/>
  <c r="AH1345" i="1"/>
  <c r="AI1345" i="1"/>
  <c r="AJ1345" i="1"/>
  <c r="AK1345" i="1"/>
  <c r="C1346" i="1"/>
  <c r="H1346" i="1"/>
  <c r="I1346" i="1"/>
  <c r="J1346" i="1"/>
  <c r="K1346" i="1"/>
  <c r="M1346" i="1"/>
  <c r="P1346" i="1"/>
  <c r="R1346" i="1"/>
  <c r="S1346" i="1"/>
  <c r="T1346" i="1"/>
  <c r="U1346" i="1"/>
  <c r="X1346" i="1"/>
  <c r="Y1346" i="1"/>
  <c r="Z1346" i="1"/>
  <c r="AA1346" i="1"/>
  <c r="AB1346" i="1"/>
  <c r="AC1346" i="1"/>
  <c r="AD1346" i="1"/>
  <c r="AE1346" i="1"/>
  <c r="AF1346" i="1"/>
  <c r="AG1346" i="1"/>
  <c r="AH1346" i="1"/>
  <c r="AI1346" i="1"/>
  <c r="AJ1346" i="1"/>
  <c r="AK1346" i="1"/>
  <c r="C1347" i="1"/>
  <c r="H1347" i="1"/>
  <c r="I1347" i="1"/>
  <c r="J1347" i="1"/>
  <c r="K1347" i="1"/>
  <c r="M1347" i="1"/>
  <c r="P1347" i="1"/>
  <c r="R1347" i="1"/>
  <c r="S1347" i="1"/>
  <c r="T1347" i="1"/>
  <c r="U1347" i="1"/>
  <c r="X1347" i="1"/>
  <c r="Y1347" i="1"/>
  <c r="Z1347" i="1"/>
  <c r="AA1347" i="1"/>
  <c r="AB1347" i="1"/>
  <c r="AC1347" i="1"/>
  <c r="AD1347" i="1"/>
  <c r="AE1347" i="1"/>
  <c r="AF1347" i="1"/>
  <c r="AG1347" i="1"/>
  <c r="AH1347" i="1"/>
  <c r="AI1347" i="1"/>
  <c r="AJ1347" i="1"/>
  <c r="AK1347" i="1"/>
  <c r="C1348" i="1"/>
  <c r="H1348" i="1"/>
  <c r="I1348" i="1"/>
  <c r="J1348" i="1"/>
  <c r="K1348" i="1"/>
  <c r="M1348" i="1"/>
  <c r="P1348" i="1"/>
  <c r="R1348" i="1"/>
  <c r="S1348" i="1"/>
  <c r="T1348" i="1"/>
  <c r="U1348" i="1"/>
  <c r="X1348" i="1"/>
  <c r="Y1348" i="1"/>
  <c r="Z1348" i="1"/>
  <c r="AA1348" i="1"/>
  <c r="AB1348" i="1"/>
  <c r="AC1348" i="1"/>
  <c r="AD1348" i="1"/>
  <c r="AE1348" i="1"/>
  <c r="AF1348" i="1"/>
  <c r="AG1348" i="1"/>
  <c r="AH1348" i="1"/>
  <c r="AI1348" i="1"/>
  <c r="AJ1348" i="1"/>
  <c r="AK1348" i="1"/>
  <c r="C1349" i="1"/>
  <c r="H1349" i="1"/>
  <c r="I1349" i="1"/>
  <c r="J1349" i="1"/>
  <c r="K1349" i="1"/>
  <c r="M1349" i="1"/>
  <c r="P1349" i="1"/>
  <c r="R1349" i="1"/>
  <c r="S1349" i="1"/>
  <c r="T1349" i="1"/>
  <c r="U1349" i="1"/>
  <c r="X1349" i="1"/>
  <c r="Y1349" i="1"/>
  <c r="Z1349" i="1"/>
  <c r="AA1349" i="1"/>
  <c r="AB1349" i="1"/>
  <c r="AC1349" i="1"/>
  <c r="AD1349" i="1"/>
  <c r="AE1349" i="1"/>
  <c r="AF1349" i="1"/>
  <c r="AG1349" i="1"/>
  <c r="AH1349" i="1"/>
  <c r="AI1349" i="1"/>
  <c r="AJ1349" i="1"/>
  <c r="AK1349" i="1"/>
  <c r="C1350" i="1"/>
  <c r="H1350" i="1"/>
  <c r="I1350" i="1"/>
  <c r="J1350" i="1"/>
  <c r="K1350" i="1"/>
  <c r="M1350" i="1"/>
  <c r="P1350" i="1"/>
  <c r="R1350" i="1"/>
  <c r="S1350" i="1"/>
  <c r="T1350" i="1"/>
  <c r="U1350" i="1"/>
  <c r="X1350" i="1"/>
  <c r="Y1350" i="1"/>
  <c r="Z1350" i="1"/>
  <c r="AA1350" i="1"/>
  <c r="AB1350" i="1"/>
  <c r="AC1350" i="1"/>
  <c r="AD1350" i="1"/>
  <c r="AE1350" i="1"/>
  <c r="AF1350" i="1"/>
  <c r="AG1350" i="1"/>
  <c r="AH1350" i="1"/>
  <c r="AI1350" i="1"/>
  <c r="AJ1350" i="1"/>
  <c r="AK1350" i="1"/>
  <c r="C1351" i="1"/>
  <c r="H1351" i="1"/>
  <c r="I1351" i="1"/>
  <c r="J1351" i="1"/>
  <c r="K1351" i="1"/>
  <c r="M1351" i="1"/>
  <c r="P1351" i="1"/>
  <c r="R1351" i="1"/>
  <c r="S1351" i="1"/>
  <c r="T1351" i="1"/>
  <c r="U1351" i="1"/>
  <c r="X1351" i="1"/>
  <c r="Y1351" i="1"/>
  <c r="Z1351" i="1"/>
  <c r="AA1351" i="1"/>
  <c r="AB1351" i="1"/>
  <c r="AC1351" i="1"/>
  <c r="AD1351" i="1"/>
  <c r="AE1351" i="1"/>
  <c r="AF1351" i="1"/>
  <c r="AG1351" i="1"/>
  <c r="AH1351" i="1"/>
  <c r="AI1351" i="1"/>
  <c r="AJ1351" i="1"/>
  <c r="AK1351" i="1"/>
  <c r="C1332" i="1"/>
  <c r="H1332" i="1"/>
  <c r="I1332" i="1"/>
  <c r="J1332" i="1"/>
  <c r="K1332" i="1"/>
  <c r="M1332" i="1"/>
  <c r="P1332" i="1"/>
  <c r="R1332" i="1"/>
  <c r="S1332" i="1"/>
  <c r="T1332" i="1"/>
  <c r="U1332" i="1"/>
  <c r="X1332" i="1"/>
  <c r="Y1332" i="1"/>
  <c r="Z1332" i="1"/>
  <c r="AA1332" i="1"/>
  <c r="AB1332" i="1"/>
  <c r="AC1332" i="1"/>
  <c r="AD1332" i="1"/>
  <c r="AE1332" i="1"/>
  <c r="AF1332" i="1"/>
  <c r="AG1332" i="1"/>
  <c r="AH1332" i="1"/>
  <c r="AI1332" i="1"/>
  <c r="AJ1332" i="1"/>
  <c r="AK1332" i="1"/>
  <c r="C1333" i="1"/>
  <c r="H1333" i="1"/>
  <c r="I1333" i="1"/>
  <c r="J1333" i="1"/>
  <c r="K1333" i="1"/>
  <c r="M1333" i="1"/>
  <c r="P1333" i="1"/>
  <c r="R1333" i="1"/>
  <c r="S1333" i="1"/>
  <c r="T1333" i="1"/>
  <c r="U1333" i="1"/>
  <c r="X1333" i="1"/>
  <c r="Y1333" i="1"/>
  <c r="Z1333" i="1"/>
  <c r="AA1333" i="1"/>
  <c r="AB1333" i="1"/>
  <c r="AC1333" i="1"/>
  <c r="AD1333" i="1"/>
  <c r="AE1333" i="1"/>
  <c r="AF1333" i="1"/>
  <c r="AG1333" i="1"/>
  <c r="AH1333" i="1"/>
  <c r="AI1333" i="1"/>
  <c r="AJ1333" i="1"/>
  <c r="AK1333" i="1"/>
  <c r="C1334" i="1"/>
  <c r="H1334" i="1"/>
  <c r="I1334" i="1"/>
  <c r="J1334" i="1"/>
  <c r="K1334" i="1"/>
  <c r="M1334" i="1"/>
  <c r="P1334" i="1"/>
  <c r="R1334" i="1"/>
  <c r="S1334" i="1"/>
  <c r="T1334" i="1"/>
  <c r="U1334" i="1"/>
  <c r="X1334" i="1"/>
  <c r="Y1334" i="1"/>
  <c r="Z1334" i="1"/>
  <c r="AA1334" i="1"/>
  <c r="AB1334" i="1"/>
  <c r="AC1334" i="1"/>
  <c r="AD1334" i="1"/>
  <c r="AE1334" i="1"/>
  <c r="AF1334" i="1"/>
  <c r="AG1334" i="1"/>
  <c r="AH1334" i="1"/>
  <c r="AI1334" i="1"/>
  <c r="AJ1334" i="1"/>
  <c r="AK1334" i="1"/>
  <c r="C1335" i="1"/>
  <c r="H1335" i="1"/>
  <c r="I1335" i="1"/>
  <c r="J1335" i="1"/>
  <c r="K1335" i="1"/>
  <c r="M1335" i="1"/>
  <c r="P1335" i="1"/>
  <c r="R1335" i="1"/>
  <c r="S1335" i="1"/>
  <c r="T1335" i="1"/>
  <c r="U1335" i="1"/>
  <c r="X1335" i="1"/>
  <c r="Y1335" i="1"/>
  <c r="Z1335" i="1"/>
  <c r="AA1335" i="1"/>
  <c r="AB1335" i="1"/>
  <c r="AC1335" i="1"/>
  <c r="AD1335" i="1"/>
  <c r="AE1335" i="1"/>
  <c r="AF1335" i="1"/>
  <c r="AG1335" i="1"/>
  <c r="AH1335" i="1"/>
  <c r="AI1335" i="1"/>
  <c r="AJ1335" i="1"/>
  <c r="AK1335" i="1"/>
  <c r="C1336" i="1"/>
  <c r="H1336" i="1"/>
  <c r="I1336" i="1"/>
  <c r="J1336" i="1"/>
  <c r="K1336" i="1"/>
  <c r="M1336" i="1"/>
  <c r="P1336" i="1"/>
  <c r="R1336" i="1"/>
  <c r="S1336" i="1"/>
  <c r="T1336" i="1"/>
  <c r="U1336" i="1"/>
  <c r="X1336" i="1"/>
  <c r="Y1336" i="1"/>
  <c r="Z1336" i="1"/>
  <c r="AA1336" i="1"/>
  <c r="AB1336" i="1"/>
  <c r="AC1336" i="1"/>
  <c r="AD1336" i="1"/>
  <c r="AE1336" i="1"/>
  <c r="AF1336" i="1"/>
  <c r="AG1336" i="1"/>
  <c r="AH1336" i="1"/>
  <c r="AI1336" i="1"/>
  <c r="AJ1336" i="1"/>
  <c r="AK1336" i="1"/>
  <c r="C1337" i="1"/>
  <c r="H1337" i="1"/>
  <c r="I1337" i="1"/>
  <c r="J1337" i="1"/>
  <c r="K1337" i="1"/>
  <c r="M1337" i="1"/>
  <c r="P1337" i="1"/>
  <c r="R1337" i="1"/>
  <c r="S1337" i="1"/>
  <c r="T1337" i="1"/>
  <c r="U1337" i="1"/>
  <c r="X1337" i="1"/>
  <c r="Y1337" i="1"/>
  <c r="Z1337" i="1"/>
  <c r="AA1337" i="1"/>
  <c r="AB1337" i="1"/>
  <c r="AC1337" i="1"/>
  <c r="AD1337" i="1"/>
  <c r="AE1337" i="1"/>
  <c r="AF1337" i="1"/>
  <c r="AG1337" i="1"/>
  <c r="AH1337" i="1"/>
  <c r="AI1337" i="1"/>
  <c r="AJ1337" i="1"/>
  <c r="AK1337" i="1"/>
  <c r="C1338" i="1"/>
  <c r="H1338" i="1"/>
  <c r="I1338" i="1"/>
  <c r="J1338" i="1"/>
  <c r="K1338" i="1"/>
  <c r="M1338" i="1"/>
  <c r="P1338" i="1"/>
  <c r="R1338" i="1"/>
  <c r="S1338" i="1"/>
  <c r="T1338" i="1"/>
  <c r="U1338" i="1"/>
  <c r="X1338" i="1"/>
  <c r="Y1338" i="1"/>
  <c r="Z1338" i="1"/>
  <c r="AA1338" i="1"/>
  <c r="AB1338" i="1"/>
  <c r="AC1338" i="1"/>
  <c r="AD1338" i="1"/>
  <c r="AE1338" i="1"/>
  <c r="AF1338" i="1"/>
  <c r="AG1338" i="1"/>
  <c r="AH1338" i="1"/>
  <c r="AI1338" i="1"/>
  <c r="AJ1338" i="1"/>
  <c r="AK1338" i="1"/>
  <c r="C1339" i="1"/>
  <c r="H1339" i="1"/>
  <c r="I1339" i="1"/>
  <c r="J1339" i="1"/>
  <c r="K1339" i="1"/>
  <c r="M1339" i="1"/>
  <c r="P1339" i="1"/>
  <c r="R1339" i="1"/>
  <c r="S1339" i="1"/>
  <c r="T1339" i="1"/>
  <c r="U1339" i="1"/>
  <c r="X1339" i="1"/>
  <c r="Y1339" i="1"/>
  <c r="Z1339" i="1"/>
  <c r="AA1339" i="1"/>
  <c r="AB1339" i="1"/>
  <c r="AC1339" i="1"/>
  <c r="AD1339" i="1"/>
  <c r="AE1339" i="1"/>
  <c r="AF1339" i="1"/>
  <c r="AG1339" i="1"/>
  <c r="AH1339" i="1"/>
  <c r="AI1339" i="1"/>
  <c r="AJ1339" i="1"/>
  <c r="AK1339" i="1"/>
  <c r="C1340" i="1"/>
  <c r="H1340" i="1"/>
  <c r="I1340" i="1"/>
  <c r="J1340" i="1"/>
  <c r="K1340" i="1"/>
  <c r="M1340" i="1"/>
  <c r="P1340" i="1"/>
  <c r="R1340" i="1"/>
  <c r="S1340" i="1"/>
  <c r="T1340" i="1"/>
  <c r="U1340" i="1"/>
  <c r="X1340" i="1"/>
  <c r="Y1340" i="1"/>
  <c r="Z1340" i="1"/>
  <c r="AA1340" i="1"/>
  <c r="AB1340" i="1"/>
  <c r="AC1340" i="1"/>
  <c r="AD1340" i="1"/>
  <c r="AE1340" i="1"/>
  <c r="AF1340" i="1"/>
  <c r="AG1340" i="1"/>
  <c r="AH1340" i="1"/>
  <c r="AI1340" i="1"/>
  <c r="AJ1340" i="1"/>
  <c r="AK1340" i="1"/>
  <c r="C1341" i="1"/>
  <c r="H1341" i="1"/>
  <c r="I1341" i="1"/>
  <c r="J1341" i="1"/>
  <c r="K1341" i="1"/>
  <c r="M1341" i="1"/>
  <c r="P1341" i="1"/>
  <c r="R1341" i="1"/>
  <c r="S1341" i="1"/>
  <c r="T1341" i="1"/>
  <c r="U1341" i="1"/>
  <c r="X1341" i="1"/>
  <c r="Y1341" i="1"/>
  <c r="Z1341" i="1"/>
  <c r="AA1341" i="1"/>
  <c r="AB1341" i="1"/>
  <c r="AC1341" i="1"/>
  <c r="AD1341" i="1"/>
  <c r="AE1341" i="1"/>
  <c r="AF1341" i="1"/>
  <c r="AG1341" i="1"/>
  <c r="AH1341" i="1"/>
  <c r="AI1341" i="1"/>
  <c r="AJ1341" i="1"/>
  <c r="AK1341" i="1"/>
  <c r="C1322" i="1"/>
  <c r="H1322" i="1"/>
  <c r="I1322" i="1"/>
  <c r="J1322" i="1"/>
  <c r="K1322" i="1"/>
  <c r="M1322" i="1"/>
  <c r="P1322" i="1"/>
  <c r="R1322" i="1"/>
  <c r="S1322" i="1"/>
  <c r="T1322" i="1"/>
  <c r="U1322" i="1"/>
  <c r="X1322" i="1"/>
  <c r="Y1322" i="1"/>
  <c r="Z1322" i="1"/>
  <c r="AA1322" i="1"/>
  <c r="AB1322" i="1"/>
  <c r="AC1322" i="1"/>
  <c r="AD1322" i="1"/>
  <c r="AE1322" i="1"/>
  <c r="AF1322" i="1"/>
  <c r="AG1322" i="1"/>
  <c r="AH1322" i="1"/>
  <c r="AI1322" i="1"/>
  <c r="AJ1322" i="1"/>
  <c r="AK1322" i="1"/>
  <c r="C1323" i="1"/>
  <c r="H1323" i="1"/>
  <c r="I1323" i="1"/>
  <c r="J1323" i="1"/>
  <c r="K1323" i="1"/>
  <c r="M1323" i="1"/>
  <c r="P1323" i="1"/>
  <c r="R1323" i="1"/>
  <c r="S1323" i="1"/>
  <c r="T1323" i="1"/>
  <c r="U1323" i="1"/>
  <c r="X1323" i="1"/>
  <c r="Y1323" i="1"/>
  <c r="Z1323" i="1"/>
  <c r="AA1323" i="1"/>
  <c r="AB1323" i="1"/>
  <c r="AC1323" i="1"/>
  <c r="AD1323" i="1"/>
  <c r="AE1323" i="1"/>
  <c r="AF1323" i="1"/>
  <c r="AG1323" i="1"/>
  <c r="AH1323" i="1"/>
  <c r="AI1323" i="1"/>
  <c r="AJ1323" i="1"/>
  <c r="AK1323" i="1"/>
  <c r="C1324" i="1"/>
  <c r="H1324" i="1"/>
  <c r="I1324" i="1"/>
  <c r="J1324" i="1"/>
  <c r="K1324" i="1"/>
  <c r="M1324" i="1"/>
  <c r="P1324" i="1"/>
  <c r="R1324" i="1"/>
  <c r="S1324" i="1"/>
  <c r="T1324" i="1"/>
  <c r="U1324" i="1"/>
  <c r="X1324" i="1"/>
  <c r="Y1324" i="1"/>
  <c r="Z1324" i="1"/>
  <c r="AA1324" i="1"/>
  <c r="AB1324" i="1"/>
  <c r="AC1324" i="1"/>
  <c r="AD1324" i="1"/>
  <c r="AE1324" i="1"/>
  <c r="AF1324" i="1"/>
  <c r="AG1324" i="1"/>
  <c r="AH1324" i="1"/>
  <c r="AI1324" i="1"/>
  <c r="AJ1324" i="1"/>
  <c r="AK1324" i="1"/>
  <c r="C1325" i="1"/>
  <c r="H1325" i="1"/>
  <c r="I1325" i="1"/>
  <c r="J1325" i="1"/>
  <c r="K1325" i="1"/>
  <c r="M1325" i="1"/>
  <c r="P1325" i="1"/>
  <c r="R1325" i="1"/>
  <c r="S1325" i="1"/>
  <c r="T1325" i="1"/>
  <c r="U1325" i="1"/>
  <c r="X1325" i="1"/>
  <c r="Y1325" i="1"/>
  <c r="Z1325" i="1"/>
  <c r="AA1325" i="1"/>
  <c r="AB1325" i="1"/>
  <c r="AC1325" i="1"/>
  <c r="AD1325" i="1"/>
  <c r="AE1325" i="1"/>
  <c r="AF1325" i="1"/>
  <c r="AG1325" i="1"/>
  <c r="AH1325" i="1"/>
  <c r="AI1325" i="1"/>
  <c r="AJ1325" i="1"/>
  <c r="AK1325" i="1"/>
  <c r="C1326" i="1"/>
  <c r="H1326" i="1"/>
  <c r="I1326" i="1"/>
  <c r="J1326" i="1"/>
  <c r="K1326" i="1"/>
  <c r="M1326" i="1"/>
  <c r="P1326" i="1"/>
  <c r="R1326" i="1"/>
  <c r="S1326" i="1"/>
  <c r="T1326" i="1"/>
  <c r="U1326" i="1"/>
  <c r="X1326" i="1"/>
  <c r="Y1326" i="1"/>
  <c r="Z1326" i="1"/>
  <c r="AA1326" i="1"/>
  <c r="AB1326" i="1"/>
  <c r="AC1326" i="1"/>
  <c r="AD1326" i="1"/>
  <c r="AE1326" i="1"/>
  <c r="AF1326" i="1"/>
  <c r="AG1326" i="1"/>
  <c r="AH1326" i="1"/>
  <c r="AI1326" i="1"/>
  <c r="AJ1326" i="1"/>
  <c r="AK1326" i="1"/>
  <c r="C1327" i="1"/>
  <c r="H1327" i="1"/>
  <c r="I1327" i="1"/>
  <c r="J1327" i="1"/>
  <c r="K1327" i="1"/>
  <c r="M1327" i="1"/>
  <c r="P1327" i="1"/>
  <c r="R1327" i="1"/>
  <c r="S1327" i="1"/>
  <c r="T1327" i="1"/>
  <c r="U1327" i="1"/>
  <c r="X1327" i="1"/>
  <c r="Y1327" i="1"/>
  <c r="Z1327" i="1"/>
  <c r="AA1327" i="1"/>
  <c r="AB1327" i="1"/>
  <c r="AC1327" i="1"/>
  <c r="AD1327" i="1"/>
  <c r="AE1327" i="1"/>
  <c r="AF1327" i="1"/>
  <c r="AG1327" i="1"/>
  <c r="AH1327" i="1"/>
  <c r="AI1327" i="1"/>
  <c r="AJ1327" i="1"/>
  <c r="AK1327" i="1"/>
  <c r="C1328" i="1"/>
  <c r="H1328" i="1"/>
  <c r="I1328" i="1"/>
  <c r="J1328" i="1"/>
  <c r="K1328" i="1"/>
  <c r="M1328" i="1"/>
  <c r="P1328" i="1"/>
  <c r="R1328" i="1"/>
  <c r="S1328" i="1"/>
  <c r="T1328" i="1"/>
  <c r="U1328" i="1"/>
  <c r="X1328" i="1"/>
  <c r="Y1328" i="1"/>
  <c r="Z1328" i="1"/>
  <c r="AA1328" i="1"/>
  <c r="AB1328" i="1"/>
  <c r="AC1328" i="1"/>
  <c r="AD1328" i="1"/>
  <c r="AE1328" i="1"/>
  <c r="AF1328" i="1"/>
  <c r="AG1328" i="1"/>
  <c r="AH1328" i="1"/>
  <c r="AI1328" i="1"/>
  <c r="AJ1328" i="1"/>
  <c r="AK1328" i="1"/>
  <c r="C1329" i="1"/>
  <c r="H1329" i="1"/>
  <c r="I1329" i="1"/>
  <c r="J1329" i="1"/>
  <c r="K1329" i="1"/>
  <c r="M1329" i="1"/>
  <c r="P1329" i="1"/>
  <c r="R1329" i="1"/>
  <c r="S1329" i="1"/>
  <c r="T1329" i="1"/>
  <c r="U1329" i="1"/>
  <c r="X1329" i="1"/>
  <c r="Y1329" i="1"/>
  <c r="Z1329" i="1"/>
  <c r="AA1329" i="1"/>
  <c r="AB1329" i="1"/>
  <c r="AC1329" i="1"/>
  <c r="AD1329" i="1"/>
  <c r="AE1329" i="1"/>
  <c r="AF1329" i="1"/>
  <c r="AG1329" i="1"/>
  <c r="AH1329" i="1"/>
  <c r="AI1329" i="1"/>
  <c r="AJ1329" i="1"/>
  <c r="AK1329" i="1"/>
  <c r="C1330" i="1"/>
  <c r="H1330" i="1"/>
  <c r="I1330" i="1"/>
  <c r="J1330" i="1"/>
  <c r="K1330" i="1"/>
  <c r="M1330" i="1"/>
  <c r="P1330" i="1"/>
  <c r="R1330" i="1"/>
  <c r="S1330" i="1"/>
  <c r="T1330" i="1"/>
  <c r="U1330" i="1"/>
  <c r="X1330" i="1"/>
  <c r="Y1330" i="1"/>
  <c r="Z1330" i="1"/>
  <c r="AA1330" i="1"/>
  <c r="AB1330" i="1"/>
  <c r="AC1330" i="1"/>
  <c r="AD1330" i="1"/>
  <c r="AE1330" i="1"/>
  <c r="AF1330" i="1"/>
  <c r="AG1330" i="1"/>
  <c r="AH1330" i="1"/>
  <c r="AI1330" i="1"/>
  <c r="AJ1330" i="1"/>
  <c r="AK1330" i="1"/>
  <c r="C1331" i="1"/>
  <c r="H1331" i="1"/>
  <c r="I1331" i="1"/>
  <c r="J1331" i="1"/>
  <c r="K1331" i="1"/>
  <c r="M1331" i="1"/>
  <c r="P1331" i="1"/>
  <c r="R1331" i="1"/>
  <c r="S1331" i="1"/>
  <c r="T1331" i="1"/>
  <c r="U1331" i="1"/>
  <c r="X1331" i="1"/>
  <c r="Y1331" i="1"/>
  <c r="Z1331" i="1"/>
  <c r="AA1331" i="1"/>
  <c r="AB1331" i="1"/>
  <c r="AC1331" i="1"/>
  <c r="AD1331" i="1"/>
  <c r="AE1331" i="1"/>
  <c r="AF1331" i="1"/>
  <c r="AG1331" i="1"/>
  <c r="AH1331" i="1"/>
  <c r="AI1331" i="1"/>
  <c r="AJ1331" i="1"/>
  <c r="AK1331" i="1"/>
  <c r="C1312" i="1"/>
  <c r="H1312" i="1"/>
  <c r="I1312" i="1"/>
  <c r="J1312" i="1"/>
  <c r="K1312" i="1"/>
  <c r="M1312" i="1"/>
  <c r="P1312" i="1"/>
  <c r="R1312" i="1"/>
  <c r="S1312" i="1"/>
  <c r="T1312" i="1"/>
  <c r="U1312" i="1"/>
  <c r="X1312" i="1"/>
  <c r="Y1312" i="1"/>
  <c r="Z1312" i="1"/>
  <c r="AA1312" i="1"/>
  <c r="AB1312" i="1"/>
  <c r="AC1312" i="1"/>
  <c r="AD1312" i="1"/>
  <c r="AE1312" i="1"/>
  <c r="AF1312" i="1"/>
  <c r="AG1312" i="1"/>
  <c r="AH1312" i="1"/>
  <c r="AI1312" i="1"/>
  <c r="AJ1312" i="1"/>
  <c r="AK1312" i="1"/>
  <c r="C1313" i="1"/>
  <c r="H1313" i="1"/>
  <c r="I1313" i="1"/>
  <c r="J1313" i="1"/>
  <c r="K1313" i="1"/>
  <c r="M1313" i="1"/>
  <c r="P1313" i="1"/>
  <c r="R1313" i="1"/>
  <c r="S1313" i="1"/>
  <c r="T1313" i="1"/>
  <c r="U1313" i="1"/>
  <c r="X1313" i="1"/>
  <c r="Y1313" i="1"/>
  <c r="Z1313" i="1"/>
  <c r="AA1313" i="1"/>
  <c r="AB1313" i="1"/>
  <c r="AC1313" i="1"/>
  <c r="AD1313" i="1"/>
  <c r="AE1313" i="1"/>
  <c r="AF1313" i="1"/>
  <c r="AG1313" i="1"/>
  <c r="AH1313" i="1"/>
  <c r="AI1313" i="1"/>
  <c r="AJ1313" i="1"/>
  <c r="AK1313" i="1"/>
  <c r="C1314" i="1"/>
  <c r="H1314" i="1"/>
  <c r="I1314" i="1"/>
  <c r="J1314" i="1"/>
  <c r="K1314" i="1"/>
  <c r="M1314" i="1"/>
  <c r="P1314" i="1"/>
  <c r="R1314" i="1"/>
  <c r="S1314" i="1"/>
  <c r="T1314" i="1"/>
  <c r="U1314" i="1"/>
  <c r="X1314" i="1"/>
  <c r="Y1314" i="1"/>
  <c r="Z1314" i="1"/>
  <c r="AA1314" i="1"/>
  <c r="AB1314" i="1"/>
  <c r="AC1314" i="1"/>
  <c r="AD1314" i="1"/>
  <c r="AE1314" i="1"/>
  <c r="AF1314" i="1"/>
  <c r="AG1314" i="1"/>
  <c r="AH1314" i="1"/>
  <c r="AI1314" i="1"/>
  <c r="AJ1314" i="1"/>
  <c r="AK1314" i="1"/>
  <c r="C1315" i="1"/>
  <c r="H1315" i="1"/>
  <c r="I1315" i="1"/>
  <c r="J1315" i="1"/>
  <c r="K1315" i="1"/>
  <c r="M1315" i="1"/>
  <c r="P1315" i="1"/>
  <c r="R1315" i="1"/>
  <c r="S1315" i="1"/>
  <c r="T1315" i="1"/>
  <c r="U1315" i="1"/>
  <c r="X1315" i="1"/>
  <c r="Y1315" i="1"/>
  <c r="Z1315" i="1"/>
  <c r="AA1315" i="1"/>
  <c r="AB1315" i="1"/>
  <c r="AC1315" i="1"/>
  <c r="AD1315" i="1"/>
  <c r="AE1315" i="1"/>
  <c r="AF1315" i="1"/>
  <c r="AG1315" i="1"/>
  <c r="AH1315" i="1"/>
  <c r="AI1315" i="1"/>
  <c r="AJ1315" i="1"/>
  <c r="AK1315" i="1"/>
  <c r="C1316" i="1"/>
  <c r="H1316" i="1"/>
  <c r="I1316" i="1"/>
  <c r="J1316" i="1"/>
  <c r="K1316" i="1"/>
  <c r="M1316" i="1"/>
  <c r="P1316" i="1"/>
  <c r="R1316" i="1"/>
  <c r="S1316" i="1"/>
  <c r="T1316" i="1"/>
  <c r="U1316" i="1"/>
  <c r="X1316" i="1"/>
  <c r="Y1316" i="1"/>
  <c r="Z1316" i="1"/>
  <c r="AA1316" i="1"/>
  <c r="AB1316" i="1"/>
  <c r="AC1316" i="1"/>
  <c r="AD1316" i="1"/>
  <c r="AE1316" i="1"/>
  <c r="AF1316" i="1"/>
  <c r="AG1316" i="1"/>
  <c r="AH1316" i="1"/>
  <c r="AI1316" i="1"/>
  <c r="AJ1316" i="1"/>
  <c r="AK1316" i="1"/>
  <c r="C1317" i="1"/>
  <c r="H1317" i="1"/>
  <c r="I1317" i="1"/>
  <c r="J1317" i="1"/>
  <c r="K1317" i="1"/>
  <c r="M1317" i="1"/>
  <c r="P1317" i="1"/>
  <c r="R1317" i="1"/>
  <c r="S1317" i="1"/>
  <c r="T1317" i="1"/>
  <c r="U1317" i="1"/>
  <c r="X1317" i="1"/>
  <c r="Y1317" i="1"/>
  <c r="Z1317" i="1"/>
  <c r="AA1317" i="1"/>
  <c r="AB1317" i="1"/>
  <c r="AC1317" i="1"/>
  <c r="AD1317" i="1"/>
  <c r="AE1317" i="1"/>
  <c r="AF1317" i="1"/>
  <c r="AG1317" i="1"/>
  <c r="AH1317" i="1"/>
  <c r="AI1317" i="1"/>
  <c r="AJ1317" i="1"/>
  <c r="AK1317" i="1"/>
  <c r="C1318" i="1"/>
  <c r="H1318" i="1"/>
  <c r="I1318" i="1"/>
  <c r="J1318" i="1"/>
  <c r="K1318" i="1"/>
  <c r="M1318" i="1"/>
  <c r="P1318" i="1"/>
  <c r="R1318" i="1"/>
  <c r="S1318" i="1"/>
  <c r="T1318" i="1"/>
  <c r="U1318" i="1"/>
  <c r="X1318" i="1"/>
  <c r="Y1318" i="1"/>
  <c r="Z1318" i="1"/>
  <c r="AA1318" i="1"/>
  <c r="AB1318" i="1"/>
  <c r="AC1318" i="1"/>
  <c r="AD1318" i="1"/>
  <c r="AE1318" i="1"/>
  <c r="AF1318" i="1"/>
  <c r="AG1318" i="1"/>
  <c r="AH1318" i="1"/>
  <c r="AI1318" i="1"/>
  <c r="AJ1318" i="1"/>
  <c r="AK1318" i="1"/>
  <c r="C1319" i="1"/>
  <c r="H1319" i="1"/>
  <c r="I1319" i="1"/>
  <c r="J1319" i="1"/>
  <c r="K1319" i="1"/>
  <c r="M1319" i="1"/>
  <c r="P1319" i="1"/>
  <c r="R1319" i="1"/>
  <c r="S1319" i="1"/>
  <c r="T1319" i="1"/>
  <c r="U1319" i="1"/>
  <c r="X1319" i="1"/>
  <c r="Y1319" i="1"/>
  <c r="Z1319" i="1"/>
  <c r="AA1319" i="1"/>
  <c r="AB1319" i="1"/>
  <c r="AC1319" i="1"/>
  <c r="AD1319" i="1"/>
  <c r="AE1319" i="1"/>
  <c r="AF1319" i="1"/>
  <c r="AG1319" i="1"/>
  <c r="AH1319" i="1"/>
  <c r="AI1319" i="1"/>
  <c r="AJ1319" i="1"/>
  <c r="AK1319" i="1"/>
  <c r="C1320" i="1"/>
  <c r="H1320" i="1"/>
  <c r="I1320" i="1"/>
  <c r="J1320" i="1"/>
  <c r="K1320" i="1"/>
  <c r="M1320" i="1"/>
  <c r="P1320" i="1"/>
  <c r="R1320" i="1"/>
  <c r="S1320" i="1"/>
  <c r="T1320" i="1"/>
  <c r="U1320" i="1"/>
  <c r="X1320" i="1"/>
  <c r="Y1320" i="1"/>
  <c r="Z1320" i="1"/>
  <c r="AA1320" i="1"/>
  <c r="AB1320" i="1"/>
  <c r="AC1320" i="1"/>
  <c r="AD1320" i="1"/>
  <c r="AE1320" i="1"/>
  <c r="AF1320" i="1"/>
  <c r="AG1320" i="1"/>
  <c r="AH1320" i="1"/>
  <c r="AI1320" i="1"/>
  <c r="AJ1320" i="1"/>
  <c r="AK1320" i="1"/>
  <c r="C1321" i="1"/>
  <c r="H1321" i="1"/>
  <c r="I1321" i="1"/>
  <c r="J1321" i="1"/>
  <c r="K1321" i="1"/>
  <c r="M1321" i="1"/>
  <c r="P1321" i="1"/>
  <c r="R1321" i="1"/>
  <c r="S1321" i="1"/>
  <c r="T1321" i="1"/>
  <c r="U1321" i="1"/>
  <c r="X1321" i="1"/>
  <c r="Y1321" i="1"/>
  <c r="Z1321" i="1"/>
  <c r="AA1321" i="1"/>
  <c r="AB1321" i="1"/>
  <c r="AC1321" i="1"/>
  <c r="AD1321" i="1"/>
  <c r="AE1321" i="1"/>
  <c r="AF1321" i="1"/>
  <c r="AG1321" i="1"/>
  <c r="AH1321" i="1"/>
  <c r="AI1321" i="1"/>
  <c r="AJ1321" i="1"/>
  <c r="AK1321" i="1"/>
  <c r="C1302" i="1"/>
  <c r="H1302" i="1"/>
  <c r="I1302" i="1"/>
  <c r="J1302" i="1"/>
  <c r="K1302" i="1"/>
  <c r="M1302" i="1"/>
  <c r="P1302" i="1"/>
  <c r="R1302" i="1"/>
  <c r="S1302" i="1"/>
  <c r="T1302" i="1"/>
  <c r="U1302" i="1"/>
  <c r="X1302" i="1"/>
  <c r="Y1302" i="1"/>
  <c r="Z1302" i="1"/>
  <c r="AA1302" i="1"/>
  <c r="AB1302" i="1"/>
  <c r="AC1302" i="1"/>
  <c r="AD1302" i="1"/>
  <c r="AE1302" i="1"/>
  <c r="AF1302" i="1"/>
  <c r="AG1302" i="1"/>
  <c r="AH1302" i="1"/>
  <c r="AI1302" i="1"/>
  <c r="AJ1302" i="1"/>
  <c r="AK1302" i="1"/>
  <c r="C1303" i="1"/>
  <c r="H1303" i="1"/>
  <c r="I1303" i="1"/>
  <c r="J1303" i="1"/>
  <c r="K1303" i="1"/>
  <c r="M1303" i="1"/>
  <c r="P1303" i="1"/>
  <c r="R1303" i="1"/>
  <c r="S1303" i="1"/>
  <c r="T1303" i="1"/>
  <c r="U1303" i="1"/>
  <c r="X1303" i="1"/>
  <c r="Y1303" i="1"/>
  <c r="Z1303" i="1"/>
  <c r="AA1303" i="1"/>
  <c r="AB1303" i="1"/>
  <c r="AC1303" i="1"/>
  <c r="AD1303" i="1"/>
  <c r="AE1303" i="1"/>
  <c r="AF1303" i="1"/>
  <c r="AG1303" i="1"/>
  <c r="AH1303" i="1"/>
  <c r="AI1303" i="1"/>
  <c r="AJ1303" i="1"/>
  <c r="AK1303" i="1"/>
  <c r="C1304" i="1"/>
  <c r="H1304" i="1"/>
  <c r="I1304" i="1"/>
  <c r="J1304" i="1"/>
  <c r="K1304" i="1"/>
  <c r="M1304" i="1"/>
  <c r="P1304" i="1"/>
  <c r="R1304" i="1"/>
  <c r="S1304" i="1"/>
  <c r="T1304" i="1"/>
  <c r="U1304" i="1"/>
  <c r="X1304" i="1"/>
  <c r="Y1304" i="1"/>
  <c r="Z1304" i="1"/>
  <c r="AA1304" i="1"/>
  <c r="AB1304" i="1"/>
  <c r="AC1304" i="1"/>
  <c r="AD1304" i="1"/>
  <c r="AE1304" i="1"/>
  <c r="AF1304" i="1"/>
  <c r="AG1304" i="1"/>
  <c r="AH1304" i="1"/>
  <c r="AI1304" i="1"/>
  <c r="AJ1304" i="1"/>
  <c r="AK1304" i="1"/>
  <c r="C1305" i="1"/>
  <c r="H1305" i="1"/>
  <c r="I1305" i="1"/>
  <c r="J1305" i="1"/>
  <c r="K1305" i="1"/>
  <c r="M1305" i="1"/>
  <c r="P1305" i="1"/>
  <c r="R1305" i="1"/>
  <c r="S1305" i="1"/>
  <c r="T1305" i="1"/>
  <c r="U1305" i="1"/>
  <c r="X1305" i="1"/>
  <c r="Y1305" i="1"/>
  <c r="Z1305" i="1"/>
  <c r="AA1305" i="1"/>
  <c r="AB1305" i="1"/>
  <c r="AC1305" i="1"/>
  <c r="AD1305" i="1"/>
  <c r="AE1305" i="1"/>
  <c r="AF1305" i="1"/>
  <c r="AG1305" i="1"/>
  <c r="AH1305" i="1"/>
  <c r="AI1305" i="1"/>
  <c r="AJ1305" i="1"/>
  <c r="AK1305" i="1"/>
  <c r="C1306" i="1"/>
  <c r="H1306" i="1"/>
  <c r="I1306" i="1"/>
  <c r="J1306" i="1"/>
  <c r="K1306" i="1"/>
  <c r="M1306" i="1"/>
  <c r="P1306" i="1"/>
  <c r="R1306" i="1"/>
  <c r="S1306" i="1"/>
  <c r="T1306" i="1"/>
  <c r="U1306" i="1"/>
  <c r="X1306" i="1"/>
  <c r="Y1306" i="1"/>
  <c r="Z1306" i="1"/>
  <c r="AA1306" i="1"/>
  <c r="AB1306" i="1"/>
  <c r="AC1306" i="1"/>
  <c r="AD1306" i="1"/>
  <c r="AE1306" i="1"/>
  <c r="AF1306" i="1"/>
  <c r="AG1306" i="1"/>
  <c r="AH1306" i="1"/>
  <c r="AI1306" i="1"/>
  <c r="AJ1306" i="1"/>
  <c r="AK1306" i="1"/>
  <c r="C1307" i="1"/>
  <c r="H1307" i="1"/>
  <c r="I1307" i="1"/>
  <c r="J1307" i="1"/>
  <c r="K1307" i="1"/>
  <c r="M1307" i="1"/>
  <c r="P1307" i="1"/>
  <c r="R1307" i="1"/>
  <c r="S1307" i="1"/>
  <c r="T1307" i="1"/>
  <c r="U1307" i="1"/>
  <c r="X1307" i="1"/>
  <c r="Y1307" i="1"/>
  <c r="Z1307" i="1"/>
  <c r="AA1307" i="1"/>
  <c r="AB1307" i="1"/>
  <c r="AC1307" i="1"/>
  <c r="AD1307" i="1"/>
  <c r="AE1307" i="1"/>
  <c r="AF1307" i="1"/>
  <c r="AG1307" i="1"/>
  <c r="AH1307" i="1"/>
  <c r="AI1307" i="1"/>
  <c r="AJ1307" i="1"/>
  <c r="AK1307" i="1"/>
  <c r="C1308" i="1"/>
  <c r="H1308" i="1"/>
  <c r="I1308" i="1"/>
  <c r="J1308" i="1"/>
  <c r="K1308" i="1"/>
  <c r="M1308" i="1"/>
  <c r="P1308" i="1"/>
  <c r="R1308" i="1"/>
  <c r="S1308" i="1"/>
  <c r="T1308" i="1"/>
  <c r="U1308" i="1"/>
  <c r="X1308" i="1"/>
  <c r="Y1308" i="1"/>
  <c r="Z1308" i="1"/>
  <c r="AA1308" i="1"/>
  <c r="AB1308" i="1"/>
  <c r="AC1308" i="1"/>
  <c r="AD1308" i="1"/>
  <c r="AE1308" i="1"/>
  <c r="AF1308" i="1"/>
  <c r="AG1308" i="1"/>
  <c r="AH1308" i="1"/>
  <c r="AI1308" i="1"/>
  <c r="AJ1308" i="1"/>
  <c r="AK1308" i="1"/>
  <c r="C1309" i="1"/>
  <c r="H1309" i="1"/>
  <c r="I1309" i="1"/>
  <c r="J1309" i="1"/>
  <c r="K1309" i="1"/>
  <c r="M1309" i="1"/>
  <c r="P1309" i="1"/>
  <c r="R1309" i="1"/>
  <c r="S1309" i="1"/>
  <c r="T1309" i="1"/>
  <c r="U1309" i="1"/>
  <c r="X1309" i="1"/>
  <c r="Y1309" i="1"/>
  <c r="Z1309" i="1"/>
  <c r="AA1309" i="1"/>
  <c r="AB1309" i="1"/>
  <c r="AC1309" i="1"/>
  <c r="AD1309" i="1"/>
  <c r="AE1309" i="1"/>
  <c r="AF1309" i="1"/>
  <c r="AG1309" i="1"/>
  <c r="AH1309" i="1"/>
  <c r="AI1309" i="1"/>
  <c r="AJ1309" i="1"/>
  <c r="AK1309" i="1"/>
  <c r="C1310" i="1"/>
  <c r="H1310" i="1"/>
  <c r="I1310" i="1"/>
  <c r="J1310" i="1"/>
  <c r="K1310" i="1"/>
  <c r="M1310" i="1"/>
  <c r="P1310" i="1"/>
  <c r="R1310" i="1"/>
  <c r="S1310" i="1"/>
  <c r="T1310" i="1"/>
  <c r="U1310" i="1"/>
  <c r="X1310" i="1"/>
  <c r="Y1310" i="1"/>
  <c r="Z1310" i="1"/>
  <c r="AA1310" i="1"/>
  <c r="AB1310" i="1"/>
  <c r="AC1310" i="1"/>
  <c r="AD1310" i="1"/>
  <c r="AE1310" i="1"/>
  <c r="AF1310" i="1"/>
  <c r="AG1310" i="1"/>
  <c r="AH1310" i="1"/>
  <c r="AI1310" i="1"/>
  <c r="AJ1310" i="1"/>
  <c r="AK1310" i="1"/>
  <c r="C1311" i="1"/>
  <c r="H1311" i="1"/>
  <c r="I1311" i="1"/>
  <c r="J1311" i="1"/>
  <c r="K1311" i="1"/>
  <c r="M1311" i="1"/>
  <c r="P1311" i="1"/>
  <c r="R1311" i="1"/>
  <c r="S1311" i="1"/>
  <c r="T1311" i="1"/>
  <c r="U1311" i="1"/>
  <c r="X1311" i="1"/>
  <c r="Y1311" i="1"/>
  <c r="Z1311" i="1"/>
  <c r="AA1311" i="1"/>
  <c r="AB1311" i="1"/>
  <c r="AC1311" i="1"/>
  <c r="AD1311" i="1"/>
  <c r="AE1311" i="1"/>
  <c r="AF1311" i="1"/>
  <c r="AG1311" i="1"/>
  <c r="AH1311" i="1"/>
  <c r="AI1311" i="1"/>
  <c r="AJ1311" i="1"/>
  <c r="AK1311" i="1"/>
  <c r="C1292" i="1"/>
  <c r="H1292" i="1"/>
  <c r="I1292" i="1"/>
  <c r="J1292" i="1"/>
  <c r="K1292" i="1"/>
  <c r="M1292" i="1"/>
  <c r="P1292" i="1"/>
  <c r="R1292" i="1"/>
  <c r="S1292" i="1"/>
  <c r="T1292" i="1"/>
  <c r="U1292" i="1"/>
  <c r="X1292" i="1"/>
  <c r="Y1292" i="1"/>
  <c r="Z1292" i="1"/>
  <c r="AA1292" i="1"/>
  <c r="AB1292" i="1"/>
  <c r="AC1292" i="1"/>
  <c r="AD1292" i="1"/>
  <c r="AE1292" i="1"/>
  <c r="AF1292" i="1"/>
  <c r="AG1292" i="1"/>
  <c r="AH1292" i="1"/>
  <c r="AI1292" i="1"/>
  <c r="AJ1292" i="1"/>
  <c r="AK1292" i="1"/>
  <c r="C1293" i="1"/>
  <c r="H1293" i="1"/>
  <c r="I1293" i="1"/>
  <c r="J1293" i="1"/>
  <c r="K1293" i="1"/>
  <c r="M1293" i="1"/>
  <c r="P1293" i="1"/>
  <c r="R1293" i="1"/>
  <c r="S1293" i="1"/>
  <c r="T1293" i="1"/>
  <c r="U1293" i="1"/>
  <c r="X1293" i="1"/>
  <c r="Y1293" i="1"/>
  <c r="Z1293" i="1"/>
  <c r="AA1293" i="1"/>
  <c r="AB1293" i="1"/>
  <c r="AC1293" i="1"/>
  <c r="AD1293" i="1"/>
  <c r="AE1293" i="1"/>
  <c r="AF1293" i="1"/>
  <c r="AG1293" i="1"/>
  <c r="AH1293" i="1"/>
  <c r="AI1293" i="1"/>
  <c r="AJ1293" i="1"/>
  <c r="AK1293" i="1"/>
  <c r="C1294" i="1"/>
  <c r="H1294" i="1"/>
  <c r="I1294" i="1"/>
  <c r="J1294" i="1"/>
  <c r="K1294" i="1"/>
  <c r="M1294" i="1"/>
  <c r="P1294" i="1"/>
  <c r="R1294" i="1"/>
  <c r="S1294" i="1"/>
  <c r="T1294" i="1"/>
  <c r="U1294" i="1"/>
  <c r="X1294" i="1"/>
  <c r="Y1294" i="1"/>
  <c r="Z1294" i="1"/>
  <c r="AA1294" i="1"/>
  <c r="AB1294" i="1"/>
  <c r="AC1294" i="1"/>
  <c r="AD1294" i="1"/>
  <c r="AE1294" i="1"/>
  <c r="AF1294" i="1"/>
  <c r="AG1294" i="1"/>
  <c r="AH1294" i="1"/>
  <c r="AI1294" i="1"/>
  <c r="AJ1294" i="1"/>
  <c r="AK1294" i="1"/>
  <c r="C1295" i="1"/>
  <c r="H1295" i="1"/>
  <c r="I1295" i="1"/>
  <c r="J1295" i="1"/>
  <c r="K1295" i="1"/>
  <c r="M1295" i="1"/>
  <c r="P1295" i="1"/>
  <c r="R1295" i="1"/>
  <c r="S1295" i="1"/>
  <c r="T1295" i="1"/>
  <c r="U1295" i="1"/>
  <c r="X1295" i="1"/>
  <c r="Y1295" i="1"/>
  <c r="Z1295" i="1"/>
  <c r="AA1295" i="1"/>
  <c r="AB1295" i="1"/>
  <c r="AC1295" i="1"/>
  <c r="AD1295" i="1"/>
  <c r="AE1295" i="1"/>
  <c r="AF1295" i="1"/>
  <c r="AG1295" i="1"/>
  <c r="AH1295" i="1"/>
  <c r="AI1295" i="1"/>
  <c r="AJ1295" i="1"/>
  <c r="AK1295" i="1"/>
  <c r="C1296" i="1"/>
  <c r="H1296" i="1"/>
  <c r="I1296" i="1"/>
  <c r="J1296" i="1"/>
  <c r="K1296" i="1"/>
  <c r="M1296" i="1"/>
  <c r="P1296" i="1"/>
  <c r="R1296" i="1"/>
  <c r="S1296" i="1"/>
  <c r="T1296" i="1"/>
  <c r="U1296" i="1"/>
  <c r="X1296" i="1"/>
  <c r="Y1296" i="1"/>
  <c r="Z1296" i="1"/>
  <c r="AA1296" i="1"/>
  <c r="AB1296" i="1"/>
  <c r="AC1296" i="1"/>
  <c r="AD1296" i="1"/>
  <c r="AE1296" i="1"/>
  <c r="AF1296" i="1"/>
  <c r="AG1296" i="1"/>
  <c r="AH1296" i="1"/>
  <c r="AI1296" i="1"/>
  <c r="AJ1296" i="1"/>
  <c r="AK1296" i="1"/>
  <c r="C1297" i="1"/>
  <c r="H1297" i="1"/>
  <c r="I1297" i="1"/>
  <c r="J1297" i="1"/>
  <c r="K1297" i="1"/>
  <c r="M1297" i="1"/>
  <c r="P1297" i="1"/>
  <c r="R1297" i="1"/>
  <c r="S1297" i="1"/>
  <c r="T1297" i="1"/>
  <c r="U1297" i="1"/>
  <c r="X1297" i="1"/>
  <c r="Y1297" i="1"/>
  <c r="Z1297" i="1"/>
  <c r="AA1297" i="1"/>
  <c r="AB1297" i="1"/>
  <c r="AC1297" i="1"/>
  <c r="AD1297" i="1"/>
  <c r="AE1297" i="1"/>
  <c r="AF1297" i="1"/>
  <c r="AG1297" i="1"/>
  <c r="AH1297" i="1"/>
  <c r="AI1297" i="1"/>
  <c r="AJ1297" i="1"/>
  <c r="AK1297" i="1"/>
  <c r="C1298" i="1"/>
  <c r="H1298" i="1"/>
  <c r="I1298" i="1"/>
  <c r="J1298" i="1"/>
  <c r="K1298" i="1"/>
  <c r="M1298" i="1"/>
  <c r="P1298" i="1"/>
  <c r="R1298" i="1"/>
  <c r="S1298" i="1"/>
  <c r="T1298" i="1"/>
  <c r="U1298" i="1"/>
  <c r="X1298" i="1"/>
  <c r="Y1298" i="1"/>
  <c r="Z1298" i="1"/>
  <c r="AA1298" i="1"/>
  <c r="AB1298" i="1"/>
  <c r="AC1298" i="1"/>
  <c r="AD1298" i="1"/>
  <c r="AE1298" i="1"/>
  <c r="AF1298" i="1"/>
  <c r="AG1298" i="1"/>
  <c r="AH1298" i="1"/>
  <c r="AI1298" i="1"/>
  <c r="AJ1298" i="1"/>
  <c r="AK1298" i="1"/>
  <c r="C1299" i="1"/>
  <c r="H1299" i="1"/>
  <c r="I1299" i="1"/>
  <c r="J1299" i="1"/>
  <c r="K1299" i="1"/>
  <c r="M1299" i="1"/>
  <c r="P1299" i="1"/>
  <c r="R1299" i="1"/>
  <c r="S1299" i="1"/>
  <c r="T1299" i="1"/>
  <c r="U1299" i="1"/>
  <c r="X1299" i="1"/>
  <c r="Y1299" i="1"/>
  <c r="Z1299" i="1"/>
  <c r="AA1299" i="1"/>
  <c r="AB1299" i="1"/>
  <c r="AC1299" i="1"/>
  <c r="AD1299" i="1"/>
  <c r="AE1299" i="1"/>
  <c r="AF1299" i="1"/>
  <c r="AG1299" i="1"/>
  <c r="AH1299" i="1"/>
  <c r="AI1299" i="1"/>
  <c r="AJ1299" i="1"/>
  <c r="AK1299" i="1"/>
  <c r="C1300" i="1"/>
  <c r="H1300" i="1"/>
  <c r="I1300" i="1"/>
  <c r="J1300" i="1"/>
  <c r="K1300" i="1"/>
  <c r="M1300" i="1"/>
  <c r="P1300" i="1"/>
  <c r="R1300" i="1"/>
  <c r="S1300" i="1"/>
  <c r="T1300" i="1"/>
  <c r="U1300" i="1"/>
  <c r="X1300" i="1"/>
  <c r="Y1300" i="1"/>
  <c r="Z1300" i="1"/>
  <c r="AA1300" i="1"/>
  <c r="AB1300" i="1"/>
  <c r="AC1300" i="1"/>
  <c r="AD1300" i="1"/>
  <c r="AE1300" i="1"/>
  <c r="AF1300" i="1"/>
  <c r="AG1300" i="1"/>
  <c r="AH1300" i="1"/>
  <c r="AI1300" i="1"/>
  <c r="AJ1300" i="1"/>
  <c r="AK1300" i="1"/>
  <c r="C1301" i="1"/>
  <c r="H1301" i="1"/>
  <c r="I1301" i="1"/>
  <c r="J1301" i="1"/>
  <c r="K1301" i="1"/>
  <c r="M1301" i="1"/>
  <c r="P1301" i="1"/>
  <c r="R1301" i="1"/>
  <c r="S1301" i="1"/>
  <c r="T1301" i="1"/>
  <c r="U1301" i="1"/>
  <c r="X1301" i="1"/>
  <c r="Y1301" i="1"/>
  <c r="Z1301" i="1"/>
  <c r="AA1301" i="1"/>
  <c r="AB1301" i="1"/>
  <c r="AC1301" i="1"/>
  <c r="AD1301" i="1"/>
  <c r="AE1301" i="1"/>
  <c r="AF1301" i="1"/>
  <c r="AG1301" i="1"/>
  <c r="AH1301" i="1"/>
  <c r="AI1301" i="1"/>
  <c r="AJ1301" i="1"/>
  <c r="AK1301" i="1"/>
  <c r="C1282" i="1"/>
  <c r="H1282" i="1"/>
  <c r="I1282" i="1"/>
  <c r="J1282" i="1"/>
  <c r="K1282" i="1"/>
  <c r="M1282" i="1"/>
  <c r="P1282" i="1"/>
  <c r="R1282" i="1"/>
  <c r="S1282" i="1"/>
  <c r="T1282" i="1"/>
  <c r="U1282" i="1"/>
  <c r="X1282" i="1"/>
  <c r="Y1282" i="1"/>
  <c r="Z1282" i="1"/>
  <c r="AA1282" i="1"/>
  <c r="AB1282" i="1"/>
  <c r="AC1282" i="1"/>
  <c r="AD1282" i="1"/>
  <c r="AE1282" i="1"/>
  <c r="AF1282" i="1"/>
  <c r="AG1282" i="1"/>
  <c r="AH1282" i="1"/>
  <c r="AI1282" i="1"/>
  <c r="AJ1282" i="1"/>
  <c r="AK1282" i="1"/>
  <c r="C1283" i="1"/>
  <c r="H1283" i="1"/>
  <c r="I1283" i="1"/>
  <c r="J1283" i="1"/>
  <c r="K1283" i="1"/>
  <c r="M1283" i="1"/>
  <c r="P1283" i="1"/>
  <c r="R1283" i="1"/>
  <c r="S1283" i="1"/>
  <c r="T1283" i="1"/>
  <c r="U1283" i="1"/>
  <c r="X1283" i="1"/>
  <c r="Y1283" i="1"/>
  <c r="Z1283" i="1"/>
  <c r="AA1283" i="1"/>
  <c r="AB1283" i="1"/>
  <c r="AC1283" i="1"/>
  <c r="AD1283" i="1"/>
  <c r="AE1283" i="1"/>
  <c r="AF1283" i="1"/>
  <c r="AG1283" i="1"/>
  <c r="AH1283" i="1"/>
  <c r="AI1283" i="1"/>
  <c r="AJ1283" i="1"/>
  <c r="AK1283" i="1"/>
  <c r="C1284" i="1"/>
  <c r="H1284" i="1"/>
  <c r="I1284" i="1"/>
  <c r="J1284" i="1"/>
  <c r="K1284" i="1"/>
  <c r="M1284" i="1"/>
  <c r="P1284" i="1"/>
  <c r="R1284" i="1"/>
  <c r="S1284" i="1"/>
  <c r="T1284" i="1"/>
  <c r="U1284" i="1"/>
  <c r="X1284" i="1"/>
  <c r="Y1284" i="1"/>
  <c r="Z1284" i="1"/>
  <c r="AA1284" i="1"/>
  <c r="AB1284" i="1"/>
  <c r="AC1284" i="1"/>
  <c r="AD1284" i="1"/>
  <c r="AE1284" i="1"/>
  <c r="AF1284" i="1"/>
  <c r="AG1284" i="1"/>
  <c r="AH1284" i="1"/>
  <c r="AI1284" i="1"/>
  <c r="AJ1284" i="1"/>
  <c r="AK1284" i="1"/>
  <c r="C1285" i="1"/>
  <c r="H1285" i="1"/>
  <c r="I1285" i="1"/>
  <c r="J1285" i="1"/>
  <c r="K1285" i="1"/>
  <c r="M1285" i="1"/>
  <c r="P1285" i="1"/>
  <c r="R1285" i="1"/>
  <c r="S1285" i="1"/>
  <c r="T1285" i="1"/>
  <c r="U1285" i="1"/>
  <c r="X1285" i="1"/>
  <c r="Y1285" i="1"/>
  <c r="Z1285" i="1"/>
  <c r="AA1285" i="1"/>
  <c r="AB1285" i="1"/>
  <c r="AC1285" i="1"/>
  <c r="AD1285" i="1"/>
  <c r="AE1285" i="1"/>
  <c r="AF1285" i="1"/>
  <c r="AG1285" i="1"/>
  <c r="AH1285" i="1"/>
  <c r="AI1285" i="1"/>
  <c r="AJ1285" i="1"/>
  <c r="AK1285" i="1"/>
  <c r="C1286" i="1"/>
  <c r="H1286" i="1"/>
  <c r="I1286" i="1"/>
  <c r="J1286" i="1"/>
  <c r="K1286" i="1"/>
  <c r="M1286" i="1"/>
  <c r="P1286" i="1"/>
  <c r="R1286" i="1"/>
  <c r="S1286" i="1"/>
  <c r="T1286" i="1"/>
  <c r="U1286" i="1"/>
  <c r="X1286" i="1"/>
  <c r="Y1286" i="1"/>
  <c r="Z1286" i="1"/>
  <c r="AA1286" i="1"/>
  <c r="AB1286" i="1"/>
  <c r="AC1286" i="1"/>
  <c r="AD1286" i="1"/>
  <c r="AE1286" i="1"/>
  <c r="AF1286" i="1"/>
  <c r="AG1286" i="1"/>
  <c r="AH1286" i="1"/>
  <c r="AI1286" i="1"/>
  <c r="AJ1286" i="1"/>
  <c r="AK1286" i="1"/>
  <c r="C1287" i="1"/>
  <c r="H1287" i="1"/>
  <c r="I1287" i="1"/>
  <c r="J1287" i="1"/>
  <c r="K1287" i="1"/>
  <c r="M1287" i="1"/>
  <c r="P1287" i="1"/>
  <c r="R1287" i="1"/>
  <c r="S1287" i="1"/>
  <c r="T1287" i="1"/>
  <c r="U1287" i="1"/>
  <c r="X1287" i="1"/>
  <c r="Y1287" i="1"/>
  <c r="Z1287" i="1"/>
  <c r="AA1287" i="1"/>
  <c r="AB1287" i="1"/>
  <c r="AC1287" i="1"/>
  <c r="AD1287" i="1"/>
  <c r="AE1287" i="1"/>
  <c r="AF1287" i="1"/>
  <c r="AG1287" i="1"/>
  <c r="AH1287" i="1"/>
  <c r="AI1287" i="1"/>
  <c r="AJ1287" i="1"/>
  <c r="AK1287" i="1"/>
  <c r="C1288" i="1"/>
  <c r="H1288" i="1"/>
  <c r="I1288" i="1"/>
  <c r="J1288" i="1"/>
  <c r="K1288" i="1"/>
  <c r="M1288" i="1"/>
  <c r="P1288" i="1"/>
  <c r="R1288" i="1"/>
  <c r="S1288" i="1"/>
  <c r="T1288" i="1"/>
  <c r="U1288" i="1"/>
  <c r="X1288" i="1"/>
  <c r="Y1288" i="1"/>
  <c r="Z1288" i="1"/>
  <c r="AA1288" i="1"/>
  <c r="AB1288" i="1"/>
  <c r="AC1288" i="1"/>
  <c r="AD1288" i="1"/>
  <c r="AE1288" i="1"/>
  <c r="AF1288" i="1"/>
  <c r="AG1288" i="1"/>
  <c r="AH1288" i="1"/>
  <c r="AI1288" i="1"/>
  <c r="AJ1288" i="1"/>
  <c r="AK1288" i="1"/>
  <c r="C1289" i="1"/>
  <c r="H1289" i="1"/>
  <c r="I1289" i="1"/>
  <c r="J1289" i="1"/>
  <c r="K1289" i="1"/>
  <c r="M1289" i="1"/>
  <c r="P1289" i="1"/>
  <c r="R1289" i="1"/>
  <c r="S1289" i="1"/>
  <c r="T1289" i="1"/>
  <c r="U1289" i="1"/>
  <c r="X1289" i="1"/>
  <c r="Y1289" i="1"/>
  <c r="Z1289" i="1"/>
  <c r="AA1289" i="1"/>
  <c r="AB1289" i="1"/>
  <c r="AC1289" i="1"/>
  <c r="AD1289" i="1"/>
  <c r="AE1289" i="1"/>
  <c r="AF1289" i="1"/>
  <c r="AG1289" i="1"/>
  <c r="AH1289" i="1"/>
  <c r="AI1289" i="1"/>
  <c r="AJ1289" i="1"/>
  <c r="AK1289" i="1"/>
  <c r="C1290" i="1"/>
  <c r="H1290" i="1"/>
  <c r="I1290" i="1"/>
  <c r="J1290" i="1"/>
  <c r="K1290" i="1"/>
  <c r="M1290" i="1"/>
  <c r="P1290" i="1"/>
  <c r="R1290" i="1"/>
  <c r="S1290" i="1"/>
  <c r="T1290" i="1"/>
  <c r="U1290" i="1"/>
  <c r="X1290" i="1"/>
  <c r="Y1290" i="1"/>
  <c r="Z1290" i="1"/>
  <c r="AA1290" i="1"/>
  <c r="AB1290" i="1"/>
  <c r="AC1290" i="1"/>
  <c r="AD1290" i="1"/>
  <c r="AE1290" i="1"/>
  <c r="AF1290" i="1"/>
  <c r="AG1290" i="1"/>
  <c r="AH1290" i="1"/>
  <c r="AI1290" i="1"/>
  <c r="AJ1290" i="1"/>
  <c r="AK1290" i="1"/>
  <c r="C1291" i="1"/>
  <c r="H1291" i="1"/>
  <c r="I1291" i="1"/>
  <c r="J1291" i="1"/>
  <c r="K1291" i="1"/>
  <c r="M1291" i="1"/>
  <c r="P1291" i="1"/>
  <c r="R1291" i="1"/>
  <c r="S1291" i="1"/>
  <c r="T1291" i="1"/>
  <c r="U1291" i="1"/>
  <c r="X1291" i="1"/>
  <c r="Y1291" i="1"/>
  <c r="Z1291" i="1"/>
  <c r="AA1291" i="1"/>
  <c r="AB1291" i="1"/>
  <c r="AC1291" i="1"/>
  <c r="AD1291" i="1"/>
  <c r="AE1291" i="1"/>
  <c r="AF1291" i="1"/>
  <c r="AG1291" i="1"/>
  <c r="AH1291" i="1"/>
  <c r="AI1291" i="1"/>
  <c r="AJ1291" i="1"/>
  <c r="AK1291" i="1"/>
  <c r="C1272" i="1"/>
  <c r="H1272" i="1"/>
  <c r="I1272" i="1"/>
  <c r="J1272" i="1"/>
  <c r="K1272" i="1"/>
  <c r="M1272" i="1"/>
  <c r="P1272" i="1"/>
  <c r="R1272" i="1"/>
  <c r="S1272" i="1"/>
  <c r="T1272" i="1"/>
  <c r="U1272" i="1"/>
  <c r="X1272" i="1"/>
  <c r="Y1272" i="1"/>
  <c r="Z1272" i="1"/>
  <c r="AA1272" i="1"/>
  <c r="AB1272" i="1"/>
  <c r="AC1272" i="1"/>
  <c r="AD1272" i="1"/>
  <c r="AE1272" i="1"/>
  <c r="AF1272" i="1"/>
  <c r="AG1272" i="1"/>
  <c r="AH1272" i="1"/>
  <c r="AI1272" i="1"/>
  <c r="AJ1272" i="1"/>
  <c r="AK1272" i="1"/>
  <c r="C1273" i="1"/>
  <c r="H1273" i="1"/>
  <c r="I1273" i="1"/>
  <c r="J1273" i="1"/>
  <c r="K1273" i="1"/>
  <c r="M1273" i="1"/>
  <c r="P1273" i="1"/>
  <c r="R1273" i="1"/>
  <c r="S1273" i="1"/>
  <c r="T1273" i="1"/>
  <c r="U1273" i="1"/>
  <c r="X1273" i="1"/>
  <c r="Y1273" i="1"/>
  <c r="Z1273" i="1"/>
  <c r="AA1273" i="1"/>
  <c r="AB1273" i="1"/>
  <c r="AC1273" i="1"/>
  <c r="AD1273" i="1"/>
  <c r="AE1273" i="1"/>
  <c r="AF1273" i="1"/>
  <c r="AG1273" i="1"/>
  <c r="AH1273" i="1"/>
  <c r="AI1273" i="1"/>
  <c r="AJ1273" i="1"/>
  <c r="AK1273" i="1"/>
  <c r="C1274" i="1"/>
  <c r="H1274" i="1"/>
  <c r="I1274" i="1"/>
  <c r="J1274" i="1"/>
  <c r="K1274" i="1"/>
  <c r="M1274" i="1"/>
  <c r="P1274" i="1"/>
  <c r="R1274" i="1"/>
  <c r="S1274" i="1"/>
  <c r="T1274" i="1"/>
  <c r="U1274" i="1"/>
  <c r="X1274" i="1"/>
  <c r="Y1274" i="1"/>
  <c r="Z1274" i="1"/>
  <c r="AA1274" i="1"/>
  <c r="AB1274" i="1"/>
  <c r="AC1274" i="1"/>
  <c r="AD1274" i="1"/>
  <c r="AE1274" i="1"/>
  <c r="AF1274" i="1"/>
  <c r="AG1274" i="1"/>
  <c r="AH1274" i="1"/>
  <c r="AI1274" i="1"/>
  <c r="AJ1274" i="1"/>
  <c r="AK1274" i="1"/>
  <c r="C1275" i="1"/>
  <c r="H1275" i="1"/>
  <c r="I1275" i="1"/>
  <c r="J1275" i="1"/>
  <c r="K1275" i="1"/>
  <c r="M1275" i="1"/>
  <c r="P1275" i="1"/>
  <c r="R1275" i="1"/>
  <c r="S1275" i="1"/>
  <c r="T1275" i="1"/>
  <c r="U1275" i="1"/>
  <c r="X1275" i="1"/>
  <c r="Y1275" i="1"/>
  <c r="Z1275" i="1"/>
  <c r="AA1275" i="1"/>
  <c r="AB1275" i="1"/>
  <c r="AC1275" i="1"/>
  <c r="AD1275" i="1"/>
  <c r="AE1275" i="1"/>
  <c r="AF1275" i="1"/>
  <c r="AG1275" i="1"/>
  <c r="AH1275" i="1"/>
  <c r="AI1275" i="1"/>
  <c r="AJ1275" i="1"/>
  <c r="AK1275" i="1"/>
  <c r="C1276" i="1"/>
  <c r="H1276" i="1"/>
  <c r="I1276" i="1"/>
  <c r="J1276" i="1"/>
  <c r="K1276" i="1"/>
  <c r="M1276" i="1"/>
  <c r="P1276" i="1"/>
  <c r="R1276" i="1"/>
  <c r="S1276" i="1"/>
  <c r="T1276" i="1"/>
  <c r="U1276" i="1"/>
  <c r="X1276" i="1"/>
  <c r="Y1276" i="1"/>
  <c r="Z1276" i="1"/>
  <c r="AA1276" i="1"/>
  <c r="AB1276" i="1"/>
  <c r="AC1276" i="1"/>
  <c r="AD1276" i="1"/>
  <c r="AE1276" i="1"/>
  <c r="AF1276" i="1"/>
  <c r="AG1276" i="1"/>
  <c r="AH1276" i="1"/>
  <c r="AI1276" i="1"/>
  <c r="AJ1276" i="1"/>
  <c r="AK1276" i="1"/>
  <c r="C1277" i="1"/>
  <c r="H1277" i="1"/>
  <c r="I1277" i="1"/>
  <c r="J1277" i="1"/>
  <c r="K1277" i="1"/>
  <c r="M1277" i="1"/>
  <c r="P1277" i="1"/>
  <c r="R1277" i="1"/>
  <c r="S1277" i="1"/>
  <c r="T1277" i="1"/>
  <c r="U1277" i="1"/>
  <c r="X1277" i="1"/>
  <c r="Y1277" i="1"/>
  <c r="Z1277" i="1"/>
  <c r="AA1277" i="1"/>
  <c r="AB1277" i="1"/>
  <c r="AC1277" i="1"/>
  <c r="AD1277" i="1"/>
  <c r="AE1277" i="1"/>
  <c r="AF1277" i="1"/>
  <c r="AG1277" i="1"/>
  <c r="AH1277" i="1"/>
  <c r="AI1277" i="1"/>
  <c r="AJ1277" i="1"/>
  <c r="AK1277" i="1"/>
  <c r="C1278" i="1"/>
  <c r="H1278" i="1"/>
  <c r="I1278" i="1"/>
  <c r="J1278" i="1"/>
  <c r="K1278" i="1"/>
  <c r="M1278" i="1"/>
  <c r="P1278" i="1"/>
  <c r="R1278" i="1"/>
  <c r="S1278" i="1"/>
  <c r="T1278" i="1"/>
  <c r="U1278" i="1"/>
  <c r="X1278" i="1"/>
  <c r="Y1278" i="1"/>
  <c r="Z1278" i="1"/>
  <c r="AA1278" i="1"/>
  <c r="AB1278" i="1"/>
  <c r="AC1278" i="1"/>
  <c r="AD1278" i="1"/>
  <c r="AE1278" i="1"/>
  <c r="AF1278" i="1"/>
  <c r="AG1278" i="1"/>
  <c r="AH1278" i="1"/>
  <c r="AI1278" i="1"/>
  <c r="AJ1278" i="1"/>
  <c r="AK1278" i="1"/>
  <c r="C1279" i="1"/>
  <c r="H1279" i="1"/>
  <c r="I1279" i="1"/>
  <c r="J1279" i="1"/>
  <c r="K1279" i="1"/>
  <c r="M1279" i="1"/>
  <c r="P1279" i="1"/>
  <c r="R1279" i="1"/>
  <c r="S1279" i="1"/>
  <c r="T1279" i="1"/>
  <c r="U1279" i="1"/>
  <c r="X1279" i="1"/>
  <c r="Y1279" i="1"/>
  <c r="Z1279" i="1"/>
  <c r="AA1279" i="1"/>
  <c r="AB1279" i="1"/>
  <c r="AC1279" i="1"/>
  <c r="AD1279" i="1"/>
  <c r="AE1279" i="1"/>
  <c r="AF1279" i="1"/>
  <c r="AG1279" i="1"/>
  <c r="AH1279" i="1"/>
  <c r="AI1279" i="1"/>
  <c r="AJ1279" i="1"/>
  <c r="AK1279" i="1"/>
  <c r="C1280" i="1"/>
  <c r="H1280" i="1"/>
  <c r="I1280" i="1"/>
  <c r="J1280" i="1"/>
  <c r="K1280" i="1"/>
  <c r="M1280" i="1"/>
  <c r="P1280" i="1"/>
  <c r="R1280" i="1"/>
  <c r="S1280" i="1"/>
  <c r="T1280" i="1"/>
  <c r="U1280" i="1"/>
  <c r="X1280" i="1"/>
  <c r="Y1280" i="1"/>
  <c r="Z1280" i="1"/>
  <c r="AA1280" i="1"/>
  <c r="AB1280" i="1"/>
  <c r="AC1280" i="1"/>
  <c r="AD1280" i="1"/>
  <c r="AE1280" i="1"/>
  <c r="AF1280" i="1"/>
  <c r="AG1280" i="1"/>
  <c r="AH1280" i="1"/>
  <c r="AI1280" i="1"/>
  <c r="AJ1280" i="1"/>
  <c r="AK1280" i="1"/>
  <c r="C1281" i="1"/>
  <c r="H1281" i="1"/>
  <c r="I1281" i="1"/>
  <c r="J1281" i="1"/>
  <c r="K1281" i="1"/>
  <c r="M1281" i="1"/>
  <c r="P1281" i="1"/>
  <c r="R1281" i="1"/>
  <c r="S1281" i="1"/>
  <c r="T1281" i="1"/>
  <c r="U1281" i="1"/>
  <c r="X1281" i="1"/>
  <c r="Y1281" i="1"/>
  <c r="Z1281" i="1"/>
  <c r="AA1281" i="1"/>
  <c r="AB1281" i="1"/>
  <c r="AC1281" i="1"/>
  <c r="AD1281" i="1"/>
  <c r="AE1281" i="1"/>
  <c r="AF1281" i="1"/>
  <c r="AG1281" i="1"/>
  <c r="AH1281" i="1"/>
  <c r="AI1281" i="1"/>
  <c r="AJ1281" i="1"/>
  <c r="AK1281" i="1"/>
  <c r="C1262" i="1"/>
  <c r="H1262" i="1"/>
  <c r="I1262" i="1"/>
  <c r="J1262" i="1"/>
  <c r="K1262" i="1"/>
  <c r="M1262" i="1"/>
  <c r="P1262" i="1"/>
  <c r="R1262" i="1"/>
  <c r="S1262" i="1"/>
  <c r="T1262" i="1"/>
  <c r="U1262" i="1"/>
  <c r="X1262" i="1"/>
  <c r="Y1262" i="1"/>
  <c r="Z1262" i="1"/>
  <c r="AA1262" i="1"/>
  <c r="AB1262" i="1"/>
  <c r="AC1262" i="1"/>
  <c r="AD1262" i="1"/>
  <c r="AE1262" i="1"/>
  <c r="AF1262" i="1"/>
  <c r="AG1262" i="1"/>
  <c r="AH1262" i="1"/>
  <c r="AI1262" i="1"/>
  <c r="AJ1262" i="1"/>
  <c r="AK1262" i="1"/>
  <c r="C1263" i="1"/>
  <c r="H1263" i="1"/>
  <c r="I1263" i="1"/>
  <c r="J1263" i="1"/>
  <c r="K1263" i="1"/>
  <c r="M1263" i="1"/>
  <c r="P1263" i="1"/>
  <c r="R1263" i="1"/>
  <c r="S1263" i="1"/>
  <c r="T1263" i="1"/>
  <c r="U1263" i="1"/>
  <c r="X1263" i="1"/>
  <c r="Y1263" i="1"/>
  <c r="Z1263" i="1"/>
  <c r="AA1263" i="1"/>
  <c r="AB1263" i="1"/>
  <c r="AC1263" i="1"/>
  <c r="AD1263" i="1"/>
  <c r="AE1263" i="1"/>
  <c r="AF1263" i="1"/>
  <c r="AG1263" i="1"/>
  <c r="AH1263" i="1"/>
  <c r="AI1263" i="1"/>
  <c r="AJ1263" i="1"/>
  <c r="AK1263" i="1"/>
  <c r="C1264" i="1"/>
  <c r="H1264" i="1"/>
  <c r="I1264" i="1"/>
  <c r="J1264" i="1"/>
  <c r="K1264" i="1"/>
  <c r="M1264" i="1"/>
  <c r="P1264" i="1"/>
  <c r="R1264" i="1"/>
  <c r="S1264" i="1"/>
  <c r="T1264" i="1"/>
  <c r="U1264" i="1"/>
  <c r="X1264" i="1"/>
  <c r="Y1264" i="1"/>
  <c r="Z1264" i="1"/>
  <c r="AA1264" i="1"/>
  <c r="AB1264" i="1"/>
  <c r="AC1264" i="1"/>
  <c r="AD1264" i="1"/>
  <c r="AE1264" i="1"/>
  <c r="AF1264" i="1"/>
  <c r="AG1264" i="1"/>
  <c r="AH1264" i="1"/>
  <c r="AI1264" i="1"/>
  <c r="AJ1264" i="1"/>
  <c r="AK1264" i="1"/>
  <c r="C1265" i="1"/>
  <c r="H1265" i="1"/>
  <c r="I1265" i="1"/>
  <c r="J1265" i="1"/>
  <c r="K1265" i="1"/>
  <c r="M1265" i="1"/>
  <c r="P1265" i="1"/>
  <c r="R1265" i="1"/>
  <c r="S1265" i="1"/>
  <c r="T1265" i="1"/>
  <c r="U1265" i="1"/>
  <c r="X1265" i="1"/>
  <c r="Y1265" i="1"/>
  <c r="Z1265" i="1"/>
  <c r="AA1265" i="1"/>
  <c r="AB1265" i="1"/>
  <c r="AC1265" i="1"/>
  <c r="AD1265" i="1"/>
  <c r="AE1265" i="1"/>
  <c r="AF1265" i="1"/>
  <c r="AG1265" i="1"/>
  <c r="AH1265" i="1"/>
  <c r="AI1265" i="1"/>
  <c r="AJ1265" i="1"/>
  <c r="AK1265" i="1"/>
  <c r="C1266" i="1"/>
  <c r="H1266" i="1"/>
  <c r="I1266" i="1"/>
  <c r="J1266" i="1"/>
  <c r="K1266" i="1"/>
  <c r="M1266" i="1"/>
  <c r="P1266" i="1"/>
  <c r="R1266" i="1"/>
  <c r="S1266" i="1"/>
  <c r="T1266" i="1"/>
  <c r="U1266" i="1"/>
  <c r="X1266" i="1"/>
  <c r="Y1266" i="1"/>
  <c r="Z1266" i="1"/>
  <c r="AA1266" i="1"/>
  <c r="AB1266" i="1"/>
  <c r="AC1266" i="1"/>
  <c r="AD1266" i="1"/>
  <c r="AE1266" i="1"/>
  <c r="AF1266" i="1"/>
  <c r="AG1266" i="1"/>
  <c r="AH1266" i="1"/>
  <c r="AI1266" i="1"/>
  <c r="AJ1266" i="1"/>
  <c r="AK1266" i="1"/>
  <c r="C1267" i="1"/>
  <c r="H1267" i="1"/>
  <c r="I1267" i="1"/>
  <c r="J1267" i="1"/>
  <c r="K1267" i="1"/>
  <c r="M1267" i="1"/>
  <c r="P1267" i="1"/>
  <c r="R1267" i="1"/>
  <c r="S1267" i="1"/>
  <c r="T1267" i="1"/>
  <c r="U1267" i="1"/>
  <c r="X1267" i="1"/>
  <c r="Y1267" i="1"/>
  <c r="Z1267" i="1"/>
  <c r="AA1267" i="1"/>
  <c r="AB1267" i="1"/>
  <c r="AC1267" i="1"/>
  <c r="AD1267" i="1"/>
  <c r="AE1267" i="1"/>
  <c r="AF1267" i="1"/>
  <c r="AG1267" i="1"/>
  <c r="AH1267" i="1"/>
  <c r="AI1267" i="1"/>
  <c r="AJ1267" i="1"/>
  <c r="AK1267" i="1"/>
  <c r="C1268" i="1"/>
  <c r="H1268" i="1"/>
  <c r="I1268" i="1"/>
  <c r="J1268" i="1"/>
  <c r="K1268" i="1"/>
  <c r="M1268" i="1"/>
  <c r="P1268" i="1"/>
  <c r="R1268" i="1"/>
  <c r="S1268" i="1"/>
  <c r="T1268" i="1"/>
  <c r="U1268" i="1"/>
  <c r="X1268" i="1"/>
  <c r="Y1268" i="1"/>
  <c r="Z1268" i="1"/>
  <c r="AA1268" i="1"/>
  <c r="AB1268" i="1"/>
  <c r="AC1268" i="1"/>
  <c r="AD1268" i="1"/>
  <c r="AE1268" i="1"/>
  <c r="AF1268" i="1"/>
  <c r="AG1268" i="1"/>
  <c r="AH1268" i="1"/>
  <c r="AI1268" i="1"/>
  <c r="AJ1268" i="1"/>
  <c r="AK1268" i="1"/>
  <c r="C1269" i="1"/>
  <c r="H1269" i="1"/>
  <c r="I1269" i="1"/>
  <c r="J1269" i="1"/>
  <c r="K1269" i="1"/>
  <c r="M1269" i="1"/>
  <c r="P1269" i="1"/>
  <c r="R1269" i="1"/>
  <c r="S1269" i="1"/>
  <c r="T1269" i="1"/>
  <c r="U1269" i="1"/>
  <c r="X1269" i="1"/>
  <c r="Y1269" i="1"/>
  <c r="Z1269" i="1"/>
  <c r="AA1269" i="1"/>
  <c r="AB1269" i="1"/>
  <c r="AC1269" i="1"/>
  <c r="AD1269" i="1"/>
  <c r="AE1269" i="1"/>
  <c r="AF1269" i="1"/>
  <c r="AG1269" i="1"/>
  <c r="AH1269" i="1"/>
  <c r="AI1269" i="1"/>
  <c r="AJ1269" i="1"/>
  <c r="AK1269" i="1"/>
  <c r="C1270" i="1"/>
  <c r="H1270" i="1"/>
  <c r="I1270" i="1"/>
  <c r="J1270" i="1"/>
  <c r="K1270" i="1"/>
  <c r="M1270" i="1"/>
  <c r="P1270" i="1"/>
  <c r="R1270" i="1"/>
  <c r="S1270" i="1"/>
  <c r="T1270" i="1"/>
  <c r="U1270" i="1"/>
  <c r="X1270" i="1"/>
  <c r="Y1270" i="1"/>
  <c r="Z1270" i="1"/>
  <c r="AA1270" i="1"/>
  <c r="AB1270" i="1"/>
  <c r="AC1270" i="1"/>
  <c r="AD1270" i="1"/>
  <c r="AE1270" i="1"/>
  <c r="AF1270" i="1"/>
  <c r="AG1270" i="1"/>
  <c r="AH1270" i="1"/>
  <c r="AI1270" i="1"/>
  <c r="AJ1270" i="1"/>
  <c r="AK1270" i="1"/>
  <c r="C1271" i="1"/>
  <c r="H1271" i="1"/>
  <c r="I1271" i="1"/>
  <c r="J1271" i="1"/>
  <c r="K1271" i="1"/>
  <c r="M1271" i="1"/>
  <c r="P1271" i="1"/>
  <c r="R1271" i="1"/>
  <c r="S1271" i="1"/>
  <c r="T1271" i="1"/>
  <c r="U1271" i="1"/>
  <c r="X1271" i="1"/>
  <c r="Y1271" i="1"/>
  <c r="Z1271" i="1"/>
  <c r="AA1271" i="1"/>
  <c r="AB1271" i="1"/>
  <c r="AC1271" i="1"/>
  <c r="AD1271" i="1"/>
  <c r="AE1271" i="1"/>
  <c r="AF1271" i="1"/>
  <c r="AG1271" i="1"/>
  <c r="AH1271" i="1"/>
  <c r="AI1271" i="1"/>
  <c r="AJ1271" i="1"/>
  <c r="AK1271" i="1"/>
  <c r="C1252" i="1"/>
  <c r="H1252" i="1"/>
  <c r="I1252" i="1"/>
  <c r="J1252" i="1"/>
  <c r="K1252" i="1"/>
  <c r="M1252" i="1"/>
  <c r="P1252" i="1"/>
  <c r="R1252" i="1"/>
  <c r="S1252" i="1"/>
  <c r="T1252" i="1"/>
  <c r="U1252" i="1"/>
  <c r="X1252" i="1"/>
  <c r="Y1252" i="1"/>
  <c r="Z1252" i="1"/>
  <c r="AA1252" i="1"/>
  <c r="AB1252" i="1"/>
  <c r="AC1252" i="1"/>
  <c r="AD1252" i="1"/>
  <c r="AE1252" i="1"/>
  <c r="AF1252" i="1"/>
  <c r="AG1252" i="1"/>
  <c r="AH1252" i="1"/>
  <c r="AI1252" i="1"/>
  <c r="AJ1252" i="1"/>
  <c r="AK1252" i="1"/>
  <c r="C1253" i="1"/>
  <c r="H1253" i="1"/>
  <c r="I1253" i="1"/>
  <c r="J1253" i="1"/>
  <c r="K1253" i="1"/>
  <c r="M1253" i="1"/>
  <c r="P1253" i="1"/>
  <c r="R1253" i="1"/>
  <c r="S1253" i="1"/>
  <c r="T1253" i="1"/>
  <c r="U1253" i="1"/>
  <c r="X1253" i="1"/>
  <c r="Y1253" i="1"/>
  <c r="Z1253" i="1"/>
  <c r="AA1253" i="1"/>
  <c r="AB1253" i="1"/>
  <c r="AC1253" i="1"/>
  <c r="AD1253" i="1"/>
  <c r="AE1253" i="1"/>
  <c r="AF1253" i="1"/>
  <c r="AG1253" i="1"/>
  <c r="AH1253" i="1"/>
  <c r="AI1253" i="1"/>
  <c r="AJ1253" i="1"/>
  <c r="AK1253" i="1"/>
  <c r="C1254" i="1"/>
  <c r="H1254" i="1"/>
  <c r="I1254" i="1"/>
  <c r="J1254" i="1"/>
  <c r="K1254" i="1"/>
  <c r="M1254" i="1"/>
  <c r="P1254" i="1"/>
  <c r="R1254" i="1"/>
  <c r="S1254" i="1"/>
  <c r="T1254" i="1"/>
  <c r="U1254" i="1"/>
  <c r="X1254" i="1"/>
  <c r="Y1254" i="1"/>
  <c r="Z1254" i="1"/>
  <c r="AA1254" i="1"/>
  <c r="AB1254" i="1"/>
  <c r="AC1254" i="1"/>
  <c r="AD1254" i="1"/>
  <c r="AE1254" i="1"/>
  <c r="AF1254" i="1"/>
  <c r="AG1254" i="1"/>
  <c r="AH1254" i="1"/>
  <c r="AI1254" i="1"/>
  <c r="AJ1254" i="1"/>
  <c r="AK1254" i="1"/>
  <c r="C1255" i="1"/>
  <c r="H1255" i="1"/>
  <c r="I1255" i="1"/>
  <c r="J1255" i="1"/>
  <c r="K1255" i="1"/>
  <c r="M1255" i="1"/>
  <c r="P1255" i="1"/>
  <c r="R1255" i="1"/>
  <c r="S1255" i="1"/>
  <c r="T1255" i="1"/>
  <c r="U1255" i="1"/>
  <c r="X1255" i="1"/>
  <c r="Y1255" i="1"/>
  <c r="Z1255" i="1"/>
  <c r="AA1255" i="1"/>
  <c r="AB1255" i="1"/>
  <c r="AC1255" i="1"/>
  <c r="AD1255" i="1"/>
  <c r="AE1255" i="1"/>
  <c r="AF1255" i="1"/>
  <c r="AG1255" i="1"/>
  <c r="AH1255" i="1"/>
  <c r="AI1255" i="1"/>
  <c r="AJ1255" i="1"/>
  <c r="AK1255" i="1"/>
  <c r="C1256" i="1"/>
  <c r="H1256" i="1"/>
  <c r="I1256" i="1"/>
  <c r="J1256" i="1"/>
  <c r="K1256" i="1"/>
  <c r="M1256" i="1"/>
  <c r="P1256" i="1"/>
  <c r="R1256" i="1"/>
  <c r="S1256" i="1"/>
  <c r="T1256" i="1"/>
  <c r="U1256" i="1"/>
  <c r="X1256" i="1"/>
  <c r="Y1256" i="1"/>
  <c r="Z1256" i="1"/>
  <c r="AA1256" i="1"/>
  <c r="AB1256" i="1"/>
  <c r="AC1256" i="1"/>
  <c r="AD1256" i="1"/>
  <c r="AE1256" i="1"/>
  <c r="AF1256" i="1"/>
  <c r="AG1256" i="1"/>
  <c r="AH1256" i="1"/>
  <c r="AI1256" i="1"/>
  <c r="AJ1256" i="1"/>
  <c r="AK1256" i="1"/>
  <c r="C1257" i="1"/>
  <c r="H1257" i="1"/>
  <c r="I1257" i="1"/>
  <c r="J1257" i="1"/>
  <c r="K1257" i="1"/>
  <c r="M1257" i="1"/>
  <c r="P1257" i="1"/>
  <c r="R1257" i="1"/>
  <c r="S1257" i="1"/>
  <c r="T1257" i="1"/>
  <c r="U1257" i="1"/>
  <c r="X1257" i="1"/>
  <c r="Y1257" i="1"/>
  <c r="Z1257" i="1"/>
  <c r="AA1257" i="1"/>
  <c r="AB1257" i="1"/>
  <c r="AC1257" i="1"/>
  <c r="AD1257" i="1"/>
  <c r="AE1257" i="1"/>
  <c r="AF1257" i="1"/>
  <c r="AG1257" i="1"/>
  <c r="AH1257" i="1"/>
  <c r="AI1257" i="1"/>
  <c r="AJ1257" i="1"/>
  <c r="AK1257" i="1"/>
  <c r="C1258" i="1"/>
  <c r="H1258" i="1"/>
  <c r="I1258" i="1"/>
  <c r="J1258" i="1"/>
  <c r="K1258" i="1"/>
  <c r="M1258" i="1"/>
  <c r="P1258" i="1"/>
  <c r="R1258" i="1"/>
  <c r="S1258" i="1"/>
  <c r="T1258" i="1"/>
  <c r="U1258" i="1"/>
  <c r="X1258" i="1"/>
  <c r="Y1258" i="1"/>
  <c r="Z1258" i="1"/>
  <c r="AA1258" i="1"/>
  <c r="AB1258" i="1"/>
  <c r="AC1258" i="1"/>
  <c r="AD1258" i="1"/>
  <c r="AE1258" i="1"/>
  <c r="AF1258" i="1"/>
  <c r="AG1258" i="1"/>
  <c r="AH1258" i="1"/>
  <c r="AI1258" i="1"/>
  <c r="AJ1258" i="1"/>
  <c r="AK1258" i="1"/>
  <c r="C1259" i="1"/>
  <c r="H1259" i="1"/>
  <c r="I1259" i="1"/>
  <c r="J1259" i="1"/>
  <c r="K1259" i="1"/>
  <c r="M1259" i="1"/>
  <c r="P1259" i="1"/>
  <c r="R1259" i="1"/>
  <c r="S1259" i="1"/>
  <c r="T1259" i="1"/>
  <c r="U1259" i="1"/>
  <c r="X1259" i="1"/>
  <c r="Y1259" i="1"/>
  <c r="Z1259" i="1"/>
  <c r="AA1259" i="1"/>
  <c r="AB1259" i="1"/>
  <c r="AC1259" i="1"/>
  <c r="AD1259" i="1"/>
  <c r="AE1259" i="1"/>
  <c r="AF1259" i="1"/>
  <c r="AG1259" i="1"/>
  <c r="AH1259" i="1"/>
  <c r="AI1259" i="1"/>
  <c r="AJ1259" i="1"/>
  <c r="AK1259" i="1"/>
  <c r="C1260" i="1"/>
  <c r="H1260" i="1"/>
  <c r="I1260" i="1"/>
  <c r="J1260" i="1"/>
  <c r="K1260" i="1"/>
  <c r="M1260" i="1"/>
  <c r="P1260" i="1"/>
  <c r="R1260" i="1"/>
  <c r="S1260" i="1"/>
  <c r="T1260" i="1"/>
  <c r="U1260" i="1"/>
  <c r="X1260" i="1"/>
  <c r="Y1260" i="1"/>
  <c r="Z1260" i="1"/>
  <c r="AA1260" i="1"/>
  <c r="AB1260" i="1"/>
  <c r="AC1260" i="1"/>
  <c r="AD1260" i="1"/>
  <c r="AE1260" i="1"/>
  <c r="AF1260" i="1"/>
  <c r="AG1260" i="1"/>
  <c r="AH1260" i="1"/>
  <c r="AI1260" i="1"/>
  <c r="AJ1260" i="1"/>
  <c r="AK1260" i="1"/>
  <c r="C1261" i="1"/>
  <c r="H1261" i="1"/>
  <c r="I1261" i="1"/>
  <c r="J1261" i="1"/>
  <c r="K1261" i="1"/>
  <c r="M1261" i="1"/>
  <c r="P1261" i="1"/>
  <c r="R1261" i="1"/>
  <c r="S1261" i="1"/>
  <c r="T1261" i="1"/>
  <c r="U1261" i="1"/>
  <c r="X1261" i="1"/>
  <c r="Y1261" i="1"/>
  <c r="Z1261" i="1"/>
  <c r="AA1261" i="1"/>
  <c r="AB1261" i="1"/>
  <c r="AC1261" i="1"/>
  <c r="AD1261" i="1"/>
  <c r="AE1261" i="1"/>
  <c r="AF1261" i="1"/>
  <c r="AG1261" i="1"/>
  <c r="AH1261" i="1"/>
  <c r="AI1261" i="1"/>
  <c r="AJ1261" i="1"/>
  <c r="AK1261" i="1"/>
  <c r="C1242" i="1"/>
  <c r="H1242" i="1"/>
  <c r="I1242" i="1"/>
  <c r="J1242" i="1"/>
  <c r="K1242" i="1"/>
  <c r="M1242" i="1"/>
  <c r="P1242" i="1"/>
  <c r="R1242" i="1"/>
  <c r="S1242" i="1"/>
  <c r="T1242" i="1"/>
  <c r="U1242" i="1"/>
  <c r="X1242" i="1"/>
  <c r="Y1242" i="1"/>
  <c r="Z1242" i="1"/>
  <c r="AA1242" i="1"/>
  <c r="AB1242" i="1"/>
  <c r="AC1242" i="1"/>
  <c r="AD1242" i="1"/>
  <c r="AE1242" i="1"/>
  <c r="AF1242" i="1"/>
  <c r="AG1242" i="1"/>
  <c r="AH1242" i="1"/>
  <c r="AI1242" i="1"/>
  <c r="AJ1242" i="1"/>
  <c r="AK1242" i="1"/>
  <c r="C1243" i="1"/>
  <c r="H1243" i="1"/>
  <c r="I1243" i="1"/>
  <c r="J1243" i="1"/>
  <c r="K1243" i="1"/>
  <c r="M1243" i="1"/>
  <c r="P1243" i="1"/>
  <c r="R1243" i="1"/>
  <c r="S1243" i="1"/>
  <c r="T1243" i="1"/>
  <c r="U1243" i="1"/>
  <c r="X1243" i="1"/>
  <c r="Y1243" i="1"/>
  <c r="Z1243" i="1"/>
  <c r="AA1243" i="1"/>
  <c r="AB1243" i="1"/>
  <c r="AC1243" i="1"/>
  <c r="AD1243" i="1"/>
  <c r="AE1243" i="1"/>
  <c r="AF1243" i="1"/>
  <c r="AG1243" i="1"/>
  <c r="AH1243" i="1"/>
  <c r="AI1243" i="1"/>
  <c r="AJ1243" i="1"/>
  <c r="AK1243" i="1"/>
  <c r="C1244" i="1"/>
  <c r="H1244" i="1"/>
  <c r="I1244" i="1"/>
  <c r="J1244" i="1"/>
  <c r="K1244" i="1"/>
  <c r="M1244" i="1"/>
  <c r="P1244" i="1"/>
  <c r="R1244" i="1"/>
  <c r="S1244" i="1"/>
  <c r="T1244" i="1"/>
  <c r="U1244" i="1"/>
  <c r="X1244" i="1"/>
  <c r="Y1244" i="1"/>
  <c r="Z1244" i="1"/>
  <c r="AA1244" i="1"/>
  <c r="AB1244" i="1"/>
  <c r="AC1244" i="1"/>
  <c r="AD1244" i="1"/>
  <c r="AE1244" i="1"/>
  <c r="AF1244" i="1"/>
  <c r="AG1244" i="1"/>
  <c r="AH1244" i="1"/>
  <c r="AI1244" i="1"/>
  <c r="AJ1244" i="1"/>
  <c r="AK1244" i="1"/>
  <c r="C1245" i="1"/>
  <c r="H1245" i="1"/>
  <c r="I1245" i="1"/>
  <c r="J1245" i="1"/>
  <c r="K1245" i="1"/>
  <c r="M1245" i="1"/>
  <c r="P1245" i="1"/>
  <c r="R1245" i="1"/>
  <c r="S1245" i="1"/>
  <c r="T1245" i="1"/>
  <c r="U1245" i="1"/>
  <c r="X1245" i="1"/>
  <c r="Y1245" i="1"/>
  <c r="Z1245" i="1"/>
  <c r="AA1245" i="1"/>
  <c r="AB1245" i="1"/>
  <c r="AC1245" i="1"/>
  <c r="AD1245" i="1"/>
  <c r="AE1245" i="1"/>
  <c r="AF1245" i="1"/>
  <c r="AG1245" i="1"/>
  <c r="AH1245" i="1"/>
  <c r="AI1245" i="1"/>
  <c r="AJ1245" i="1"/>
  <c r="AK1245" i="1"/>
  <c r="C1246" i="1"/>
  <c r="H1246" i="1"/>
  <c r="I1246" i="1"/>
  <c r="J1246" i="1"/>
  <c r="K1246" i="1"/>
  <c r="M1246" i="1"/>
  <c r="P1246" i="1"/>
  <c r="R1246" i="1"/>
  <c r="S1246" i="1"/>
  <c r="T1246" i="1"/>
  <c r="U1246" i="1"/>
  <c r="X1246" i="1"/>
  <c r="Y1246" i="1"/>
  <c r="Z1246" i="1"/>
  <c r="AA1246" i="1"/>
  <c r="AB1246" i="1"/>
  <c r="AC1246" i="1"/>
  <c r="AD1246" i="1"/>
  <c r="AE1246" i="1"/>
  <c r="AF1246" i="1"/>
  <c r="AG1246" i="1"/>
  <c r="AH1246" i="1"/>
  <c r="AI1246" i="1"/>
  <c r="AJ1246" i="1"/>
  <c r="AK1246" i="1"/>
  <c r="C1247" i="1"/>
  <c r="H1247" i="1"/>
  <c r="I1247" i="1"/>
  <c r="J1247" i="1"/>
  <c r="K1247" i="1"/>
  <c r="M1247" i="1"/>
  <c r="P1247" i="1"/>
  <c r="R1247" i="1"/>
  <c r="S1247" i="1"/>
  <c r="T1247" i="1"/>
  <c r="U1247" i="1"/>
  <c r="X1247" i="1"/>
  <c r="Y1247" i="1"/>
  <c r="Z1247" i="1"/>
  <c r="AA1247" i="1"/>
  <c r="AB1247" i="1"/>
  <c r="AC1247" i="1"/>
  <c r="AD1247" i="1"/>
  <c r="AE1247" i="1"/>
  <c r="AF1247" i="1"/>
  <c r="AG1247" i="1"/>
  <c r="AH1247" i="1"/>
  <c r="AI1247" i="1"/>
  <c r="AJ1247" i="1"/>
  <c r="AK1247" i="1"/>
  <c r="C1248" i="1"/>
  <c r="H1248" i="1"/>
  <c r="I1248" i="1"/>
  <c r="J1248" i="1"/>
  <c r="K1248" i="1"/>
  <c r="M1248" i="1"/>
  <c r="P1248" i="1"/>
  <c r="R1248" i="1"/>
  <c r="S1248" i="1"/>
  <c r="T1248" i="1"/>
  <c r="U1248" i="1"/>
  <c r="X1248" i="1"/>
  <c r="Y1248" i="1"/>
  <c r="Z1248" i="1"/>
  <c r="AA1248" i="1"/>
  <c r="AB1248" i="1"/>
  <c r="AC1248" i="1"/>
  <c r="AD1248" i="1"/>
  <c r="AE1248" i="1"/>
  <c r="AF1248" i="1"/>
  <c r="AG1248" i="1"/>
  <c r="AH1248" i="1"/>
  <c r="AI1248" i="1"/>
  <c r="AJ1248" i="1"/>
  <c r="AK1248" i="1"/>
  <c r="C1249" i="1"/>
  <c r="H1249" i="1"/>
  <c r="I1249" i="1"/>
  <c r="J1249" i="1"/>
  <c r="K1249" i="1"/>
  <c r="M1249" i="1"/>
  <c r="P1249" i="1"/>
  <c r="R1249" i="1"/>
  <c r="S1249" i="1"/>
  <c r="T1249" i="1"/>
  <c r="U1249" i="1"/>
  <c r="X1249" i="1"/>
  <c r="Y1249" i="1"/>
  <c r="Z1249" i="1"/>
  <c r="AA1249" i="1"/>
  <c r="AB1249" i="1"/>
  <c r="AC1249" i="1"/>
  <c r="AD1249" i="1"/>
  <c r="AE1249" i="1"/>
  <c r="AF1249" i="1"/>
  <c r="AG1249" i="1"/>
  <c r="AH1249" i="1"/>
  <c r="AI1249" i="1"/>
  <c r="AJ1249" i="1"/>
  <c r="AK1249" i="1"/>
  <c r="C1250" i="1"/>
  <c r="H1250" i="1"/>
  <c r="I1250" i="1"/>
  <c r="J1250" i="1"/>
  <c r="K1250" i="1"/>
  <c r="M1250" i="1"/>
  <c r="P1250" i="1"/>
  <c r="R1250" i="1"/>
  <c r="S1250" i="1"/>
  <c r="T1250" i="1"/>
  <c r="U1250" i="1"/>
  <c r="X1250" i="1"/>
  <c r="Y1250" i="1"/>
  <c r="Z1250" i="1"/>
  <c r="AA1250" i="1"/>
  <c r="AB1250" i="1"/>
  <c r="AC1250" i="1"/>
  <c r="AD1250" i="1"/>
  <c r="AE1250" i="1"/>
  <c r="AF1250" i="1"/>
  <c r="AG1250" i="1"/>
  <c r="AH1250" i="1"/>
  <c r="AI1250" i="1"/>
  <c r="AJ1250" i="1"/>
  <c r="AK1250" i="1"/>
  <c r="C1251" i="1"/>
  <c r="H1251" i="1"/>
  <c r="I1251" i="1"/>
  <c r="J1251" i="1"/>
  <c r="K1251" i="1"/>
  <c r="M1251" i="1"/>
  <c r="P1251" i="1"/>
  <c r="R1251" i="1"/>
  <c r="S1251" i="1"/>
  <c r="T1251" i="1"/>
  <c r="U1251" i="1"/>
  <c r="X1251" i="1"/>
  <c r="Y1251" i="1"/>
  <c r="Z1251" i="1"/>
  <c r="AA1251" i="1"/>
  <c r="AB1251" i="1"/>
  <c r="AC1251" i="1"/>
  <c r="AD1251" i="1"/>
  <c r="AE1251" i="1"/>
  <c r="AF1251" i="1"/>
  <c r="AG1251" i="1"/>
  <c r="AH1251" i="1"/>
  <c r="AI1251" i="1"/>
  <c r="AJ1251" i="1"/>
  <c r="AK1251" i="1"/>
  <c r="C1232" i="1"/>
  <c r="H1232" i="1"/>
  <c r="I1232" i="1"/>
  <c r="J1232" i="1"/>
  <c r="K1232" i="1"/>
  <c r="M1232" i="1"/>
  <c r="P1232" i="1"/>
  <c r="R1232" i="1"/>
  <c r="S1232" i="1"/>
  <c r="T1232" i="1"/>
  <c r="U1232" i="1"/>
  <c r="X1232" i="1"/>
  <c r="Y1232" i="1"/>
  <c r="Z1232" i="1"/>
  <c r="AA1232" i="1"/>
  <c r="AB1232" i="1"/>
  <c r="AC1232" i="1"/>
  <c r="AD1232" i="1"/>
  <c r="AE1232" i="1"/>
  <c r="AF1232" i="1"/>
  <c r="AG1232" i="1"/>
  <c r="AH1232" i="1"/>
  <c r="AI1232" i="1"/>
  <c r="AJ1232" i="1"/>
  <c r="AK1232" i="1"/>
  <c r="C1233" i="1"/>
  <c r="H1233" i="1"/>
  <c r="I1233" i="1"/>
  <c r="J1233" i="1"/>
  <c r="K1233" i="1"/>
  <c r="M1233" i="1"/>
  <c r="P1233" i="1"/>
  <c r="R1233" i="1"/>
  <c r="S1233" i="1"/>
  <c r="T1233" i="1"/>
  <c r="U1233" i="1"/>
  <c r="X1233" i="1"/>
  <c r="Y1233" i="1"/>
  <c r="Z1233" i="1"/>
  <c r="AA1233" i="1"/>
  <c r="AB1233" i="1"/>
  <c r="AC1233" i="1"/>
  <c r="AD1233" i="1"/>
  <c r="AE1233" i="1"/>
  <c r="AF1233" i="1"/>
  <c r="AG1233" i="1"/>
  <c r="AH1233" i="1"/>
  <c r="AI1233" i="1"/>
  <c r="AJ1233" i="1"/>
  <c r="AK1233" i="1"/>
  <c r="C1234" i="1"/>
  <c r="H1234" i="1"/>
  <c r="I1234" i="1"/>
  <c r="J1234" i="1"/>
  <c r="K1234" i="1"/>
  <c r="M1234" i="1"/>
  <c r="P1234" i="1"/>
  <c r="R1234" i="1"/>
  <c r="S1234" i="1"/>
  <c r="T1234" i="1"/>
  <c r="U1234" i="1"/>
  <c r="X1234" i="1"/>
  <c r="Y1234" i="1"/>
  <c r="Z1234" i="1"/>
  <c r="AA1234" i="1"/>
  <c r="AB1234" i="1"/>
  <c r="AC1234" i="1"/>
  <c r="AD1234" i="1"/>
  <c r="AE1234" i="1"/>
  <c r="AF1234" i="1"/>
  <c r="AG1234" i="1"/>
  <c r="AH1234" i="1"/>
  <c r="AI1234" i="1"/>
  <c r="AJ1234" i="1"/>
  <c r="AK1234" i="1"/>
  <c r="C1235" i="1"/>
  <c r="H1235" i="1"/>
  <c r="I1235" i="1"/>
  <c r="J1235" i="1"/>
  <c r="K1235" i="1"/>
  <c r="M1235" i="1"/>
  <c r="P1235" i="1"/>
  <c r="R1235" i="1"/>
  <c r="S1235" i="1"/>
  <c r="T1235" i="1"/>
  <c r="U1235" i="1"/>
  <c r="X1235" i="1"/>
  <c r="Y1235" i="1"/>
  <c r="Z1235" i="1"/>
  <c r="AA1235" i="1"/>
  <c r="AB1235" i="1"/>
  <c r="AC1235" i="1"/>
  <c r="AD1235" i="1"/>
  <c r="AE1235" i="1"/>
  <c r="AF1235" i="1"/>
  <c r="AG1235" i="1"/>
  <c r="AH1235" i="1"/>
  <c r="AI1235" i="1"/>
  <c r="AJ1235" i="1"/>
  <c r="AK1235" i="1"/>
  <c r="C1236" i="1"/>
  <c r="H1236" i="1"/>
  <c r="I1236" i="1"/>
  <c r="J1236" i="1"/>
  <c r="K1236" i="1"/>
  <c r="M1236" i="1"/>
  <c r="P1236" i="1"/>
  <c r="R1236" i="1"/>
  <c r="S1236" i="1"/>
  <c r="T1236" i="1"/>
  <c r="U1236" i="1"/>
  <c r="X1236" i="1"/>
  <c r="Y1236" i="1"/>
  <c r="Z1236" i="1"/>
  <c r="AA1236" i="1"/>
  <c r="AB1236" i="1"/>
  <c r="AC1236" i="1"/>
  <c r="AD1236" i="1"/>
  <c r="AE1236" i="1"/>
  <c r="AF1236" i="1"/>
  <c r="AG1236" i="1"/>
  <c r="AH1236" i="1"/>
  <c r="AI1236" i="1"/>
  <c r="AJ1236" i="1"/>
  <c r="AK1236" i="1"/>
  <c r="C1237" i="1"/>
  <c r="H1237" i="1"/>
  <c r="I1237" i="1"/>
  <c r="J1237" i="1"/>
  <c r="K1237" i="1"/>
  <c r="M1237" i="1"/>
  <c r="P1237" i="1"/>
  <c r="R1237" i="1"/>
  <c r="S1237" i="1"/>
  <c r="T1237" i="1"/>
  <c r="U1237" i="1"/>
  <c r="X1237" i="1"/>
  <c r="Y1237" i="1"/>
  <c r="Z1237" i="1"/>
  <c r="AA1237" i="1"/>
  <c r="AB1237" i="1"/>
  <c r="AC1237" i="1"/>
  <c r="AD1237" i="1"/>
  <c r="AE1237" i="1"/>
  <c r="AF1237" i="1"/>
  <c r="AG1237" i="1"/>
  <c r="AH1237" i="1"/>
  <c r="AI1237" i="1"/>
  <c r="AJ1237" i="1"/>
  <c r="AK1237" i="1"/>
  <c r="C1238" i="1"/>
  <c r="H1238" i="1"/>
  <c r="I1238" i="1"/>
  <c r="J1238" i="1"/>
  <c r="K1238" i="1"/>
  <c r="M1238" i="1"/>
  <c r="P1238" i="1"/>
  <c r="R1238" i="1"/>
  <c r="S1238" i="1"/>
  <c r="T1238" i="1"/>
  <c r="U1238" i="1"/>
  <c r="X1238" i="1"/>
  <c r="Y1238" i="1"/>
  <c r="Z1238" i="1"/>
  <c r="AA1238" i="1"/>
  <c r="AB1238" i="1"/>
  <c r="AC1238" i="1"/>
  <c r="AD1238" i="1"/>
  <c r="AE1238" i="1"/>
  <c r="AF1238" i="1"/>
  <c r="AG1238" i="1"/>
  <c r="AH1238" i="1"/>
  <c r="AI1238" i="1"/>
  <c r="AJ1238" i="1"/>
  <c r="AK1238" i="1"/>
  <c r="C1239" i="1"/>
  <c r="H1239" i="1"/>
  <c r="I1239" i="1"/>
  <c r="J1239" i="1"/>
  <c r="K1239" i="1"/>
  <c r="M1239" i="1"/>
  <c r="P1239" i="1"/>
  <c r="R1239" i="1"/>
  <c r="S1239" i="1"/>
  <c r="T1239" i="1"/>
  <c r="U1239" i="1"/>
  <c r="X1239" i="1"/>
  <c r="Y1239" i="1"/>
  <c r="Z1239" i="1"/>
  <c r="AA1239" i="1"/>
  <c r="AB1239" i="1"/>
  <c r="AC1239" i="1"/>
  <c r="AD1239" i="1"/>
  <c r="AE1239" i="1"/>
  <c r="AF1239" i="1"/>
  <c r="AG1239" i="1"/>
  <c r="AH1239" i="1"/>
  <c r="AI1239" i="1"/>
  <c r="AJ1239" i="1"/>
  <c r="AK1239" i="1"/>
  <c r="C1240" i="1"/>
  <c r="H1240" i="1"/>
  <c r="I1240" i="1"/>
  <c r="J1240" i="1"/>
  <c r="K1240" i="1"/>
  <c r="M1240" i="1"/>
  <c r="P1240" i="1"/>
  <c r="R1240" i="1"/>
  <c r="S1240" i="1"/>
  <c r="T1240" i="1"/>
  <c r="U1240" i="1"/>
  <c r="X1240" i="1"/>
  <c r="Y1240" i="1"/>
  <c r="Z1240" i="1"/>
  <c r="AA1240" i="1"/>
  <c r="AB1240" i="1"/>
  <c r="AC1240" i="1"/>
  <c r="AD1240" i="1"/>
  <c r="AE1240" i="1"/>
  <c r="AF1240" i="1"/>
  <c r="AG1240" i="1"/>
  <c r="AH1240" i="1"/>
  <c r="AI1240" i="1"/>
  <c r="AJ1240" i="1"/>
  <c r="AK1240" i="1"/>
  <c r="C1241" i="1"/>
  <c r="H1241" i="1"/>
  <c r="I1241" i="1"/>
  <c r="J1241" i="1"/>
  <c r="K1241" i="1"/>
  <c r="M1241" i="1"/>
  <c r="P1241" i="1"/>
  <c r="R1241" i="1"/>
  <c r="S1241" i="1"/>
  <c r="T1241" i="1"/>
  <c r="U1241" i="1"/>
  <c r="X1241" i="1"/>
  <c r="Y1241" i="1"/>
  <c r="Z1241" i="1"/>
  <c r="AA1241" i="1"/>
  <c r="AB1241" i="1"/>
  <c r="AC1241" i="1"/>
  <c r="AD1241" i="1"/>
  <c r="AE1241" i="1"/>
  <c r="AF1241" i="1"/>
  <c r="AG1241" i="1"/>
  <c r="AH1241" i="1"/>
  <c r="AI1241" i="1"/>
  <c r="AJ1241" i="1"/>
  <c r="AK1241" i="1"/>
  <c r="C1222" i="1"/>
  <c r="H1222" i="1"/>
  <c r="I1222" i="1"/>
  <c r="J1222" i="1"/>
  <c r="K1222" i="1"/>
  <c r="M1222" i="1"/>
  <c r="P1222" i="1"/>
  <c r="R1222" i="1"/>
  <c r="S1222" i="1"/>
  <c r="T1222" i="1"/>
  <c r="U1222" i="1"/>
  <c r="X1222" i="1"/>
  <c r="Y1222" i="1"/>
  <c r="Z1222" i="1"/>
  <c r="AA1222" i="1"/>
  <c r="AB1222" i="1"/>
  <c r="AC1222" i="1"/>
  <c r="AD1222" i="1"/>
  <c r="AE1222" i="1"/>
  <c r="AF1222" i="1"/>
  <c r="AG1222" i="1"/>
  <c r="AH1222" i="1"/>
  <c r="AI1222" i="1"/>
  <c r="AJ1222" i="1"/>
  <c r="AK1222" i="1"/>
  <c r="C1223" i="1"/>
  <c r="H1223" i="1"/>
  <c r="I1223" i="1"/>
  <c r="J1223" i="1"/>
  <c r="K1223" i="1"/>
  <c r="M1223" i="1"/>
  <c r="P1223" i="1"/>
  <c r="R1223" i="1"/>
  <c r="S1223" i="1"/>
  <c r="T1223" i="1"/>
  <c r="U1223" i="1"/>
  <c r="X1223" i="1"/>
  <c r="Y1223" i="1"/>
  <c r="Z1223" i="1"/>
  <c r="AA1223" i="1"/>
  <c r="AB1223" i="1"/>
  <c r="AC1223" i="1"/>
  <c r="AD1223" i="1"/>
  <c r="AE1223" i="1"/>
  <c r="AF1223" i="1"/>
  <c r="AG1223" i="1"/>
  <c r="AH1223" i="1"/>
  <c r="AI1223" i="1"/>
  <c r="AJ1223" i="1"/>
  <c r="AK1223" i="1"/>
  <c r="C1224" i="1"/>
  <c r="H1224" i="1"/>
  <c r="I1224" i="1"/>
  <c r="J1224" i="1"/>
  <c r="K1224" i="1"/>
  <c r="M1224" i="1"/>
  <c r="P1224" i="1"/>
  <c r="R1224" i="1"/>
  <c r="S1224" i="1"/>
  <c r="T1224" i="1"/>
  <c r="U1224" i="1"/>
  <c r="X1224" i="1"/>
  <c r="Y1224" i="1"/>
  <c r="Z1224" i="1"/>
  <c r="AA1224" i="1"/>
  <c r="AB1224" i="1"/>
  <c r="AC1224" i="1"/>
  <c r="AD1224" i="1"/>
  <c r="AE1224" i="1"/>
  <c r="AF1224" i="1"/>
  <c r="AG1224" i="1"/>
  <c r="AH1224" i="1"/>
  <c r="AI1224" i="1"/>
  <c r="AJ1224" i="1"/>
  <c r="AK1224" i="1"/>
  <c r="C1225" i="1"/>
  <c r="H1225" i="1"/>
  <c r="I1225" i="1"/>
  <c r="J1225" i="1"/>
  <c r="K1225" i="1"/>
  <c r="M1225" i="1"/>
  <c r="P1225" i="1"/>
  <c r="R1225" i="1"/>
  <c r="S1225" i="1"/>
  <c r="T1225" i="1"/>
  <c r="U1225" i="1"/>
  <c r="X1225" i="1"/>
  <c r="Y1225" i="1"/>
  <c r="Z1225" i="1"/>
  <c r="AA1225" i="1"/>
  <c r="AB1225" i="1"/>
  <c r="AC1225" i="1"/>
  <c r="AD1225" i="1"/>
  <c r="AE1225" i="1"/>
  <c r="AF1225" i="1"/>
  <c r="AG1225" i="1"/>
  <c r="AH1225" i="1"/>
  <c r="AI1225" i="1"/>
  <c r="AJ1225" i="1"/>
  <c r="AK1225" i="1"/>
  <c r="C1226" i="1"/>
  <c r="H1226" i="1"/>
  <c r="I1226" i="1"/>
  <c r="J1226" i="1"/>
  <c r="K1226" i="1"/>
  <c r="M1226" i="1"/>
  <c r="P1226" i="1"/>
  <c r="R1226" i="1"/>
  <c r="S1226" i="1"/>
  <c r="T1226" i="1"/>
  <c r="U1226" i="1"/>
  <c r="X1226" i="1"/>
  <c r="Y1226" i="1"/>
  <c r="Z1226" i="1"/>
  <c r="AA1226" i="1"/>
  <c r="AB1226" i="1"/>
  <c r="AC1226" i="1"/>
  <c r="AD1226" i="1"/>
  <c r="AE1226" i="1"/>
  <c r="AF1226" i="1"/>
  <c r="AG1226" i="1"/>
  <c r="AH1226" i="1"/>
  <c r="AI1226" i="1"/>
  <c r="AJ1226" i="1"/>
  <c r="AK1226" i="1"/>
  <c r="C1227" i="1"/>
  <c r="H1227" i="1"/>
  <c r="I1227" i="1"/>
  <c r="J1227" i="1"/>
  <c r="K1227" i="1"/>
  <c r="M1227" i="1"/>
  <c r="P1227" i="1"/>
  <c r="R1227" i="1"/>
  <c r="S1227" i="1"/>
  <c r="T1227" i="1"/>
  <c r="U1227" i="1"/>
  <c r="X1227" i="1"/>
  <c r="Y1227" i="1"/>
  <c r="Z1227" i="1"/>
  <c r="AA1227" i="1"/>
  <c r="AB1227" i="1"/>
  <c r="AC1227" i="1"/>
  <c r="AD1227" i="1"/>
  <c r="AE1227" i="1"/>
  <c r="AF1227" i="1"/>
  <c r="AG1227" i="1"/>
  <c r="AH1227" i="1"/>
  <c r="AI1227" i="1"/>
  <c r="AJ1227" i="1"/>
  <c r="AK1227" i="1"/>
  <c r="C1228" i="1"/>
  <c r="H1228" i="1"/>
  <c r="I1228" i="1"/>
  <c r="J1228" i="1"/>
  <c r="K1228" i="1"/>
  <c r="M1228" i="1"/>
  <c r="P1228" i="1"/>
  <c r="R1228" i="1"/>
  <c r="S1228" i="1"/>
  <c r="T1228" i="1"/>
  <c r="U1228" i="1"/>
  <c r="X1228" i="1"/>
  <c r="Y1228" i="1"/>
  <c r="Z1228" i="1"/>
  <c r="AA1228" i="1"/>
  <c r="AB1228" i="1"/>
  <c r="AC1228" i="1"/>
  <c r="AD1228" i="1"/>
  <c r="AE1228" i="1"/>
  <c r="AF1228" i="1"/>
  <c r="AG1228" i="1"/>
  <c r="AH1228" i="1"/>
  <c r="AI1228" i="1"/>
  <c r="AJ1228" i="1"/>
  <c r="AK1228" i="1"/>
  <c r="C1229" i="1"/>
  <c r="H1229" i="1"/>
  <c r="I1229" i="1"/>
  <c r="J1229" i="1"/>
  <c r="K1229" i="1"/>
  <c r="M1229" i="1"/>
  <c r="P1229" i="1"/>
  <c r="R1229" i="1"/>
  <c r="S1229" i="1"/>
  <c r="T1229" i="1"/>
  <c r="U1229" i="1"/>
  <c r="X1229" i="1"/>
  <c r="Y1229" i="1"/>
  <c r="Z1229" i="1"/>
  <c r="AA1229" i="1"/>
  <c r="AB1229" i="1"/>
  <c r="AC1229" i="1"/>
  <c r="AD1229" i="1"/>
  <c r="AE1229" i="1"/>
  <c r="AF1229" i="1"/>
  <c r="AG1229" i="1"/>
  <c r="AH1229" i="1"/>
  <c r="AI1229" i="1"/>
  <c r="AJ1229" i="1"/>
  <c r="AK1229" i="1"/>
  <c r="C1230" i="1"/>
  <c r="H1230" i="1"/>
  <c r="I1230" i="1"/>
  <c r="J1230" i="1"/>
  <c r="K1230" i="1"/>
  <c r="M1230" i="1"/>
  <c r="P1230" i="1"/>
  <c r="R1230" i="1"/>
  <c r="S1230" i="1"/>
  <c r="T1230" i="1"/>
  <c r="U1230" i="1"/>
  <c r="X1230" i="1"/>
  <c r="Y1230" i="1"/>
  <c r="Z1230" i="1"/>
  <c r="AA1230" i="1"/>
  <c r="AB1230" i="1"/>
  <c r="AC1230" i="1"/>
  <c r="AD1230" i="1"/>
  <c r="AE1230" i="1"/>
  <c r="AF1230" i="1"/>
  <c r="AG1230" i="1"/>
  <c r="AH1230" i="1"/>
  <c r="AI1230" i="1"/>
  <c r="AJ1230" i="1"/>
  <c r="AK1230" i="1"/>
  <c r="C1231" i="1"/>
  <c r="H1231" i="1"/>
  <c r="I1231" i="1"/>
  <c r="J1231" i="1"/>
  <c r="K1231" i="1"/>
  <c r="M1231" i="1"/>
  <c r="P1231" i="1"/>
  <c r="R1231" i="1"/>
  <c r="S1231" i="1"/>
  <c r="T1231" i="1"/>
  <c r="U1231" i="1"/>
  <c r="X1231" i="1"/>
  <c r="Y1231" i="1"/>
  <c r="Z1231" i="1"/>
  <c r="AA1231" i="1"/>
  <c r="AB1231" i="1"/>
  <c r="AC1231" i="1"/>
  <c r="AD1231" i="1"/>
  <c r="AE1231" i="1"/>
  <c r="AF1231" i="1"/>
  <c r="AG1231" i="1"/>
  <c r="AH1231" i="1"/>
  <c r="AI1231" i="1"/>
  <c r="AJ1231" i="1"/>
  <c r="AK1231" i="1"/>
  <c r="C1212" i="1"/>
  <c r="H1212" i="1"/>
  <c r="I1212" i="1"/>
  <c r="J1212" i="1"/>
  <c r="K1212" i="1"/>
  <c r="M1212" i="1"/>
  <c r="P1212" i="1"/>
  <c r="R1212" i="1"/>
  <c r="S1212" i="1"/>
  <c r="T1212" i="1"/>
  <c r="U1212" i="1"/>
  <c r="X1212" i="1"/>
  <c r="Y1212" i="1"/>
  <c r="Z1212" i="1"/>
  <c r="AA1212" i="1"/>
  <c r="AB1212" i="1"/>
  <c r="AC1212" i="1"/>
  <c r="AD1212" i="1"/>
  <c r="AE1212" i="1"/>
  <c r="AF1212" i="1"/>
  <c r="AG1212" i="1"/>
  <c r="AH1212" i="1"/>
  <c r="AI1212" i="1"/>
  <c r="AJ1212" i="1"/>
  <c r="AK1212" i="1"/>
  <c r="C1213" i="1"/>
  <c r="H1213" i="1"/>
  <c r="I1213" i="1"/>
  <c r="J1213" i="1"/>
  <c r="K1213" i="1"/>
  <c r="M1213" i="1"/>
  <c r="P1213" i="1"/>
  <c r="R1213" i="1"/>
  <c r="S1213" i="1"/>
  <c r="T1213" i="1"/>
  <c r="U1213" i="1"/>
  <c r="X1213" i="1"/>
  <c r="Y1213" i="1"/>
  <c r="Z1213" i="1"/>
  <c r="AA1213" i="1"/>
  <c r="AB1213" i="1"/>
  <c r="AC1213" i="1"/>
  <c r="AD1213" i="1"/>
  <c r="AE1213" i="1"/>
  <c r="AF1213" i="1"/>
  <c r="AG1213" i="1"/>
  <c r="AH1213" i="1"/>
  <c r="AI1213" i="1"/>
  <c r="AJ1213" i="1"/>
  <c r="AK1213" i="1"/>
  <c r="C1214" i="1"/>
  <c r="H1214" i="1"/>
  <c r="I1214" i="1"/>
  <c r="J1214" i="1"/>
  <c r="K1214" i="1"/>
  <c r="M1214" i="1"/>
  <c r="P1214" i="1"/>
  <c r="R1214" i="1"/>
  <c r="S1214" i="1"/>
  <c r="T1214" i="1"/>
  <c r="U1214" i="1"/>
  <c r="X1214" i="1"/>
  <c r="Y1214" i="1"/>
  <c r="Z1214" i="1"/>
  <c r="AA1214" i="1"/>
  <c r="AB1214" i="1"/>
  <c r="AC1214" i="1"/>
  <c r="AD1214" i="1"/>
  <c r="AE1214" i="1"/>
  <c r="AF1214" i="1"/>
  <c r="AG1214" i="1"/>
  <c r="AH1214" i="1"/>
  <c r="AI1214" i="1"/>
  <c r="AJ1214" i="1"/>
  <c r="AK1214" i="1"/>
  <c r="C1215" i="1"/>
  <c r="H1215" i="1"/>
  <c r="I1215" i="1"/>
  <c r="J1215" i="1"/>
  <c r="K1215" i="1"/>
  <c r="M1215" i="1"/>
  <c r="P1215" i="1"/>
  <c r="R1215" i="1"/>
  <c r="S1215" i="1"/>
  <c r="T1215" i="1"/>
  <c r="U1215" i="1"/>
  <c r="X1215" i="1"/>
  <c r="Y1215" i="1"/>
  <c r="Z1215" i="1"/>
  <c r="AA1215" i="1"/>
  <c r="AB1215" i="1"/>
  <c r="AC1215" i="1"/>
  <c r="AD1215" i="1"/>
  <c r="AE1215" i="1"/>
  <c r="AF1215" i="1"/>
  <c r="AG1215" i="1"/>
  <c r="AH1215" i="1"/>
  <c r="AI1215" i="1"/>
  <c r="AJ1215" i="1"/>
  <c r="AK1215" i="1"/>
  <c r="C1216" i="1"/>
  <c r="H1216" i="1"/>
  <c r="I1216" i="1"/>
  <c r="J1216" i="1"/>
  <c r="K1216" i="1"/>
  <c r="M1216" i="1"/>
  <c r="P1216" i="1"/>
  <c r="R1216" i="1"/>
  <c r="S1216" i="1"/>
  <c r="T1216" i="1"/>
  <c r="U1216" i="1"/>
  <c r="X1216" i="1"/>
  <c r="Y1216" i="1"/>
  <c r="Z1216" i="1"/>
  <c r="AA1216" i="1"/>
  <c r="AB1216" i="1"/>
  <c r="AC1216" i="1"/>
  <c r="AD1216" i="1"/>
  <c r="AE1216" i="1"/>
  <c r="AF1216" i="1"/>
  <c r="AG1216" i="1"/>
  <c r="AH1216" i="1"/>
  <c r="AI1216" i="1"/>
  <c r="AJ1216" i="1"/>
  <c r="AK1216" i="1"/>
  <c r="C1217" i="1"/>
  <c r="H1217" i="1"/>
  <c r="I1217" i="1"/>
  <c r="J1217" i="1"/>
  <c r="K1217" i="1"/>
  <c r="M1217" i="1"/>
  <c r="P1217" i="1"/>
  <c r="R1217" i="1"/>
  <c r="S1217" i="1"/>
  <c r="T1217" i="1"/>
  <c r="U1217" i="1"/>
  <c r="X1217" i="1"/>
  <c r="Y1217" i="1"/>
  <c r="Z1217" i="1"/>
  <c r="AA1217" i="1"/>
  <c r="AB1217" i="1"/>
  <c r="AC1217" i="1"/>
  <c r="AD1217" i="1"/>
  <c r="AE1217" i="1"/>
  <c r="AF1217" i="1"/>
  <c r="AG1217" i="1"/>
  <c r="AH1217" i="1"/>
  <c r="AI1217" i="1"/>
  <c r="AJ1217" i="1"/>
  <c r="AK1217" i="1"/>
  <c r="C1218" i="1"/>
  <c r="H1218" i="1"/>
  <c r="I1218" i="1"/>
  <c r="J1218" i="1"/>
  <c r="K1218" i="1"/>
  <c r="M1218" i="1"/>
  <c r="P1218" i="1"/>
  <c r="R1218" i="1"/>
  <c r="S1218" i="1"/>
  <c r="T1218" i="1"/>
  <c r="U1218" i="1"/>
  <c r="X1218" i="1"/>
  <c r="Y1218" i="1"/>
  <c r="Z1218" i="1"/>
  <c r="AA1218" i="1"/>
  <c r="AB1218" i="1"/>
  <c r="AC1218" i="1"/>
  <c r="AD1218" i="1"/>
  <c r="AE1218" i="1"/>
  <c r="AF1218" i="1"/>
  <c r="AG1218" i="1"/>
  <c r="AH1218" i="1"/>
  <c r="AI1218" i="1"/>
  <c r="AJ1218" i="1"/>
  <c r="AK1218" i="1"/>
  <c r="C1219" i="1"/>
  <c r="H1219" i="1"/>
  <c r="I1219" i="1"/>
  <c r="J1219" i="1"/>
  <c r="K1219" i="1"/>
  <c r="M1219" i="1"/>
  <c r="P1219" i="1"/>
  <c r="R1219" i="1"/>
  <c r="S1219" i="1"/>
  <c r="T1219" i="1"/>
  <c r="U1219" i="1"/>
  <c r="X1219" i="1"/>
  <c r="Y1219" i="1"/>
  <c r="Z1219" i="1"/>
  <c r="AA1219" i="1"/>
  <c r="AB1219" i="1"/>
  <c r="AC1219" i="1"/>
  <c r="AD1219" i="1"/>
  <c r="AE1219" i="1"/>
  <c r="AF1219" i="1"/>
  <c r="AG1219" i="1"/>
  <c r="AH1219" i="1"/>
  <c r="AI1219" i="1"/>
  <c r="AJ1219" i="1"/>
  <c r="AK1219" i="1"/>
  <c r="C1220" i="1"/>
  <c r="H1220" i="1"/>
  <c r="I1220" i="1"/>
  <c r="J1220" i="1"/>
  <c r="K1220" i="1"/>
  <c r="M1220" i="1"/>
  <c r="P1220" i="1"/>
  <c r="R1220" i="1"/>
  <c r="S1220" i="1"/>
  <c r="T1220" i="1"/>
  <c r="U1220" i="1"/>
  <c r="X1220" i="1"/>
  <c r="Y1220" i="1"/>
  <c r="Z1220" i="1"/>
  <c r="AA1220" i="1"/>
  <c r="AB1220" i="1"/>
  <c r="AC1220" i="1"/>
  <c r="AD1220" i="1"/>
  <c r="AE1220" i="1"/>
  <c r="AF1220" i="1"/>
  <c r="AG1220" i="1"/>
  <c r="AH1220" i="1"/>
  <c r="AI1220" i="1"/>
  <c r="AJ1220" i="1"/>
  <c r="AK1220" i="1"/>
  <c r="C1221" i="1"/>
  <c r="H1221" i="1"/>
  <c r="I1221" i="1"/>
  <c r="J1221" i="1"/>
  <c r="K1221" i="1"/>
  <c r="M1221" i="1"/>
  <c r="P1221" i="1"/>
  <c r="R1221" i="1"/>
  <c r="S1221" i="1"/>
  <c r="T1221" i="1"/>
  <c r="U1221" i="1"/>
  <c r="X1221" i="1"/>
  <c r="Y1221" i="1"/>
  <c r="Z1221" i="1"/>
  <c r="AA1221" i="1"/>
  <c r="AB1221" i="1"/>
  <c r="AC1221" i="1"/>
  <c r="AD1221" i="1"/>
  <c r="AE1221" i="1"/>
  <c r="AF1221" i="1"/>
  <c r="AG1221" i="1"/>
  <c r="AH1221" i="1"/>
  <c r="AI1221" i="1"/>
  <c r="AJ1221" i="1"/>
  <c r="AK1221" i="1"/>
  <c r="C1202" i="1"/>
  <c r="H1202" i="1"/>
  <c r="I1202" i="1"/>
  <c r="J1202" i="1"/>
  <c r="K1202" i="1"/>
  <c r="M1202" i="1"/>
  <c r="P1202" i="1"/>
  <c r="R1202" i="1"/>
  <c r="S1202" i="1"/>
  <c r="T1202" i="1"/>
  <c r="U1202" i="1"/>
  <c r="X1202" i="1"/>
  <c r="Y1202" i="1"/>
  <c r="Z1202" i="1"/>
  <c r="AA1202" i="1"/>
  <c r="AB1202" i="1"/>
  <c r="AC1202" i="1"/>
  <c r="AD1202" i="1"/>
  <c r="AE1202" i="1"/>
  <c r="AF1202" i="1"/>
  <c r="AG1202" i="1"/>
  <c r="AH1202" i="1"/>
  <c r="AI1202" i="1"/>
  <c r="AJ1202" i="1"/>
  <c r="AK1202" i="1"/>
  <c r="C1203" i="1"/>
  <c r="H1203" i="1"/>
  <c r="I1203" i="1"/>
  <c r="J1203" i="1"/>
  <c r="K1203" i="1"/>
  <c r="M1203" i="1"/>
  <c r="P1203" i="1"/>
  <c r="R1203" i="1"/>
  <c r="S1203" i="1"/>
  <c r="T1203" i="1"/>
  <c r="U1203" i="1"/>
  <c r="X1203" i="1"/>
  <c r="Y1203" i="1"/>
  <c r="Z1203" i="1"/>
  <c r="AA1203" i="1"/>
  <c r="AB1203" i="1"/>
  <c r="AC1203" i="1"/>
  <c r="AD1203" i="1"/>
  <c r="AE1203" i="1"/>
  <c r="AF1203" i="1"/>
  <c r="AG1203" i="1"/>
  <c r="AH1203" i="1"/>
  <c r="AI1203" i="1"/>
  <c r="AJ1203" i="1"/>
  <c r="AK1203" i="1"/>
  <c r="C1204" i="1"/>
  <c r="H1204" i="1"/>
  <c r="I1204" i="1"/>
  <c r="J1204" i="1"/>
  <c r="K1204" i="1"/>
  <c r="M1204" i="1"/>
  <c r="P1204" i="1"/>
  <c r="R1204" i="1"/>
  <c r="S1204" i="1"/>
  <c r="T1204" i="1"/>
  <c r="U1204" i="1"/>
  <c r="X1204" i="1"/>
  <c r="Y1204" i="1"/>
  <c r="Z1204" i="1"/>
  <c r="AA1204" i="1"/>
  <c r="AB1204" i="1"/>
  <c r="AC1204" i="1"/>
  <c r="AD1204" i="1"/>
  <c r="AE1204" i="1"/>
  <c r="AF1204" i="1"/>
  <c r="AG1204" i="1"/>
  <c r="AH1204" i="1"/>
  <c r="AI1204" i="1"/>
  <c r="AJ1204" i="1"/>
  <c r="AK1204" i="1"/>
  <c r="C1205" i="1"/>
  <c r="H1205" i="1"/>
  <c r="I1205" i="1"/>
  <c r="J1205" i="1"/>
  <c r="K1205" i="1"/>
  <c r="M1205" i="1"/>
  <c r="P1205" i="1"/>
  <c r="R1205" i="1"/>
  <c r="S1205" i="1"/>
  <c r="T1205" i="1"/>
  <c r="U1205" i="1"/>
  <c r="X1205" i="1"/>
  <c r="Y1205" i="1"/>
  <c r="Z1205" i="1"/>
  <c r="AA1205" i="1"/>
  <c r="AB1205" i="1"/>
  <c r="AC1205" i="1"/>
  <c r="AD1205" i="1"/>
  <c r="AE1205" i="1"/>
  <c r="AF1205" i="1"/>
  <c r="AG1205" i="1"/>
  <c r="AH1205" i="1"/>
  <c r="AI1205" i="1"/>
  <c r="AJ1205" i="1"/>
  <c r="AK1205" i="1"/>
  <c r="C1206" i="1"/>
  <c r="H1206" i="1"/>
  <c r="I1206" i="1"/>
  <c r="J1206" i="1"/>
  <c r="K1206" i="1"/>
  <c r="M1206" i="1"/>
  <c r="P1206" i="1"/>
  <c r="R1206" i="1"/>
  <c r="S1206" i="1"/>
  <c r="T1206" i="1"/>
  <c r="U1206" i="1"/>
  <c r="X1206" i="1"/>
  <c r="Y1206" i="1"/>
  <c r="Z1206" i="1"/>
  <c r="AA1206" i="1"/>
  <c r="AB1206" i="1"/>
  <c r="AC1206" i="1"/>
  <c r="AD1206" i="1"/>
  <c r="AE1206" i="1"/>
  <c r="AF1206" i="1"/>
  <c r="AG1206" i="1"/>
  <c r="AH1206" i="1"/>
  <c r="AI1206" i="1"/>
  <c r="AJ1206" i="1"/>
  <c r="AK1206" i="1"/>
  <c r="C1207" i="1"/>
  <c r="H1207" i="1"/>
  <c r="I1207" i="1"/>
  <c r="J1207" i="1"/>
  <c r="K1207" i="1"/>
  <c r="M1207" i="1"/>
  <c r="P1207" i="1"/>
  <c r="R1207" i="1"/>
  <c r="S1207" i="1"/>
  <c r="T1207" i="1"/>
  <c r="U1207" i="1"/>
  <c r="X1207" i="1"/>
  <c r="Y1207" i="1"/>
  <c r="Z1207" i="1"/>
  <c r="AA1207" i="1"/>
  <c r="AB1207" i="1"/>
  <c r="AC1207" i="1"/>
  <c r="AD1207" i="1"/>
  <c r="AE1207" i="1"/>
  <c r="AF1207" i="1"/>
  <c r="AG1207" i="1"/>
  <c r="AH1207" i="1"/>
  <c r="AI1207" i="1"/>
  <c r="AJ1207" i="1"/>
  <c r="AK1207" i="1"/>
  <c r="C1208" i="1"/>
  <c r="H1208" i="1"/>
  <c r="I1208" i="1"/>
  <c r="J1208" i="1"/>
  <c r="K1208" i="1"/>
  <c r="M1208" i="1"/>
  <c r="P1208" i="1"/>
  <c r="R1208" i="1"/>
  <c r="S1208" i="1"/>
  <c r="T1208" i="1"/>
  <c r="U1208" i="1"/>
  <c r="X1208" i="1"/>
  <c r="Y1208" i="1"/>
  <c r="Z1208" i="1"/>
  <c r="AA1208" i="1"/>
  <c r="AB1208" i="1"/>
  <c r="AC1208" i="1"/>
  <c r="AD1208" i="1"/>
  <c r="AE1208" i="1"/>
  <c r="AF1208" i="1"/>
  <c r="AG1208" i="1"/>
  <c r="AH1208" i="1"/>
  <c r="AI1208" i="1"/>
  <c r="AJ1208" i="1"/>
  <c r="AK1208" i="1"/>
  <c r="C1209" i="1"/>
  <c r="H1209" i="1"/>
  <c r="I1209" i="1"/>
  <c r="J1209" i="1"/>
  <c r="K1209" i="1"/>
  <c r="M1209" i="1"/>
  <c r="P1209" i="1"/>
  <c r="R1209" i="1"/>
  <c r="S1209" i="1"/>
  <c r="T1209" i="1"/>
  <c r="U1209" i="1"/>
  <c r="X1209" i="1"/>
  <c r="Y1209" i="1"/>
  <c r="Z1209" i="1"/>
  <c r="AA1209" i="1"/>
  <c r="AB1209" i="1"/>
  <c r="AC1209" i="1"/>
  <c r="AD1209" i="1"/>
  <c r="AE1209" i="1"/>
  <c r="AF1209" i="1"/>
  <c r="AG1209" i="1"/>
  <c r="AH1209" i="1"/>
  <c r="AI1209" i="1"/>
  <c r="AJ1209" i="1"/>
  <c r="AK1209" i="1"/>
  <c r="C1210" i="1"/>
  <c r="H1210" i="1"/>
  <c r="I1210" i="1"/>
  <c r="J1210" i="1"/>
  <c r="K1210" i="1"/>
  <c r="M1210" i="1"/>
  <c r="P1210" i="1"/>
  <c r="R1210" i="1"/>
  <c r="S1210" i="1"/>
  <c r="T1210" i="1"/>
  <c r="U1210" i="1"/>
  <c r="X1210" i="1"/>
  <c r="Y1210" i="1"/>
  <c r="Z1210" i="1"/>
  <c r="AA1210" i="1"/>
  <c r="AB1210" i="1"/>
  <c r="AC1210" i="1"/>
  <c r="AD1210" i="1"/>
  <c r="AE1210" i="1"/>
  <c r="AF1210" i="1"/>
  <c r="AG1210" i="1"/>
  <c r="AH1210" i="1"/>
  <c r="AI1210" i="1"/>
  <c r="AJ1210" i="1"/>
  <c r="AK1210" i="1"/>
  <c r="C1211" i="1"/>
  <c r="H1211" i="1"/>
  <c r="I1211" i="1"/>
  <c r="J1211" i="1"/>
  <c r="K1211" i="1"/>
  <c r="M1211" i="1"/>
  <c r="P1211" i="1"/>
  <c r="R1211" i="1"/>
  <c r="S1211" i="1"/>
  <c r="T1211" i="1"/>
  <c r="U1211" i="1"/>
  <c r="X1211" i="1"/>
  <c r="Y1211" i="1"/>
  <c r="Z1211" i="1"/>
  <c r="AA1211" i="1"/>
  <c r="AB1211" i="1"/>
  <c r="AC1211" i="1"/>
  <c r="AD1211" i="1"/>
  <c r="AE1211" i="1"/>
  <c r="AF1211" i="1"/>
  <c r="AG1211" i="1"/>
  <c r="AH1211" i="1"/>
  <c r="AI1211" i="1"/>
  <c r="AJ1211" i="1"/>
  <c r="AK1211" i="1"/>
  <c r="C1192" i="1"/>
  <c r="H1192" i="1"/>
  <c r="I1192" i="1"/>
  <c r="J1192" i="1"/>
  <c r="K1192" i="1"/>
  <c r="M1192" i="1"/>
  <c r="P1192" i="1"/>
  <c r="R1192" i="1"/>
  <c r="S1192" i="1"/>
  <c r="T1192" i="1"/>
  <c r="U1192" i="1"/>
  <c r="X1192" i="1"/>
  <c r="Y1192" i="1"/>
  <c r="Z1192" i="1"/>
  <c r="AA1192" i="1"/>
  <c r="AB1192" i="1"/>
  <c r="AC1192" i="1"/>
  <c r="AD1192" i="1"/>
  <c r="AE1192" i="1"/>
  <c r="AF1192" i="1"/>
  <c r="AG1192" i="1"/>
  <c r="AH1192" i="1"/>
  <c r="AI1192" i="1"/>
  <c r="AJ1192" i="1"/>
  <c r="AK1192" i="1"/>
  <c r="C1193" i="1"/>
  <c r="H1193" i="1"/>
  <c r="I1193" i="1"/>
  <c r="J1193" i="1"/>
  <c r="K1193" i="1"/>
  <c r="M1193" i="1"/>
  <c r="P1193" i="1"/>
  <c r="R1193" i="1"/>
  <c r="S1193" i="1"/>
  <c r="T1193" i="1"/>
  <c r="U1193" i="1"/>
  <c r="X1193" i="1"/>
  <c r="Y1193" i="1"/>
  <c r="Z1193" i="1"/>
  <c r="AA1193" i="1"/>
  <c r="AB1193" i="1"/>
  <c r="AC1193" i="1"/>
  <c r="AD1193" i="1"/>
  <c r="AE1193" i="1"/>
  <c r="AF1193" i="1"/>
  <c r="AG1193" i="1"/>
  <c r="AH1193" i="1"/>
  <c r="AI1193" i="1"/>
  <c r="AJ1193" i="1"/>
  <c r="AK1193" i="1"/>
  <c r="C1194" i="1"/>
  <c r="H1194" i="1"/>
  <c r="I1194" i="1"/>
  <c r="J1194" i="1"/>
  <c r="K1194" i="1"/>
  <c r="M1194" i="1"/>
  <c r="P1194" i="1"/>
  <c r="R1194" i="1"/>
  <c r="S1194" i="1"/>
  <c r="T1194" i="1"/>
  <c r="U1194" i="1"/>
  <c r="X1194" i="1"/>
  <c r="Y1194" i="1"/>
  <c r="Z1194" i="1"/>
  <c r="AA1194" i="1"/>
  <c r="AB1194" i="1"/>
  <c r="AC1194" i="1"/>
  <c r="AD1194" i="1"/>
  <c r="AE1194" i="1"/>
  <c r="AF1194" i="1"/>
  <c r="AG1194" i="1"/>
  <c r="AH1194" i="1"/>
  <c r="AI1194" i="1"/>
  <c r="AJ1194" i="1"/>
  <c r="AK1194" i="1"/>
  <c r="C1195" i="1"/>
  <c r="H1195" i="1"/>
  <c r="I1195" i="1"/>
  <c r="J1195" i="1"/>
  <c r="K1195" i="1"/>
  <c r="M1195" i="1"/>
  <c r="P1195" i="1"/>
  <c r="R1195" i="1"/>
  <c r="S1195" i="1"/>
  <c r="T1195" i="1"/>
  <c r="U1195" i="1"/>
  <c r="X1195" i="1"/>
  <c r="Y1195" i="1"/>
  <c r="Z1195" i="1"/>
  <c r="AA1195" i="1"/>
  <c r="AB1195" i="1"/>
  <c r="AC1195" i="1"/>
  <c r="AD1195" i="1"/>
  <c r="AE1195" i="1"/>
  <c r="AF1195" i="1"/>
  <c r="AG1195" i="1"/>
  <c r="AH1195" i="1"/>
  <c r="AI1195" i="1"/>
  <c r="AJ1195" i="1"/>
  <c r="AK1195" i="1"/>
  <c r="C1196" i="1"/>
  <c r="H1196" i="1"/>
  <c r="I1196" i="1"/>
  <c r="J1196" i="1"/>
  <c r="K1196" i="1"/>
  <c r="M1196" i="1"/>
  <c r="P1196" i="1"/>
  <c r="R1196" i="1"/>
  <c r="S1196" i="1"/>
  <c r="T1196" i="1"/>
  <c r="U1196" i="1"/>
  <c r="X1196" i="1"/>
  <c r="Y1196" i="1"/>
  <c r="Z1196" i="1"/>
  <c r="AA1196" i="1"/>
  <c r="AB1196" i="1"/>
  <c r="AC1196" i="1"/>
  <c r="AD1196" i="1"/>
  <c r="AE1196" i="1"/>
  <c r="AF1196" i="1"/>
  <c r="AG1196" i="1"/>
  <c r="AH1196" i="1"/>
  <c r="AI1196" i="1"/>
  <c r="AJ1196" i="1"/>
  <c r="AK1196" i="1"/>
  <c r="C1197" i="1"/>
  <c r="H1197" i="1"/>
  <c r="I1197" i="1"/>
  <c r="J1197" i="1"/>
  <c r="K1197" i="1"/>
  <c r="M1197" i="1"/>
  <c r="P1197" i="1"/>
  <c r="R1197" i="1"/>
  <c r="S1197" i="1"/>
  <c r="T1197" i="1"/>
  <c r="U1197" i="1"/>
  <c r="X1197" i="1"/>
  <c r="Y1197" i="1"/>
  <c r="Z1197" i="1"/>
  <c r="AA1197" i="1"/>
  <c r="AB1197" i="1"/>
  <c r="AC1197" i="1"/>
  <c r="AD1197" i="1"/>
  <c r="AE1197" i="1"/>
  <c r="AF1197" i="1"/>
  <c r="AG1197" i="1"/>
  <c r="AH1197" i="1"/>
  <c r="AI1197" i="1"/>
  <c r="AJ1197" i="1"/>
  <c r="AK1197" i="1"/>
  <c r="C1198" i="1"/>
  <c r="H1198" i="1"/>
  <c r="I1198" i="1"/>
  <c r="J1198" i="1"/>
  <c r="K1198" i="1"/>
  <c r="M1198" i="1"/>
  <c r="P1198" i="1"/>
  <c r="R1198" i="1"/>
  <c r="S1198" i="1"/>
  <c r="T1198" i="1"/>
  <c r="U1198" i="1"/>
  <c r="X1198" i="1"/>
  <c r="Y1198" i="1"/>
  <c r="Z1198" i="1"/>
  <c r="AA1198" i="1"/>
  <c r="AB1198" i="1"/>
  <c r="AC1198" i="1"/>
  <c r="AD1198" i="1"/>
  <c r="AE1198" i="1"/>
  <c r="AF1198" i="1"/>
  <c r="AG1198" i="1"/>
  <c r="AH1198" i="1"/>
  <c r="AI1198" i="1"/>
  <c r="AJ1198" i="1"/>
  <c r="AK1198" i="1"/>
  <c r="C1199" i="1"/>
  <c r="H1199" i="1"/>
  <c r="I1199" i="1"/>
  <c r="J1199" i="1"/>
  <c r="K1199" i="1"/>
  <c r="M1199" i="1"/>
  <c r="P1199" i="1"/>
  <c r="R1199" i="1"/>
  <c r="S1199" i="1"/>
  <c r="T1199" i="1"/>
  <c r="U1199" i="1"/>
  <c r="X1199" i="1"/>
  <c r="Y1199" i="1"/>
  <c r="Z1199" i="1"/>
  <c r="AA1199" i="1"/>
  <c r="AB1199" i="1"/>
  <c r="AC1199" i="1"/>
  <c r="AD1199" i="1"/>
  <c r="AE1199" i="1"/>
  <c r="AF1199" i="1"/>
  <c r="AG1199" i="1"/>
  <c r="AH1199" i="1"/>
  <c r="AI1199" i="1"/>
  <c r="AJ1199" i="1"/>
  <c r="AK1199" i="1"/>
  <c r="C1200" i="1"/>
  <c r="H1200" i="1"/>
  <c r="I1200" i="1"/>
  <c r="J1200" i="1"/>
  <c r="K1200" i="1"/>
  <c r="M1200" i="1"/>
  <c r="P1200" i="1"/>
  <c r="R1200" i="1"/>
  <c r="S1200" i="1"/>
  <c r="T1200" i="1"/>
  <c r="U1200" i="1"/>
  <c r="X1200" i="1"/>
  <c r="Y1200" i="1"/>
  <c r="Z1200" i="1"/>
  <c r="AA1200" i="1"/>
  <c r="AB1200" i="1"/>
  <c r="AC1200" i="1"/>
  <c r="AD1200" i="1"/>
  <c r="AE1200" i="1"/>
  <c r="AF1200" i="1"/>
  <c r="AG1200" i="1"/>
  <c r="AH1200" i="1"/>
  <c r="AI1200" i="1"/>
  <c r="AJ1200" i="1"/>
  <c r="AK1200" i="1"/>
  <c r="C1201" i="1"/>
  <c r="H1201" i="1"/>
  <c r="I1201" i="1"/>
  <c r="J1201" i="1"/>
  <c r="K1201" i="1"/>
  <c r="M1201" i="1"/>
  <c r="P1201" i="1"/>
  <c r="R1201" i="1"/>
  <c r="S1201" i="1"/>
  <c r="T1201" i="1"/>
  <c r="U1201" i="1"/>
  <c r="X1201" i="1"/>
  <c r="Y1201" i="1"/>
  <c r="Z1201" i="1"/>
  <c r="AA1201" i="1"/>
  <c r="AB1201" i="1"/>
  <c r="AC1201" i="1"/>
  <c r="AD1201" i="1"/>
  <c r="AE1201" i="1"/>
  <c r="AF1201" i="1"/>
  <c r="AG1201" i="1"/>
  <c r="AH1201" i="1"/>
  <c r="AI1201" i="1"/>
  <c r="AJ1201" i="1"/>
  <c r="AK1201" i="1"/>
  <c r="C1182" i="1"/>
  <c r="H1182" i="1"/>
  <c r="I1182" i="1"/>
  <c r="J1182" i="1"/>
  <c r="K1182" i="1"/>
  <c r="M1182" i="1"/>
  <c r="P1182" i="1"/>
  <c r="R1182" i="1"/>
  <c r="S1182" i="1"/>
  <c r="T1182" i="1"/>
  <c r="U1182" i="1"/>
  <c r="X1182" i="1"/>
  <c r="Y1182" i="1"/>
  <c r="Z1182" i="1"/>
  <c r="AA1182" i="1"/>
  <c r="AB1182" i="1"/>
  <c r="AC1182" i="1"/>
  <c r="AD1182" i="1"/>
  <c r="AE1182" i="1"/>
  <c r="AF1182" i="1"/>
  <c r="AG1182" i="1"/>
  <c r="AH1182" i="1"/>
  <c r="AI1182" i="1"/>
  <c r="AJ1182" i="1"/>
  <c r="AK1182" i="1"/>
  <c r="C1183" i="1"/>
  <c r="H1183" i="1"/>
  <c r="I1183" i="1"/>
  <c r="J1183" i="1"/>
  <c r="K1183" i="1"/>
  <c r="M1183" i="1"/>
  <c r="P1183" i="1"/>
  <c r="R1183" i="1"/>
  <c r="S1183" i="1"/>
  <c r="T1183" i="1"/>
  <c r="U1183" i="1"/>
  <c r="X1183" i="1"/>
  <c r="Y1183" i="1"/>
  <c r="Z1183" i="1"/>
  <c r="AA1183" i="1"/>
  <c r="AB1183" i="1"/>
  <c r="AC1183" i="1"/>
  <c r="AD1183" i="1"/>
  <c r="AE1183" i="1"/>
  <c r="AF1183" i="1"/>
  <c r="AG1183" i="1"/>
  <c r="AH1183" i="1"/>
  <c r="AI1183" i="1"/>
  <c r="AJ1183" i="1"/>
  <c r="AK1183" i="1"/>
  <c r="C1184" i="1"/>
  <c r="H1184" i="1"/>
  <c r="I1184" i="1"/>
  <c r="J1184" i="1"/>
  <c r="K1184" i="1"/>
  <c r="M1184" i="1"/>
  <c r="P1184" i="1"/>
  <c r="R1184" i="1"/>
  <c r="S1184" i="1"/>
  <c r="T1184" i="1"/>
  <c r="U1184" i="1"/>
  <c r="X1184" i="1"/>
  <c r="Y1184" i="1"/>
  <c r="Z1184" i="1"/>
  <c r="AA1184" i="1"/>
  <c r="AB1184" i="1"/>
  <c r="AC1184" i="1"/>
  <c r="AD1184" i="1"/>
  <c r="AE1184" i="1"/>
  <c r="AF1184" i="1"/>
  <c r="AG1184" i="1"/>
  <c r="AH1184" i="1"/>
  <c r="AI1184" i="1"/>
  <c r="AJ1184" i="1"/>
  <c r="AK1184" i="1"/>
  <c r="C1185" i="1"/>
  <c r="H1185" i="1"/>
  <c r="I1185" i="1"/>
  <c r="J1185" i="1"/>
  <c r="K1185" i="1"/>
  <c r="M1185" i="1"/>
  <c r="P1185" i="1"/>
  <c r="R1185" i="1"/>
  <c r="S1185" i="1"/>
  <c r="T1185" i="1"/>
  <c r="U1185" i="1"/>
  <c r="X1185" i="1"/>
  <c r="Y1185" i="1"/>
  <c r="Z1185" i="1"/>
  <c r="AA1185" i="1"/>
  <c r="AB1185" i="1"/>
  <c r="AC1185" i="1"/>
  <c r="AD1185" i="1"/>
  <c r="AE1185" i="1"/>
  <c r="AF1185" i="1"/>
  <c r="AG1185" i="1"/>
  <c r="AH1185" i="1"/>
  <c r="AI1185" i="1"/>
  <c r="AJ1185" i="1"/>
  <c r="AK1185" i="1"/>
  <c r="C1186" i="1"/>
  <c r="H1186" i="1"/>
  <c r="I1186" i="1"/>
  <c r="J1186" i="1"/>
  <c r="K1186" i="1"/>
  <c r="M1186" i="1"/>
  <c r="P1186" i="1"/>
  <c r="R1186" i="1"/>
  <c r="S1186" i="1"/>
  <c r="T1186" i="1"/>
  <c r="U1186" i="1"/>
  <c r="X1186" i="1"/>
  <c r="Y1186" i="1"/>
  <c r="Z1186" i="1"/>
  <c r="AA1186" i="1"/>
  <c r="AB1186" i="1"/>
  <c r="AC1186" i="1"/>
  <c r="AD1186" i="1"/>
  <c r="AE1186" i="1"/>
  <c r="AF1186" i="1"/>
  <c r="AG1186" i="1"/>
  <c r="AH1186" i="1"/>
  <c r="AI1186" i="1"/>
  <c r="AJ1186" i="1"/>
  <c r="AK1186" i="1"/>
  <c r="C1187" i="1"/>
  <c r="H1187" i="1"/>
  <c r="I1187" i="1"/>
  <c r="J1187" i="1"/>
  <c r="K1187" i="1"/>
  <c r="M1187" i="1"/>
  <c r="P1187" i="1"/>
  <c r="R1187" i="1"/>
  <c r="S1187" i="1"/>
  <c r="T1187" i="1"/>
  <c r="U1187" i="1"/>
  <c r="X1187" i="1"/>
  <c r="Y1187" i="1"/>
  <c r="Z1187" i="1"/>
  <c r="AA1187" i="1"/>
  <c r="AB1187" i="1"/>
  <c r="AC1187" i="1"/>
  <c r="AD1187" i="1"/>
  <c r="AE1187" i="1"/>
  <c r="AF1187" i="1"/>
  <c r="AG1187" i="1"/>
  <c r="AH1187" i="1"/>
  <c r="AI1187" i="1"/>
  <c r="AJ1187" i="1"/>
  <c r="AK1187" i="1"/>
  <c r="C1188" i="1"/>
  <c r="H1188" i="1"/>
  <c r="I1188" i="1"/>
  <c r="J1188" i="1"/>
  <c r="K1188" i="1"/>
  <c r="M1188" i="1"/>
  <c r="P1188" i="1"/>
  <c r="R1188" i="1"/>
  <c r="S1188" i="1"/>
  <c r="T1188" i="1"/>
  <c r="U1188" i="1"/>
  <c r="X1188" i="1"/>
  <c r="Y1188" i="1"/>
  <c r="Z1188" i="1"/>
  <c r="AA1188" i="1"/>
  <c r="AB1188" i="1"/>
  <c r="AC1188" i="1"/>
  <c r="AD1188" i="1"/>
  <c r="AE1188" i="1"/>
  <c r="AF1188" i="1"/>
  <c r="AG1188" i="1"/>
  <c r="AH1188" i="1"/>
  <c r="AI1188" i="1"/>
  <c r="AJ1188" i="1"/>
  <c r="AK1188" i="1"/>
  <c r="C1189" i="1"/>
  <c r="H1189" i="1"/>
  <c r="I1189" i="1"/>
  <c r="J1189" i="1"/>
  <c r="K1189" i="1"/>
  <c r="M1189" i="1"/>
  <c r="P1189" i="1"/>
  <c r="R1189" i="1"/>
  <c r="S1189" i="1"/>
  <c r="T1189" i="1"/>
  <c r="U1189" i="1"/>
  <c r="X1189" i="1"/>
  <c r="Y1189" i="1"/>
  <c r="Z1189" i="1"/>
  <c r="AA1189" i="1"/>
  <c r="AB1189" i="1"/>
  <c r="AC1189" i="1"/>
  <c r="AD1189" i="1"/>
  <c r="AE1189" i="1"/>
  <c r="AF1189" i="1"/>
  <c r="AG1189" i="1"/>
  <c r="AH1189" i="1"/>
  <c r="AI1189" i="1"/>
  <c r="AJ1189" i="1"/>
  <c r="AK1189" i="1"/>
  <c r="C1190" i="1"/>
  <c r="H1190" i="1"/>
  <c r="I1190" i="1"/>
  <c r="J1190" i="1"/>
  <c r="K1190" i="1"/>
  <c r="M1190" i="1"/>
  <c r="P1190" i="1"/>
  <c r="R1190" i="1"/>
  <c r="S1190" i="1"/>
  <c r="T1190" i="1"/>
  <c r="U1190" i="1"/>
  <c r="X1190" i="1"/>
  <c r="Y1190" i="1"/>
  <c r="Z1190" i="1"/>
  <c r="AA1190" i="1"/>
  <c r="AB1190" i="1"/>
  <c r="AC1190" i="1"/>
  <c r="AD1190" i="1"/>
  <c r="AE1190" i="1"/>
  <c r="AF1190" i="1"/>
  <c r="AG1190" i="1"/>
  <c r="AH1190" i="1"/>
  <c r="AI1190" i="1"/>
  <c r="AJ1190" i="1"/>
  <c r="AK1190" i="1"/>
  <c r="C1191" i="1"/>
  <c r="H1191" i="1"/>
  <c r="I1191" i="1"/>
  <c r="J1191" i="1"/>
  <c r="K1191" i="1"/>
  <c r="M1191" i="1"/>
  <c r="P1191" i="1"/>
  <c r="R1191" i="1"/>
  <c r="S1191" i="1"/>
  <c r="T1191" i="1"/>
  <c r="U1191" i="1"/>
  <c r="X1191" i="1"/>
  <c r="Y1191" i="1"/>
  <c r="Z1191" i="1"/>
  <c r="AA1191" i="1"/>
  <c r="AB1191" i="1"/>
  <c r="AC1191" i="1"/>
  <c r="AD1191" i="1"/>
  <c r="AE1191" i="1"/>
  <c r="AF1191" i="1"/>
  <c r="AG1191" i="1"/>
  <c r="AH1191" i="1"/>
  <c r="AI1191" i="1"/>
  <c r="AJ1191" i="1"/>
  <c r="AK1191" i="1"/>
  <c r="C1172" i="1"/>
  <c r="H1172" i="1"/>
  <c r="I1172" i="1"/>
  <c r="J1172" i="1"/>
  <c r="K1172" i="1"/>
  <c r="M1172" i="1"/>
  <c r="P1172" i="1"/>
  <c r="R1172" i="1"/>
  <c r="S1172" i="1"/>
  <c r="T1172" i="1"/>
  <c r="U1172" i="1"/>
  <c r="X1172" i="1"/>
  <c r="Y1172" i="1"/>
  <c r="Z1172" i="1"/>
  <c r="AA1172" i="1"/>
  <c r="AB1172" i="1"/>
  <c r="AC1172" i="1"/>
  <c r="AD1172" i="1"/>
  <c r="AE1172" i="1"/>
  <c r="AF1172" i="1"/>
  <c r="AG1172" i="1"/>
  <c r="AH1172" i="1"/>
  <c r="AI1172" i="1"/>
  <c r="AJ1172" i="1"/>
  <c r="AK1172" i="1"/>
  <c r="C1173" i="1"/>
  <c r="H1173" i="1"/>
  <c r="I1173" i="1"/>
  <c r="J1173" i="1"/>
  <c r="K1173" i="1"/>
  <c r="M1173" i="1"/>
  <c r="P1173" i="1"/>
  <c r="R1173" i="1"/>
  <c r="S1173" i="1"/>
  <c r="T1173" i="1"/>
  <c r="U1173" i="1"/>
  <c r="X1173" i="1"/>
  <c r="Y1173" i="1"/>
  <c r="Z1173" i="1"/>
  <c r="AA1173" i="1"/>
  <c r="AB1173" i="1"/>
  <c r="AC1173" i="1"/>
  <c r="AD1173" i="1"/>
  <c r="AE1173" i="1"/>
  <c r="AF1173" i="1"/>
  <c r="AG1173" i="1"/>
  <c r="AH1173" i="1"/>
  <c r="AI1173" i="1"/>
  <c r="AJ1173" i="1"/>
  <c r="AK1173" i="1"/>
  <c r="C1174" i="1"/>
  <c r="H1174" i="1"/>
  <c r="I1174" i="1"/>
  <c r="J1174" i="1"/>
  <c r="K1174" i="1"/>
  <c r="M1174" i="1"/>
  <c r="P1174" i="1"/>
  <c r="R1174" i="1"/>
  <c r="S1174" i="1"/>
  <c r="T1174" i="1"/>
  <c r="U1174" i="1"/>
  <c r="X1174" i="1"/>
  <c r="Y1174" i="1"/>
  <c r="Z1174" i="1"/>
  <c r="AA1174" i="1"/>
  <c r="AB1174" i="1"/>
  <c r="AC1174" i="1"/>
  <c r="AD1174" i="1"/>
  <c r="AE1174" i="1"/>
  <c r="AF1174" i="1"/>
  <c r="AG1174" i="1"/>
  <c r="AH1174" i="1"/>
  <c r="AI1174" i="1"/>
  <c r="AJ1174" i="1"/>
  <c r="AK1174" i="1"/>
  <c r="C1175" i="1"/>
  <c r="H1175" i="1"/>
  <c r="I1175" i="1"/>
  <c r="J1175" i="1"/>
  <c r="K1175" i="1"/>
  <c r="M1175" i="1"/>
  <c r="P1175" i="1"/>
  <c r="R1175" i="1"/>
  <c r="S1175" i="1"/>
  <c r="T1175" i="1"/>
  <c r="U1175" i="1"/>
  <c r="X1175" i="1"/>
  <c r="Y1175" i="1"/>
  <c r="Z1175" i="1"/>
  <c r="AA1175" i="1"/>
  <c r="AB1175" i="1"/>
  <c r="AC1175" i="1"/>
  <c r="AD1175" i="1"/>
  <c r="AE1175" i="1"/>
  <c r="AF1175" i="1"/>
  <c r="AG1175" i="1"/>
  <c r="AH1175" i="1"/>
  <c r="AI1175" i="1"/>
  <c r="AJ1175" i="1"/>
  <c r="AK1175" i="1"/>
  <c r="C1176" i="1"/>
  <c r="H1176" i="1"/>
  <c r="I1176" i="1"/>
  <c r="J1176" i="1"/>
  <c r="K1176" i="1"/>
  <c r="M1176" i="1"/>
  <c r="P1176" i="1"/>
  <c r="R1176" i="1"/>
  <c r="S1176" i="1"/>
  <c r="T1176" i="1"/>
  <c r="U1176" i="1"/>
  <c r="X1176" i="1"/>
  <c r="Y1176" i="1"/>
  <c r="Z1176" i="1"/>
  <c r="AA1176" i="1"/>
  <c r="AB1176" i="1"/>
  <c r="AC1176" i="1"/>
  <c r="AD1176" i="1"/>
  <c r="AE1176" i="1"/>
  <c r="AF1176" i="1"/>
  <c r="AG1176" i="1"/>
  <c r="AH1176" i="1"/>
  <c r="AI1176" i="1"/>
  <c r="AJ1176" i="1"/>
  <c r="AK1176" i="1"/>
  <c r="C1177" i="1"/>
  <c r="H1177" i="1"/>
  <c r="I1177" i="1"/>
  <c r="J1177" i="1"/>
  <c r="K1177" i="1"/>
  <c r="M1177" i="1"/>
  <c r="P1177" i="1"/>
  <c r="R1177" i="1"/>
  <c r="S1177" i="1"/>
  <c r="T1177" i="1"/>
  <c r="U1177" i="1"/>
  <c r="X1177" i="1"/>
  <c r="Y1177" i="1"/>
  <c r="Z1177" i="1"/>
  <c r="AA1177" i="1"/>
  <c r="AB1177" i="1"/>
  <c r="AC1177" i="1"/>
  <c r="AD1177" i="1"/>
  <c r="AE1177" i="1"/>
  <c r="AF1177" i="1"/>
  <c r="AG1177" i="1"/>
  <c r="AH1177" i="1"/>
  <c r="AI1177" i="1"/>
  <c r="AJ1177" i="1"/>
  <c r="AK1177" i="1"/>
  <c r="C1178" i="1"/>
  <c r="H1178" i="1"/>
  <c r="I1178" i="1"/>
  <c r="J1178" i="1"/>
  <c r="K1178" i="1"/>
  <c r="M1178" i="1"/>
  <c r="P1178" i="1"/>
  <c r="R1178" i="1"/>
  <c r="S1178" i="1"/>
  <c r="T1178" i="1"/>
  <c r="U1178" i="1"/>
  <c r="X1178" i="1"/>
  <c r="Y1178" i="1"/>
  <c r="Z1178" i="1"/>
  <c r="AA1178" i="1"/>
  <c r="AB1178" i="1"/>
  <c r="AC1178" i="1"/>
  <c r="AD1178" i="1"/>
  <c r="AE1178" i="1"/>
  <c r="AF1178" i="1"/>
  <c r="AG1178" i="1"/>
  <c r="AH1178" i="1"/>
  <c r="AI1178" i="1"/>
  <c r="AJ1178" i="1"/>
  <c r="AK1178" i="1"/>
  <c r="C1179" i="1"/>
  <c r="H1179" i="1"/>
  <c r="I1179" i="1"/>
  <c r="J1179" i="1"/>
  <c r="K1179" i="1"/>
  <c r="M1179" i="1"/>
  <c r="P1179" i="1"/>
  <c r="R1179" i="1"/>
  <c r="S1179" i="1"/>
  <c r="T1179" i="1"/>
  <c r="U1179" i="1"/>
  <c r="X1179" i="1"/>
  <c r="Y1179" i="1"/>
  <c r="Z1179" i="1"/>
  <c r="AA1179" i="1"/>
  <c r="AB1179" i="1"/>
  <c r="AC1179" i="1"/>
  <c r="AD1179" i="1"/>
  <c r="AE1179" i="1"/>
  <c r="AF1179" i="1"/>
  <c r="AG1179" i="1"/>
  <c r="AH1179" i="1"/>
  <c r="AI1179" i="1"/>
  <c r="AJ1179" i="1"/>
  <c r="AK1179" i="1"/>
  <c r="C1180" i="1"/>
  <c r="H1180" i="1"/>
  <c r="I1180" i="1"/>
  <c r="J1180" i="1"/>
  <c r="K1180" i="1"/>
  <c r="M1180" i="1"/>
  <c r="P1180" i="1"/>
  <c r="R1180" i="1"/>
  <c r="S1180" i="1"/>
  <c r="T1180" i="1"/>
  <c r="U1180" i="1"/>
  <c r="X1180" i="1"/>
  <c r="Y1180" i="1"/>
  <c r="Z1180" i="1"/>
  <c r="AA1180" i="1"/>
  <c r="AB1180" i="1"/>
  <c r="AC1180" i="1"/>
  <c r="AD1180" i="1"/>
  <c r="AE1180" i="1"/>
  <c r="AF1180" i="1"/>
  <c r="AG1180" i="1"/>
  <c r="AH1180" i="1"/>
  <c r="AI1180" i="1"/>
  <c r="AJ1180" i="1"/>
  <c r="AK1180" i="1"/>
  <c r="C1181" i="1"/>
  <c r="H1181" i="1"/>
  <c r="I1181" i="1"/>
  <c r="J1181" i="1"/>
  <c r="K1181" i="1"/>
  <c r="M1181" i="1"/>
  <c r="P1181" i="1"/>
  <c r="R1181" i="1"/>
  <c r="S1181" i="1"/>
  <c r="T1181" i="1"/>
  <c r="U1181" i="1"/>
  <c r="X1181" i="1"/>
  <c r="Y1181" i="1"/>
  <c r="Z1181" i="1"/>
  <c r="AA1181" i="1"/>
  <c r="AB1181" i="1"/>
  <c r="AC1181" i="1"/>
  <c r="AD1181" i="1"/>
  <c r="AE1181" i="1"/>
  <c r="AF1181" i="1"/>
  <c r="AG1181" i="1"/>
  <c r="AH1181" i="1"/>
  <c r="AI1181" i="1"/>
  <c r="AJ1181" i="1"/>
  <c r="AK1181" i="1"/>
  <c r="C1162" i="1"/>
  <c r="H1162" i="1"/>
  <c r="I1162" i="1"/>
  <c r="J1162" i="1"/>
  <c r="K1162" i="1"/>
  <c r="M1162" i="1"/>
  <c r="P1162" i="1"/>
  <c r="R1162" i="1"/>
  <c r="S1162" i="1"/>
  <c r="T1162" i="1"/>
  <c r="U1162" i="1"/>
  <c r="X1162" i="1"/>
  <c r="Y1162" i="1"/>
  <c r="Z1162" i="1"/>
  <c r="AA1162" i="1"/>
  <c r="AB1162" i="1"/>
  <c r="AC1162" i="1"/>
  <c r="AD1162" i="1"/>
  <c r="AE1162" i="1"/>
  <c r="AF1162" i="1"/>
  <c r="AG1162" i="1"/>
  <c r="AH1162" i="1"/>
  <c r="AI1162" i="1"/>
  <c r="AJ1162" i="1"/>
  <c r="AK1162" i="1"/>
  <c r="C1163" i="1"/>
  <c r="H1163" i="1"/>
  <c r="I1163" i="1"/>
  <c r="J1163" i="1"/>
  <c r="K1163" i="1"/>
  <c r="M1163" i="1"/>
  <c r="P1163" i="1"/>
  <c r="R1163" i="1"/>
  <c r="S1163" i="1"/>
  <c r="T1163" i="1"/>
  <c r="U1163" i="1"/>
  <c r="X1163" i="1"/>
  <c r="Y1163" i="1"/>
  <c r="Z1163" i="1"/>
  <c r="AA1163" i="1"/>
  <c r="AB1163" i="1"/>
  <c r="AC1163" i="1"/>
  <c r="AD1163" i="1"/>
  <c r="AE1163" i="1"/>
  <c r="AF1163" i="1"/>
  <c r="AG1163" i="1"/>
  <c r="AH1163" i="1"/>
  <c r="AI1163" i="1"/>
  <c r="AJ1163" i="1"/>
  <c r="AK1163" i="1"/>
  <c r="C1164" i="1"/>
  <c r="H1164" i="1"/>
  <c r="I1164" i="1"/>
  <c r="J1164" i="1"/>
  <c r="K1164" i="1"/>
  <c r="M1164" i="1"/>
  <c r="P1164" i="1"/>
  <c r="R1164" i="1"/>
  <c r="S1164" i="1"/>
  <c r="T1164" i="1"/>
  <c r="U1164" i="1"/>
  <c r="X1164" i="1"/>
  <c r="Y1164" i="1"/>
  <c r="Z1164" i="1"/>
  <c r="AA1164" i="1"/>
  <c r="AB1164" i="1"/>
  <c r="AC1164" i="1"/>
  <c r="AD1164" i="1"/>
  <c r="AE1164" i="1"/>
  <c r="AF1164" i="1"/>
  <c r="AG1164" i="1"/>
  <c r="AH1164" i="1"/>
  <c r="AI1164" i="1"/>
  <c r="AJ1164" i="1"/>
  <c r="AK1164" i="1"/>
  <c r="C1165" i="1"/>
  <c r="H1165" i="1"/>
  <c r="I1165" i="1"/>
  <c r="J1165" i="1"/>
  <c r="K1165" i="1"/>
  <c r="M1165" i="1"/>
  <c r="P1165" i="1"/>
  <c r="R1165" i="1"/>
  <c r="S1165" i="1"/>
  <c r="T1165" i="1"/>
  <c r="U1165" i="1"/>
  <c r="X1165" i="1"/>
  <c r="Y1165" i="1"/>
  <c r="Z1165" i="1"/>
  <c r="AA1165" i="1"/>
  <c r="AB1165" i="1"/>
  <c r="AC1165" i="1"/>
  <c r="AD1165" i="1"/>
  <c r="AE1165" i="1"/>
  <c r="AF1165" i="1"/>
  <c r="AG1165" i="1"/>
  <c r="AH1165" i="1"/>
  <c r="AI1165" i="1"/>
  <c r="AJ1165" i="1"/>
  <c r="AK1165" i="1"/>
  <c r="C1166" i="1"/>
  <c r="H1166" i="1"/>
  <c r="I1166" i="1"/>
  <c r="J1166" i="1"/>
  <c r="K1166" i="1"/>
  <c r="M1166" i="1"/>
  <c r="P1166" i="1"/>
  <c r="R1166" i="1"/>
  <c r="S1166" i="1"/>
  <c r="T1166" i="1"/>
  <c r="U1166" i="1"/>
  <c r="X1166" i="1"/>
  <c r="Y1166" i="1"/>
  <c r="Z1166" i="1"/>
  <c r="AA1166" i="1"/>
  <c r="AB1166" i="1"/>
  <c r="AC1166" i="1"/>
  <c r="AD1166" i="1"/>
  <c r="AE1166" i="1"/>
  <c r="AF1166" i="1"/>
  <c r="AG1166" i="1"/>
  <c r="AH1166" i="1"/>
  <c r="AI1166" i="1"/>
  <c r="AJ1166" i="1"/>
  <c r="AK1166" i="1"/>
  <c r="C1167" i="1"/>
  <c r="H1167" i="1"/>
  <c r="I1167" i="1"/>
  <c r="J1167" i="1"/>
  <c r="K1167" i="1"/>
  <c r="M1167" i="1"/>
  <c r="P1167" i="1"/>
  <c r="R1167" i="1"/>
  <c r="S1167" i="1"/>
  <c r="T1167" i="1"/>
  <c r="U1167" i="1"/>
  <c r="X1167" i="1"/>
  <c r="Y1167" i="1"/>
  <c r="Z1167" i="1"/>
  <c r="AA1167" i="1"/>
  <c r="AB1167" i="1"/>
  <c r="AC1167" i="1"/>
  <c r="AD1167" i="1"/>
  <c r="AE1167" i="1"/>
  <c r="AF1167" i="1"/>
  <c r="AG1167" i="1"/>
  <c r="AH1167" i="1"/>
  <c r="AI1167" i="1"/>
  <c r="AJ1167" i="1"/>
  <c r="AK1167" i="1"/>
  <c r="C1168" i="1"/>
  <c r="H1168" i="1"/>
  <c r="I1168" i="1"/>
  <c r="J1168" i="1"/>
  <c r="K1168" i="1"/>
  <c r="M1168" i="1"/>
  <c r="P1168" i="1"/>
  <c r="R1168" i="1"/>
  <c r="S1168" i="1"/>
  <c r="T1168" i="1"/>
  <c r="U1168" i="1"/>
  <c r="X1168" i="1"/>
  <c r="Y1168" i="1"/>
  <c r="Z1168" i="1"/>
  <c r="AA1168" i="1"/>
  <c r="AB1168" i="1"/>
  <c r="AC1168" i="1"/>
  <c r="AD1168" i="1"/>
  <c r="AE1168" i="1"/>
  <c r="AF1168" i="1"/>
  <c r="AG1168" i="1"/>
  <c r="AH1168" i="1"/>
  <c r="AI1168" i="1"/>
  <c r="AJ1168" i="1"/>
  <c r="AK1168" i="1"/>
  <c r="C1169" i="1"/>
  <c r="H1169" i="1"/>
  <c r="I1169" i="1"/>
  <c r="J1169" i="1"/>
  <c r="K1169" i="1"/>
  <c r="M1169" i="1"/>
  <c r="P1169" i="1"/>
  <c r="R1169" i="1"/>
  <c r="S1169" i="1"/>
  <c r="T1169" i="1"/>
  <c r="U1169" i="1"/>
  <c r="X1169" i="1"/>
  <c r="Y1169" i="1"/>
  <c r="Z1169" i="1"/>
  <c r="AA1169" i="1"/>
  <c r="AB1169" i="1"/>
  <c r="AC1169" i="1"/>
  <c r="AD1169" i="1"/>
  <c r="AE1169" i="1"/>
  <c r="AF1169" i="1"/>
  <c r="AG1169" i="1"/>
  <c r="AH1169" i="1"/>
  <c r="AI1169" i="1"/>
  <c r="AJ1169" i="1"/>
  <c r="AK1169" i="1"/>
  <c r="C1170" i="1"/>
  <c r="H1170" i="1"/>
  <c r="I1170" i="1"/>
  <c r="J1170" i="1"/>
  <c r="K1170" i="1"/>
  <c r="M1170" i="1"/>
  <c r="P1170" i="1"/>
  <c r="R1170" i="1"/>
  <c r="S1170" i="1"/>
  <c r="T1170" i="1"/>
  <c r="U1170" i="1"/>
  <c r="X1170" i="1"/>
  <c r="Y1170" i="1"/>
  <c r="Z1170" i="1"/>
  <c r="AA1170" i="1"/>
  <c r="AB1170" i="1"/>
  <c r="AC1170" i="1"/>
  <c r="AD1170" i="1"/>
  <c r="AE1170" i="1"/>
  <c r="AF1170" i="1"/>
  <c r="AG1170" i="1"/>
  <c r="AH1170" i="1"/>
  <c r="AI1170" i="1"/>
  <c r="AJ1170" i="1"/>
  <c r="AK1170" i="1"/>
  <c r="C1171" i="1"/>
  <c r="H1171" i="1"/>
  <c r="I1171" i="1"/>
  <c r="J1171" i="1"/>
  <c r="K1171" i="1"/>
  <c r="M1171" i="1"/>
  <c r="P1171" i="1"/>
  <c r="R1171" i="1"/>
  <c r="S1171" i="1"/>
  <c r="T1171" i="1"/>
  <c r="U1171" i="1"/>
  <c r="X1171" i="1"/>
  <c r="Y1171" i="1"/>
  <c r="Z1171" i="1"/>
  <c r="AA1171" i="1"/>
  <c r="AB1171" i="1"/>
  <c r="AC1171" i="1"/>
  <c r="AD1171" i="1"/>
  <c r="AE1171" i="1"/>
  <c r="AF1171" i="1"/>
  <c r="AG1171" i="1"/>
  <c r="AH1171" i="1"/>
  <c r="AI1171" i="1"/>
  <c r="AJ1171" i="1"/>
  <c r="AK1171" i="1"/>
  <c r="C1152" i="1"/>
  <c r="H1152" i="1"/>
  <c r="I1152" i="1"/>
  <c r="J1152" i="1"/>
  <c r="K1152" i="1"/>
  <c r="M1152" i="1"/>
  <c r="P1152" i="1"/>
  <c r="R1152" i="1"/>
  <c r="S1152" i="1"/>
  <c r="T1152" i="1"/>
  <c r="U1152" i="1"/>
  <c r="X1152" i="1"/>
  <c r="Y1152" i="1"/>
  <c r="Z1152" i="1"/>
  <c r="AA1152" i="1"/>
  <c r="AB1152" i="1"/>
  <c r="AC1152" i="1"/>
  <c r="AD1152" i="1"/>
  <c r="AE1152" i="1"/>
  <c r="AF1152" i="1"/>
  <c r="AG1152" i="1"/>
  <c r="AH1152" i="1"/>
  <c r="AI1152" i="1"/>
  <c r="AJ1152" i="1"/>
  <c r="AK1152" i="1"/>
  <c r="C1153" i="1"/>
  <c r="H1153" i="1"/>
  <c r="I1153" i="1"/>
  <c r="J1153" i="1"/>
  <c r="K1153" i="1"/>
  <c r="M1153" i="1"/>
  <c r="P1153" i="1"/>
  <c r="R1153" i="1"/>
  <c r="S1153" i="1"/>
  <c r="T1153" i="1"/>
  <c r="U1153" i="1"/>
  <c r="X1153" i="1"/>
  <c r="Y1153" i="1"/>
  <c r="Z1153" i="1"/>
  <c r="AA1153" i="1"/>
  <c r="AB1153" i="1"/>
  <c r="AC1153" i="1"/>
  <c r="AD1153" i="1"/>
  <c r="AE1153" i="1"/>
  <c r="AF1153" i="1"/>
  <c r="AG1153" i="1"/>
  <c r="AH1153" i="1"/>
  <c r="AI1153" i="1"/>
  <c r="AJ1153" i="1"/>
  <c r="AK1153" i="1"/>
  <c r="C1154" i="1"/>
  <c r="H1154" i="1"/>
  <c r="I1154" i="1"/>
  <c r="J1154" i="1"/>
  <c r="K1154" i="1"/>
  <c r="M1154" i="1"/>
  <c r="P1154" i="1"/>
  <c r="R1154" i="1"/>
  <c r="S1154" i="1"/>
  <c r="T1154" i="1"/>
  <c r="U1154" i="1"/>
  <c r="X1154" i="1"/>
  <c r="Y1154" i="1"/>
  <c r="Z1154" i="1"/>
  <c r="AA1154" i="1"/>
  <c r="AB1154" i="1"/>
  <c r="AC1154" i="1"/>
  <c r="AD1154" i="1"/>
  <c r="AE1154" i="1"/>
  <c r="AF1154" i="1"/>
  <c r="AG1154" i="1"/>
  <c r="AH1154" i="1"/>
  <c r="AI1154" i="1"/>
  <c r="AJ1154" i="1"/>
  <c r="AK1154" i="1"/>
  <c r="C1155" i="1"/>
  <c r="H1155" i="1"/>
  <c r="I1155" i="1"/>
  <c r="J1155" i="1"/>
  <c r="K1155" i="1"/>
  <c r="M1155" i="1"/>
  <c r="P1155" i="1"/>
  <c r="R1155" i="1"/>
  <c r="S1155" i="1"/>
  <c r="T1155" i="1"/>
  <c r="U1155" i="1"/>
  <c r="X1155" i="1"/>
  <c r="Y1155" i="1"/>
  <c r="Z1155" i="1"/>
  <c r="AA1155" i="1"/>
  <c r="AB1155" i="1"/>
  <c r="AC1155" i="1"/>
  <c r="AD1155" i="1"/>
  <c r="AE1155" i="1"/>
  <c r="AF1155" i="1"/>
  <c r="AG1155" i="1"/>
  <c r="AH1155" i="1"/>
  <c r="AI1155" i="1"/>
  <c r="AJ1155" i="1"/>
  <c r="AK1155" i="1"/>
  <c r="C1156" i="1"/>
  <c r="H1156" i="1"/>
  <c r="I1156" i="1"/>
  <c r="J1156" i="1"/>
  <c r="K1156" i="1"/>
  <c r="M1156" i="1"/>
  <c r="P1156" i="1"/>
  <c r="R1156" i="1"/>
  <c r="S1156" i="1"/>
  <c r="T1156" i="1"/>
  <c r="U1156" i="1"/>
  <c r="X1156" i="1"/>
  <c r="Y1156" i="1"/>
  <c r="Z1156" i="1"/>
  <c r="AA1156" i="1"/>
  <c r="AB1156" i="1"/>
  <c r="AC1156" i="1"/>
  <c r="AD1156" i="1"/>
  <c r="AE1156" i="1"/>
  <c r="AF1156" i="1"/>
  <c r="AG1156" i="1"/>
  <c r="AH1156" i="1"/>
  <c r="AI1156" i="1"/>
  <c r="AJ1156" i="1"/>
  <c r="AK1156" i="1"/>
  <c r="C1157" i="1"/>
  <c r="H1157" i="1"/>
  <c r="I1157" i="1"/>
  <c r="J1157" i="1"/>
  <c r="K1157" i="1"/>
  <c r="M1157" i="1"/>
  <c r="P1157" i="1"/>
  <c r="R1157" i="1"/>
  <c r="S1157" i="1"/>
  <c r="T1157" i="1"/>
  <c r="U1157" i="1"/>
  <c r="X1157" i="1"/>
  <c r="Y1157" i="1"/>
  <c r="Z1157" i="1"/>
  <c r="AA1157" i="1"/>
  <c r="AB1157" i="1"/>
  <c r="AC1157" i="1"/>
  <c r="AD1157" i="1"/>
  <c r="AE1157" i="1"/>
  <c r="AF1157" i="1"/>
  <c r="AG1157" i="1"/>
  <c r="AH1157" i="1"/>
  <c r="AI1157" i="1"/>
  <c r="AJ1157" i="1"/>
  <c r="AK1157" i="1"/>
  <c r="C1158" i="1"/>
  <c r="H1158" i="1"/>
  <c r="I1158" i="1"/>
  <c r="J1158" i="1"/>
  <c r="K1158" i="1"/>
  <c r="M1158" i="1"/>
  <c r="P1158" i="1"/>
  <c r="R1158" i="1"/>
  <c r="S1158" i="1"/>
  <c r="T1158" i="1"/>
  <c r="U1158" i="1"/>
  <c r="X1158" i="1"/>
  <c r="Y1158" i="1"/>
  <c r="Z1158" i="1"/>
  <c r="AA1158" i="1"/>
  <c r="AB1158" i="1"/>
  <c r="AC1158" i="1"/>
  <c r="AD1158" i="1"/>
  <c r="AE1158" i="1"/>
  <c r="AF1158" i="1"/>
  <c r="AG1158" i="1"/>
  <c r="AH1158" i="1"/>
  <c r="AI1158" i="1"/>
  <c r="AJ1158" i="1"/>
  <c r="AK1158" i="1"/>
  <c r="C1159" i="1"/>
  <c r="H1159" i="1"/>
  <c r="I1159" i="1"/>
  <c r="J1159" i="1"/>
  <c r="K1159" i="1"/>
  <c r="M1159" i="1"/>
  <c r="P1159" i="1"/>
  <c r="R1159" i="1"/>
  <c r="S1159" i="1"/>
  <c r="T1159" i="1"/>
  <c r="U1159" i="1"/>
  <c r="X1159" i="1"/>
  <c r="Y1159" i="1"/>
  <c r="Z1159" i="1"/>
  <c r="AA1159" i="1"/>
  <c r="AB1159" i="1"/>
  <c r="AC1159" i="1"/>
  <c r="AD1159" i="1"/>
  <c r="AE1159" i="1"/>
  <c r="AF1159" i="1"/>
  <c r="AG1159" i="1"/>
  <c r="AH1159" i="1"/>
  <c r="AI1159" i="1"/>
  <c r="AJ1159" i="1"/>
  <c r="AK1159" i="1"/>
  <c r="C1160" i="1"/>
  <c r="H1160" i="1"/>
  <c r="I1160" i="1"/>
  <c r="J1160" i="1"/>
  <c r="K1160" i="1"/>
  <c r="M1160" i="1"/>
  <c r="P1160" i="1"/>
  <c r="R1160" i="1"/>
  <c r="S1160" i="1"/>
  <c r="T1160" i="1"/>
  <c r="U1160" i="1"/>
  <c r="X1160" i="1"/>
  <c r="Y1160" i="1"/>
  <c r="Z1160" i="1"/>
  <c r="AA1160" i="1"/>
  <c r="AB1160" i="1"/>
  <c r="AC1160" i="1"/>
  <c r="AD1160" i="1"/>
  <c r="AE1160" i="1"/>
  <c r="AF1160" i="1"/>
  <c r="AG1160" i="1"/>
  <c r="AH1160" i="1"/>
  <c r="AI1160" i="1"/>
  <c r="AJ1160" i="1"/>
  <c r="AK1160" i="1"/>
  <c r="C1161" i="1"/>
  <c r="H1161" i="1"/>
  <c r="I1161" i="1"/>
  <c r="J1161" i="1"/>
  <c r="K1161" i="1"/>
  <c r="M1161" i="1"/>
  <c r="P1161" i="1"/>
  <c r="R1161" i="1"/>
  <c r="S1161" i="1"/>
  <c r="T1161" i="1"/>
  <c r="U1161" i="1"/>
  <c r="X1161" i="1"/>
  <c r="Y1161" i="1"/>
  <c r="Z1161" i="1"/>
  <c r="AA1161" i="1"/>
  <c r="AB1161" i="1"/>
  <c r="AC1161" i="1"/>
  <c r="AD1161" i="1"/>
  <c r="AE1161" i="1"/>
  <c r="AF1161" i="1"/>
  <c r="AG1161" i="1"/>
  <c r="AH1161" i="1"/>
  <c r="AI1161" i="1"/>
  <c r="AJ1161" i="1"/>
  <c r="AK1161" i="1"/>
  <c r="C1142" i="1"/>
  <c r="H1142" i="1"/>
  <c r="I1142" i="1"/>
  <c r="J1142" i="1"/>
  <c r="K1142" i="1"/>
  <c r="M1142" i="1"/>
  <c r="P1142" i="1"/>
  <c r="R1142" i="1"/>
  <c r="S1142" i="1"/>
  <c r="T1142" i="1"/>
  <c r="U1142" i="1"/>
  <c r="X1142" i="1"/>
  <c r="Y1142" i="1"/>
  <c r="Z1142" i="1"/>
  <c r="AA1142" i="1"/>
  <c r="AB1142" i="1"/>
  <c r="AC1142" i="1"/>
  <c r="AD1142" i="1"/>
  <c r="AE1142" i="1"/>
  <c r="AF1142" i="1"/>
  <c r="AG1142" i="1"/>
  <c r="AH1142" i="1"/>
  <c r="AI1142" i="1"/>
  <c r="AJ1142" i="1"/>
  <c r="AK1142" i="1"/>
  <c r="C1143" i="1"/>
  <c r="H1143" i="1"/>
  <c r="I1143" i="1"/>
  <c r="J1143" i="1"/>
  <c r="K1143" i="1"/>
  <c r="M1143" i="1"/>
  <c r="P1143" i="1"/>
  <c r="R1143" i="1"/>
  <c r="S1143" i="1"/>
  <c r="T1143" i="1"/>
  <c r="U1143" i="1"/>
  <c r="X1143" i="1"/>
  <c r="Y1143" i="1"/>
  <c r="Z1143" i="1"/>
  <c r="AA1143" i="1"/>
  <c r="AB1143" i="1"/>
  <c r="AC1143" i="1"/>
  <c r="AD1143" i="1"/>
  <c r="AE1143" i="1"/>
  <c r="AF1143" i="1"/>
  <c r="AG1143" i="1"/>
  <c r="AH1143" i="1"/>
  <c r="AI1143" i="1"/>
  <c r="AJ1143" i="1"/>
  <c r="AK1143" i="1"/>
  <c r="C1144" i="1"/>
  <c r="H1144" i="1"/>
  <c r="I1144" i="1"/>
  <c r="J1144" i="1"/>
  <c r="K1144" i="1"/>
  <c r="M1144" i="1"/>
  <c r="P1144" i="1"/>
  <c r="R1144" i="1"/>
  <c r="S1144" i="1"/>
  <c r="T1144" i="1"/>
  <c r="U1144" i="1"/>
  <c r="X1144" i="1"/>
  <c r="Y1144" i="1"/>
  <c r="Z1144" i="1"/>
  <c r="AA1144" i="1"/>
  <c r="AB1144" i="1"/>
  <c r="AC1144" i="1"/>
  <c r="AD1144" i="1"/>
  <c r="AE1144" i="1"/>
  <c r="AF1144" i="1"/>
  <c r="AG1144" i="1"/>
  <c r="AH1144" i="1"/>
  <c r="AI1144" i="1"/>
  <c r="AJ1144" i="1"/>
  <c r="AK1144" i="1"/>
  <c r="C1145" i="1"/>
  <c r="H1145" i="1"/>
  <c r="I1145" i="1"/>
  <c r="J1145" i="1"/>
  <c r="K1145" i="1"/>
  <c r="M1145" i="1"/>
  <c r="P1145" i="1"/>
  <c r="R1145" i="1"/>
  <c r="S1145" i="1"/>
  <c r="T1145" i="1"/>
  <c r="U1145" i="1"/>
  <c r="X1145" i="1"/>
  <c r="Y1145" i="1"/>
  <c r="Z1145" i="1"/>
  <c r="AA1145" i="1"/>
  <c r="AB1145" i="1"/>
  <c r="AC1145" i="1"/>
  <c r="AD1145" i="1"/>
  <c r="AE1145" i="1"/>
  <c r="AF1145" i="1"/>
  <c r="AG1145" i="1"/>
  <c r="AH1145" i="1"/>
  <c r="AI1145" i="1"/>
  <c r="AJ1145" i="1"/>
  <c r="AK1145" i="1"/>
  <c r="C1146" i="1"/>
  <c r="H1146" i="1"/>
  <c r="I1146" i="1"/>
  <c r="J1146" i="1"/>
  <c r="K1146" i="1"/>
  <c r="M1146" i="1"/>
  <c r="P1146" i="1"/>
  <c r="R1146" i="1"/>
  <c r="S1146" i="1"/>
  <c r="T1146" i="1"/>
  <c r="U1146" i="1"/>
  <c r="X1146" i="1"/>
  <c r="Y1146" i="1"/>
  <c r="Z1146" i="1"/>
  <c r="AA1146" i="1"/>
  <c r="AB1146" i="1"/>
  <c r="AC1146" i="1"/>
  <c r="AD1146" i="1"/>
  <c r="AE1146" i="1"/>
  <c r="AF1146" i="1"/>
  <c r="AG1146" i="1"/>
  <c r="AH1146" i="1"/>
  <c r="AI1146" i="1"/>
  <c r="AJ1146" i="1"/>
  <c r="AK1146" i="1"/>
  <c r="C1147" i="1"/>
  <c r="H1147" i="1"/>
  <c r="I1147" i="1"/>
  <c r="J1147" i="1"/>
  <c r="K1147" i="1"/>
  <c r="M1147" i="1"/>
  <c r="P1147" i="1"/>
  <c r="R1147" i="1"/>
  <c r="S1147" i="1"/>
  <c r="T1147" i="1"/>
  <c r="U1147" i="1"/>
  <c r="X1147" i="1"/>
  <c r="Y1147" i="1"/>
  <c r="Z1147" i="1"/>
  <c r="AA1147" i="1"/>
  <c r="AB1147" i="1"/>
  <c r="AC1147" i="1"/>
  <c r="AD1147" i="1"/>
  <c r="AE1147" i="1"/>
  <c r="AF1147" i="1"/>
  <c r="AG1147" i="1"/>
  <c r="AH1147" i="1"/>
  <c r="AI1147" i="1"/>
  <c r="AJ1147" i="1"/>
  <c r="AK1147" i="1"/>
  <c r="C1148" i="1"/>
  <c r="H1148" i="1"/>
  <c r="I1148" i="1"/>
  <c r="J1148" i="1"/>
  <c r="K1148" i="1"/>
  <c r="M1148" i="1"/>
  <c r="P1148" i="1"/>
  <c r="R1148" i="1"/>
  <c r="S1148" i="1"/>
  <c r="T1148" i="1"/>
  <c r="U1148" i="1"/>
  <c r="X1148" i="1"/>
  <c r="Y1148" i="1"/>
  <c r="Z1148" i="1"/>
  <c r="AA1148" i="1"/>
  <c r="AB1148" i="1"/>
  <c r="AC1148" i="1"/>
  <c r="AD1148" i="1"/>
  <c r="AE1148" i="1"/>
  <c r="AF1148" i="1"/>
  <c r="AG1148" i="1"/>
  <c r="AH1148" i="1"/>
  <c r="AI1148" i="1"/>
  <c r="AJ1148" i="1"/>
  <c r="AK1148" i="1"/>
  <c r="C1149" i="1"/>
  <c r="H1149" i="1"/>
  <c r="I1149" i="1"/>
  <c r="J1149" i="1"/>
  <c r="K1149" i="1"/>
  <c r="M1149" i="1"/>
  <c r="P1149" i="1"/>
  <c r="R1149" i="1"/>
  <c r="S1149" i="1"/>
  <c r="T1149" i="1"/>
  <c r="U1149" i="1"/>
  <c r="X1149" i="1"/>
  <c r="Y1149" i="1"/>
  <c r="Z1149" i="1"/>
  <c r="AA1149" i="1"/>
  <c r="AB1149" i="1"/>
  <c r="AC1149" i="1"/>
  <c r="AD1149" i="1"/>
  <c r="AE1149" i="1"/>
  <c r="AF1149" i="1"/>
  <c r="AG1149" i="1"/>
  <c r="AH1149" i="1"/>
  <c r="AI1149" i="1"/>
  <c r="AJ1149" i="1"/>
  <c r="AK1149" i="1"/>
  <c r="C1150" i="1"/>
  <c r="H1150" i="1"/>
  <c r="I1150" i="1"/>
  <c r="J1150" i="1"/>
  <c r="K1150" i="1"/>
  <c r="M1150" i="1"/>
  <c r="P1150" i="1"/>
  <c r="R1150" i="1"/>
  <c r="S1150" i="1"/>
  <c r="T1150" i="1"/>
  <c r="U1150" i="1"/>
  <c r="X1150" i="1"/>
  <c r="Y1150" i="1"/>
  <c r="Z1150" i="1"/>
  <c r="AA1150" i="1"/>
  <c r="AB1150" i="1"/>
  <c r="AC1150" i="1"/>
  <c r="AD1150" i="1"/>
  <c r="AE1150" i="1"/>
  <c r="AF1150" i="1"/>
  <c r="AG1150" i="1"/>
  <c r="AH1150" i="1"/>
  <c r="AI1150" i="1"/>
  <c r="AJ1150" i="1"/>
  <c r="AK1150" i="1"/>
  <c r="C1151" i="1"/>
  <c r="H1151" i="1"/>
  <c r="I1151" i="1"/>
  <c r="J1151" i="1"/>
  <c r="K1151" i="1"/>
  <c r="M1151" i="1"/>
  <c r="P1151" i="1"/>
  <c r="R1151" i="1"/>
  <c r="S1151" i="1"/>
  <c r="T1151" i="1"/>
  <c r="U1151" i="1"/>
  <c r="X1151" i="1"/>
  <c r="Y1151" i="1"/>
  <c r="Z1151" i="1"/>
  <c r="AA1151" i="1"/>
  <c r="AB1151" i="1"/>
  <c r="AC1151" i="1"/>
  <c r="AD1151" i="1"/>
  <c r="AE1151" i="1"/>
  <c r="AF1151" i="1"/>
  <c r="AG1151" i="1"/>
  <c r="AH1151" i="1"/>
  <c r="AI1151" i="1"/>
  <c r="AJ1151" i="1"/>
  <c r="AK1151" i="1"/>
  <c r="C1132" i="1"/>
  <c r="H1132" i="1"/>
  <c r="I1132" i="1"/>
  <c r="J1132" i="1"/>
  <c r="K1132" i="1"/>
  <c r="M1132" i="1"/>
  <c r="P1132" i="1"/>
  <c r="R1132" i="1"/>
  <c r="S1132" i="1"/>
  <c r="T1132" i="1"/>
  <c r="U1132" i="1"/>
  <c r="X1132" i="1"/>
  <c r="Y1132" i="1"/>
  <c r="Z1132" i="1"/>
  <c r="AA1132" i="1"/>
  <c r="AB1132" i="1"/>
  <c r="AC1132" i="1"/>
  <c r="AD1132" i="1"/>
  <c r="AE1132" i="1"/>
  <c r="AF1132" i="1"/>
  <c r="AG1132" i="1"/>
  <c r="AH1132" i="1"/>
  <c r="AI1132" i="1"/>
  <c r="AJ1132" i="1"/>
  <c r="AK1132" i="1"/>
  <c r="C1133" i="1"/>
  <c r="H1133" i="1"/>
  <c r="I1133" i="1"/>
  <c r="J1133" i="1"/>
  <c r="K1133" i="1"/>
  <c r="M1133" i="1"/>
  <c r="P1133" i="1"/>
  <c r="R1133" i="1"/>
  <c r="S1133" i="1"/>
  <c r="T1133" i="1"/>
  <c r="U1133" i="1"/>
  <c r="X1133" i="1"/>
  <c r="Y1133" i="1"/>
  <c r="Z1133" i="1"/>
  <c r="AA1133" i="1"/>
  <c r="AB1133" i="1"/>
  <c r="AC1133" i="1"/>
  <c r="AD1133" i="1"/>
  <c r="AE1133" i="1"/>
  <c r="AF1133" i="1"/>
  <c r="AG1133" i="1"/>
  <c r="AH1133" i="1"/>
  <c r="AI1133" i="1"/>
  <c r="AJ1133" i="1"/>
  <c r="AK1133" i="1"/>
  <c r="C1134" i="1"/>
  <c r="H1134" i="1"/>
  <c r="I1134" i="1"/>
  <c r="J1134" i="1"/>
  <c r="K1134" i="1"/>
  <c r="M1134" i="1"/>
  <c r="P1134" i="1"/>
  <c r="R1134" i="1"/>
  <c r="S1134" i="1"/>
  <c r="T1134" i="1"/>
  <c r="U1134" i="1"/>
  <c r="X1134" i="1"/>
  <c r="Y1134" i="1"/>
  <c r="Z1134" i="1"/>
  <c r="AA1134" i="1"/>
  <c r="AB1134" i="1"/>
  <c r="AC1134" i="1"/>
  <c r="AD1134" i="1"/>
  <c r="AE1134" i="1"/>
  <c r="AF1134" i="1"/>
  <c r="AG1134" i="1"/>
  <c r="AH1134" i="1"/>
  <c r="AI1134" i="1"/>
  <c r="AJ1134" i="1"/>
  <c r="AK1134" i="1"/>
  <c r="C1135" i="1"/>
  <c r="H1135" i="1"/>
  <c r="I1135" i="1"/>
  <c r="J1135" i="1"/>
  <c r="K1135" i="1"/>
  <c r="M1135" i="1"/>
  <c r="P1135" i="1"/>
  <c r="R1135" i="1"/>
  <c r="S1135" i="1"/>
  <c r="T1135" i="1"/>
  <c r="U1135" i="1"/>
  <c r="X1135" i="1"/>
  <c r="Y1135" i="1"/>
  <c r="Z1135" i="1"/>
  <c r="AA1135" i="1"/>
  <c r="AB1135" i="1"/>
  <c r="AC1135" i="1"/>
  <c r="AD1135" i="1"/>
  <c r="AE1135" i="1"/>
  <c r="AF1135" i="1"/>
  <c r="AG1135" i="1"/>
  <c r="AH1135" i="1"/>
  <c r="AI1135" i="1"/>
  <c r="AJ1135" i="1"/>
  <c r="AK1135" i="1"/>
  <c r="C1136" i="1"/>
  <c r="H1136" i="1"/>
  <c r="I1136" i="1"/>
  <c r="J1136" i="1"/>
  <c r="K1136" i="1"/>
  <c r="M1136" i="1"/>
  <c r="P1136" i="1"/>
  <c r="R1136" i="1"/>
  <c r="S1136" i="1"/>
  <c r="T1136" i="1"/>
  <c r="U1136" i="1"/>
  <c r="X1136" i="1"/>
  <c r="Y1136" i="1"/>
  <c r="Z1136" i="1"/>
  <c r="AA1136" i="1"/>
  <c r="AB1136" i="1"/>
  <c r="AC1136" i="1"/>
  <c r="AD1136" i="1"/>
  <c r="AE1136" i="1"/>
  <c r="AF1136" i="1"/>
  <c r="AG1136" i="1"/>
  <c r="AH1136" i="1"/>
  <c r="AI1136" i="1"/>
  <c r="AJ1136" i="1"/>
  <c r="AK1136" i="1"/>
  <c r="C1137" i="1"/>
  <c r="H1137" i="1"/>
  <c r="I1137" i="1"/>
  <c r="J1137" i="1"/>
  <c r="K1137" i="1"/>
  <c r="M1137" i="1"/>
  <c r="P1137" i="1"/>
  <c r="R1137" i="1"/>
  <c r="S1137" i="1"/>
  <c r="T1137" i="1"/>
  <c r="U1137" i="1"/>
  <c r="X1137" i="1"/>
  <c r="Y1137" i="1"/>
  <c r="Z1137" i="1"/>
  <c r="AA1137" i="1"/>
  <c r="AB1137" i="1"/>
  <c r="AC1137" i="1"/>
  <c r="AD1137" i="1"/>
  <c r="AE1137" i="1"/>
  <c r="AF1137" i="1"/>
  <c r="AG1137" i="1"/>
  <c r="AH1137" i="1"/>
  <c r="AI1137" i="1"/>
  <c r="AJ1137" i="1"/>
  <c r="AK1137" i="1"/>
  <c r="C1138" i="1"/>
  <c r="H1138" i="1"/>
  <c r="I1138" i="1"/>
  <c r="J1138" i="1"/>
  <c r="K1138" i="1"/>
  <c r="M1138" i="1"/>
  <c r="P1138" i="1"/>
  <c r="R1138" i="1"/>
  <c r="S1138" i="1"/>
  <c r="T1138" i="1"/>
  <c r="U1138" i="1"/>
  <c r="X1138" i="1"/>
  <c r="Y1138" i="1"/>
  <c r="Z1138" i="1"/>
  <c r="AA1138" i="1"/>
  <c r="AB1138" i="1"/>
  <c r="AC1138" i="1"/>
  <c r="AD1138" i="1"/>
  <c r="AE1138" i="1"/>
  <c r="AF1138" i="1"/>
  <c r="AG1138" i="1"/>
  <c r="AH1138" i="1"/>
  <c r="AI1138" i="1"/>
  <c r="AJ1138" i="1"/>
  <c r="AK1138" i="1"/>
  <c r="C1139" i="1"/>
  <c r="H1139" i="1"/>
  <c r="I1139" i="1"/>
  <c r="J1139" i="1"/>
  <c r="K1139" i="1"/>
  <c r="M1139" i="1"/>
  <c r="P1139" i="1"/>
  <c r="R1139" i="1"/>
  <c r="S1139" i="1"/>
  <c r="T1139" i="1"/>
  <c r="U1139" i="1"/>
  <c r="X1139" i="1"/>
  <c r="Y1139" i="1"/>
  <c r="Z1139" i="1"/>
  <c r="AA1139" i="1"/>
  <c r="AB1139" i="1"/>
  <c r="AC1139" i="1"/>
  <c r="AD1139" i="1"/>
  <c r="AE1139" i="1"/>
  <c r="AF1139" i="1"/>
  <c r="AG1139" i="1"/>
  <c r="AH1139" i="1"/>
  <c r="AI1139" i="1"/>
  <c r="AJ1139" i="1"/>
  <c r="AK1139" i="1"/>
  <c r="C1140" i="1"/>
  <c r="H1140" i="1"/>
  <c r="I1140" i="1"/>
  <c r="J1140" i="1"/>
  <c r="K1140" i="1"/>
  <c r="M1140" i="1"/>
  <c r="P1140" i="1"/>
  <c r="R1140" i="1"/>
  <c r="S1140" i="1"/>
  <c r="T1140" i="1"/>
  <c r="U1140" i="1"/>
  <c r="X1140" i="1"/>
  <c r="Y1140" i="1"/>
  <c r="Z1140" i="1"/>
  <c r="AA1140" i="1"/>
  <c r="AB1140" i="1"/>
  <c r="AC1140" i="1"/>
  <c r="AD1140" i="1"/>
  <c r="AE1140" i="1"/>
  <c r="AF1140" i="1"/>
  <c r="AG1140" i="1"/>
  <c r="AH1140" i="1"/>
  <c r="AI1140" i="1"/>
  <c r="AJ1140" i="1"/>
  <c r="AK1140" i="1"/>
  <c r="C1141" i="1"/>
  <c r="H1141" i="1"/>
  <c r="I1141" i="1"/>
  <c r="J1141" i="1"/>
  <c r="K1141" i="1"/>
  <c r="M1141" i="1"/>
  <c r="P1141" i="1"/>
  <c r="R1141" i="1"/>
  <c r="S1141" i="1"/>
  <c r="T1141" i="1"/>
  <c r="U1141" i="1"/>
  <c r="X1141" i="1"/>
  <c r="Y1141" i="1"/>
  <c r="Z1141" i="1"/>
  <c r="AA1141" i="1"/>
  <c r="AB1141" i="1"/>
  <c r="AC1141" i="1"/>
  <c r="AD1141" i="1"/>
  <c r="AE1141" i="1"/>
  <c r="AF1141" i="1"/>
  <c r="AG1141" i="1"/>
  <c r="AH1141" i="1"/>
  <c r="AI1141" i="1"/>
  <c r="AJ1141" i="1"/>
  <c r="AK1141" i="1"/>
  <c r="C1122" i="1"/>
  <c r="H1122" i="1"/>
  <c r="I1122" i="1"/>
  <c r="J1122" i="1"/>
  <c r="K1122" i="1"/>
  <c r="M1122" i="1"/>
  <c r="P1122" i="1"/>
  <c r="R1122" i="1"/>
  <c r="S1122" i="1"/>
  <c r="T1122" i="1"/>
  <c r="U1122" i="1"/>
  <c r="X1122" i="1"/>
  <c r="Y1122" i="1"/>
  <c r="Z1122" i="1"/>
  <c r="AA1122" i="1"/>
  <c r="AB1122" i="1"/>
  <c r="AC1122" i="1"/>
  <c r="AD1122" i="1"/>
  <c r="AE1122" i="1"/>
  <c r="AF1122" i="1"/>
  <c r="AG1122" i="1"/>
  <c r="AH1122" i="1"/>
  <c r="AI1122" i="1"/>
  <c r="AJ1122" i="1"/>
  <c r="AK1122" i="1"/>
  <c r="C1123" i="1"/>
  <c r="H1123" i="1"/>
  <c r="I1123" i="1"/>
  <c r="J1123" i="1"/>
  <c r="K1123" i="1"/>
  <c r="M1123" i="1"/>
  <c r="P1123" i="1"/>
  <c r="R1123" i="1"/>
  <c r="S1123" i="1"/>
  <c r="T1123" i="1"/>
  <c r="U1123" i="1"/>
  <c r="X1123" i="1"/>
  <c r="Y1123" i="1"/>
  <c r="Z1123" i="1"/>
  <c r="AA1123" i="1"/>
  <c r="AB1123" i="1"/>
  <c r="AC1123" i="1"/>
  <c r="AD1123" i="1"/>
  <c r="AE1123" i="1"/>
  <c r="AF1123" i="1"/>
  <c r="AG1123" i="1"/>
  <c r="AH1123" i="1"/>
  <c r="AI1123" i="1"/>
  <c r="AJ1123" i="1"/>
  <c r="AK1123" i="1"/>
  <c r="C1124" i="1"/>
  <c r="H1124" i="1"/>
  <c r="I1124" i="1"/>
  <c r="J1124" i="1"/>
  <c r="K1124" i="1"/>
  <c r="M1124" i="1"/>
  <c r="P1124" i="1"/>
  <c r="R1124" i="1"/>
  <c r="S1124" i="1"/>
  <c r="T1124" i="1"/>
  <c r="U1124" i="1"/>
  <c r="X1124" i="1"/>
  <c r="Y1124" i="1"/>
  <c r="Z1124" i="1"/>
  <c r="AA1124" i="1"/>
  <c r="AB1124" i="1"/>
  <c r="AC1124" i="1"/>
  <c r="AD1124" i="1"/>
  <c r="AE1124" i="1"/>
  <c r="AF1124" i="1"/>
  <c r="AG1124" i="1"/>
  <c r="AH1124" i="1"/>
  <c r="AI1124" i="1"/>
  <c r="AJ1124" i="1"/>
  <c r="AK1124" i="1"/>
  <c r="C1125" i="1"/>
  <c r="H1125" i="1"/>
  <c r="I1125" i="1"/>
  <c r="J1125" i="1"/>
  <c r="K1125" i="1"/>
  <c r="M1125" i="1"/>
  <c r="P1125" i="1"/>
  <c r="R1125" i="1"/>
  <c r="S1125" i="1"/>
  <c r="T1125" i="1"/>
  <c r="U1125" i="1"/>
  <c r="X1125" i="1"/>
  <c r="Y1125" i="1"/>
  <c r="Z1125" i="1"/>
  <c r="AA1125" i="1"/>
  <c r="AB1125" i="1"/>
  <c r="AC1125" i="1"/>
  <c r="AD1125" i="1"/>
  <c r="AE1125" i="1"/>
  <c r="AF1125" i="1"/>
  <c r="AG1125" i="1"/>
  <c r="AH1125" i="1"/>
  <c r="AI1125" i="1"/>
  <c r="AJ1125" i="1"/>
  <c r="AK1125" i="1"/>
  <c r="C1126" i="1"/>
  <c r="H1126" i="1"/>
  <c r="I1126" i="1"/>
  <c r="J1126" i="1"/>
  <c r="K1126" i="1"/>
  <c r="M1126" i="1"/>
  <c r="P1126" i="1"/>
  <c r="R1126" i="1"/>
  <c r="S1126" i="1"/>
  <c r="T1126" i="1"/>
  <c r="U1126" i="1"/>
  <c r="X1126" i="1"/>
  <c r="Y1126" i="1"/>
  <c r="Z1126" i="1"/>
  <c r="AA1126" i="1"/>
  <c r="AB1126" i="1"/>
  <c r="AC1126" i="1"/>
  <c r="AD1126" i="1"/>
  <c r="AE1126" i="1"/>
  <c r="AF1126" i="1"/>
  <c r="AG1126" i="1"/>
  <c r="AH1126" i="1"/>
  <c r="AI1126" i="1"/>
  <c r="AJ1126" i="1"/>
  <c r="AK1126" i="1"/>
  <c r="C1127" i="1"/>
  <c r="H1127" i="1"/>
  <c r="I1127" i="1"/>
  <c r="J1127" i="1"/>
  <c r="K1127" i="1"/>
  <c r="M1127" i="1"/>
  <c r="P1127" i="1"/>
  <c r="R1127" i="1"/>
  <c r="S1127" i="1"/>
  <c r="T1127" i="1"/>
  <c r="U1127" i="1"/>
  <c r="X1127" i="1"/>
  <c r="Y1127" i="1"/>
  <c r="Z1127" i="1"/>
  <c r="AA1127" i="1"/>
  <c r="AB1127" i="1"/>
  <c r="AC1127" i="1"/>
  <c r="AD1127" i="1"/>
  <c r="AE1127" i="1"/>
  <c r="AF1127" i="1"/>
  <c r="AG1127" i="1"/>
  <c r="AH1127" i="1"/>
  <c r="AI1127" i="1"/>
  <c r="AJ1127" i="1"/>
  <c r="AK1127" i="1"/>
  <c r="C1128" i="1"/>
  <c r="H1128" i="1"/>
  <c r="I1128" i="1"/>
  <c r="J1128" i="1"/>
  <c r="K1128" i="1"/>
  <c r="M1128" i="1"/>
  <c r="P1128" i="1"/>
  <c r="R1128" i="1"/>
  <c r="S1128" i="1"/>
  <c r="T1128" i="1"/>
  <c r="U1128" i="1"/>
  <c r="X1128" i="1"/>
  <c r="Y1128" i="1"/>
  <c r="Z1128" i="1"/>
  <c r="AA1128" i="1"/>
  <c r="AB1128" i="1"/>
  <c r="AC1128" i="1"/>
  <c r="AD1128" i="1"/>
  <c r="AE1128" i="1"/>
  <c r="AF1128" i="1"/>
  <c r="AG1128" i="1"/>
  <c r="AH1128" i="1"/>
  <c r="AI1128" i="1"/>
  <c r="AJ1128" i="1"/>
  <c r="AK1128" i="1"/>
  <c r="C1129" i="1"/>
  <c r="H1129" i="1"/>
  <c r="I1129" i="1"/>
  <c r="J1129" i="1"/>
  <c r="K1129" i="1"/>
  <c r="M1129" i="1"/>
  <c r="P1129" i="1"/>
  <c r="R1129" i="1"/>
  <c r="S1129" i="1"/>
  <c r="T1129" i="1"/>
  <c r="U1129" i="1"/>
  <c r="X1129" i="1"/>
  <c r="Y1129" i="1"/>
  <c r="Z1129" i="1"/>
  <c r="AA1129" i="1"/>
  <c r="AB1129" i="1"/>
  <c r="AC1129" i="1"/>
  <c r="AD1129" i="1"/>
  <c r="AE1129" i="1"/>
  <c r="AF1129" i="1"/>
  <c r="AG1129" i="1"/>
  <c r="AH1129" i="1"/>
  <c r="AI1129" i="1"/>
  <c r="AJ1129" i="1"/>
  <c r="AK1129" i="1"/>
  <c r="C1130" i="1"/>
  <c r="H1130" i="1"/>
  <c r="I1130" i="1"/>
  <c r="J1130" i="1"/>
  <c r="K1130" i="1"/>
  <c r="M1130" i="1"/>
  <c r="P1130" i="1"/>
  <c r="R1130" i="1"/>
  <c r="S1130" i="1"/>
  <c r="T1130" i="1"/>
  <c r="U1130" i="1"/>
  <c r="X1130" i="1"/>
  <c r="Y1130" i="1"/>
  <c r="Z1130" i="1"/>
  <c r="AA1130" i="1"/>
  <c r="AB1130" i="1"/>
  <c r="AC1130" i="1"/>
  <c r="AD1130" i="1"/>
  <c r="AE1130" i="1"/>
  <c r="AF1130" i="1"/>
  <c r="AG1130" i="1"/>
  <c r="AH1130" i="1"/>
  <c r="AI1130" i="1"/>
  <c r="AJ1130" i="1"/>
  <c r="AK1130" i="1"/>
  <c r="C1131" i="1"/>
  <c r="H1131" i="1"/>
  <c r="I1131" i="1"/>
  <c r="J1131" i="1"/>
  <c r="K1131" i="1"/>
  <c r="M1131" i="1"/>
  <c r="P1131" i="1"/>
  <c r="R1131" i="1"/>
  <c r="S1131" i="1"/>
  <c r="T1131" i="1"/>
  <c r="U1131" i="1"/>
  <c r="X1131" i="1"/>
  <c r="Y1131" i="1"/>
  <c r="Z1131" i="1"/>
  <c r="AA1131" i="1"/>
  <c r="AB1131" i="1"/>
  <c r="AC1131" i="1"/>
  <c r="AD1131" i="1"/>
  <c r="AE1131" i="1"/>
  <c r="AF1131" i="1"/>
  <c r="AG1131" i="1"/>
  <c r="AH1131" i="1"/>
  <c r="AI1131" i="1"/>
  <c r="AJ1131" i="1"/>
  <c r="AK1131" i="1"/>
  <c r="C1112" i="1"/>
  <c r="H1112" i="1"/>
  <c r="I1112" i="1"/>
  <c r="J1112" i="1"/>
  <c r="K1112" i="1"/>
  <c r="M1112" i="1"/>
  <c r="P1112" i="1"/>
  <c r="R1112" i="1"/>
  <c r="S1112" i="1"/>
  <c r="T1112" i="1"/>
  <c r="U1112" i="1"/>
  <c r="X1112" i="1"/>
  <c r="Y1112" i="1"/>
  <c r="Z1112" i="1"/>
  <c r="AA1112" i="1"/>
  <c r="AB1112" i="1"/>
  <c r="AC1112" i="1"/>
  <c r="AD1112" i="1"/>
  <c r="AE1112" i="1"/>
  <c r="AF1112" i="1"/>
  <c r="AG1112" i="1"/>
  <c r="AH1112" i="1"/>
  <c r="AI1112" i="1"/>
  <c r="AJ1112" i="1"/>
  <c r="AK1112" i="1"/>
  <c r="C1113" i="1"/>
  <c r="H1113" i="1"/>
  <c r="I1113" i="1"/>
  <c r="J1113" i="1"/>
  <c r="K1113" i="1"/>
  <c r="M1113" i="1"/>
  <c r="P1113" i="1"/>
  <c r="R1113" i="1"/>
  <c r="S1113" i="1"/>
  <c r="T1113" i="1"/>
  <c r="U1113" i="1"/>
  <c r="X1113" i="1"/>
  <c r="Y1113" i="1"/>
  <c r="Z1113" i="1"/>
  <c r="AA1113" i="1"/>
  <c r="AB1113" i="1"/>
  <c r="AC1113" i="1"/>
  <c r="AD1113" i="1"/>
  <c r="AE1113" i="1"/>
  <c r="AF1113" i="1"/>
  <c r="AG1113" i="1"/>
  <c r="AH1113" i="1"/>
  <c r="AI1113" i="1"/>
  <c r="AJ1113" i="1"/>
  <c r="AK1113" i="1"/>
  <c r="C1114" i="1"/>
  <c r="H1114" i="1"/>
  <c r="I1114" i="1"/>
  <c r="J1114" i="1"/>
  <c r="K1114" i="1"/>
  <c r="M1114" i="1"/>
  <c r="P1114" i="1"/>
  <c r="R1114" i="1"/>
  <c r="S1114" i="1"/>
  <c r="T1114" i="1"/>
  <c r="U1114" i="1"/>
  <c r="X1114" i="1"/>
  <c r="Y1114" i="1"/>
  <c r="Z1114" i="1"/>
  <c r="AA1114" i="1"/>
  <c r="AB1114" i="1"/>
  <c r="AC1114" i="1"/>
  <c r="AD1114" i="1"/>
  <c r="AE1114" i="1"/>
  <c r="AF1114" i="1"/>
  <c r="AG1114" i="1"/>
  <c r="AH1114" i="1"/>
  <c r="AI1114" i="1"/>
  <c r="AJ1114" i="1"/>
  <c r="AK1114" i="1"/>
  <c r="C1115" i="1"/>
  <c r="H1115" i="1"/>
  <c r="I1115" i="1"/>
  <c r="J1115" i="1"/>
  <c r="K1115" i="1"/>
  <c r="M1115" i="1"/>
  <c r="P1115" i="1"/>
  <c r="R1115" i="1"/>
  <c r="S1115" i="1"/>
  <c r="T1115" i="1"/>
  <c r="U1115" i="1"/>
  <c r="X1115" i="1"/>
  <c r="Y1115" i="1"/>
  <c r="Z1115" i="1"/>
  <c r="AA1115" i="1"/>
  <c r="AB1115" i="1"/>
  <c r="AC1115" i="1"/>
  <c r="AD1115" i="1"/>
  <c r="AE1115" i="1"/>
  <c r="AF1115" i="1"/>
  <c r="AG1115" i="1"/>
  <c r="AH1115" i="1"/>
  <c r="AI1115" i="1"/>
  <c r="AJ1115" i="1"/>
  <c r="AK1115" i="1"/>
  <c r="C1116" i="1"/>
  <c r="H1116" i="1"/>
  <c r="I1116" i="1"/>
  <c r="J1116" i="1"/>
  <c r="K1116" i="1"/>
  <c r="M1116" i="1"/>
  <c r="P1116" i="1"/>
  <c r="R1116" i="1"/>
  <c r="S1116" i="1"/>
  <c r="T1116" i="1"/>
  <c r="U1116" i="1"/>
  <c r="X1116" i="1"/>
  <c r="Y1116" i="1"/>
  <c r="Z1116" i="1"/>
  <c r="AA1116" i="1"/>
  <c r="AB1116" i="1"/>
  <c r="AC1116" i="1"/>
  <c r="AD1116" i="1"/>
  <c r="AE1116" i="1"/>
  <c r="AF1116" i="1"/>
  <c r="AG1116" i="1"/>
  <c r="AH1116" i="1"/>
  <c r="AI1116" i="1"/>
  <c r="AJ1116" i="1"/>
  <c r="AK1116" i="1"/>
  <c r="C1117" i="1"/>
  <c r="H1117" i="1"/>
  <c r="I1117" i="1"/>
  <c r="J1117" i="1"/>
  <c r="K1117" i="1"/>
  <c r="M1117" i="1"/>
  <c r="P1117" i="1"/>
  <c r="R1117" i="1"/>
  <c r="S1117" i="1"/>
  <c r="T1117" i="1"/>
  <c r="U1117" i="1"/>
  <c r="X1117" i="1"/>
  <c r="Y1117" i="1"/>
  <c r="Z1117" i="1"/>
  <c r="AA1117" i="1"/>
  <c r="AB1117" i="1"/>
  <c r="AC1117" i="1"/>
  <c r="AD1117" i="1"/>
  <c r="AE1117" i="1"/>
  <c r="AF1117" i="1"/>
  <c r="AG1117" i="1"/>
  <c r="AH1117" i="1"/>
  <c r="AI1117" i="1"/>
  <c r="AJ1117" i="1"/>
  <c r="AK1117" i="1"/>
  <c r="C1118" i="1"/>
  <c r="H1118" i="1"/>
  <c r="I1118" i="1"/>
  <c r="J1118" i="1"/>
  <c r="K1118" i="1"/>
  <c r="M1118" i="1"/>
  <c r="P1118" i="1"/>
  <c r="R1118" i="1"/>
  <c r="S1118" i="1"/>
  <c r="T1118" i="1"/>
  <c r="U1118" i="1"/>
  <c r="X1118" i="1"/>
  <c r="Y1118" i="1"/>
  <c r="Z1118" i="1"/>
  <c r="AA1118" i="1"/>
  <c r="AB1118" i="1"/>
  <c r="AC1118" i="1"/>
  <c r="AD1118" i="1"/>
  <c r="AE1118" i="1"/>
  <c r="AF1118" i="1"/>
  <c r="AG1118" i="1"/>
  <c r="AH1118" i="1"/>
  <c r="AI1118" i="1"/>
  <c r="AJ1118" i="1"/>
  <c r="AK1118" i="1"/>
  <c r="C1119" i="1"/>
  <c r="H1119" i="1"/>
  <c r="I1119" i="1"/>
  <c r="J1119" i="1"/>
  <c r="K1119" i="1"/>
  <c r="M1119" i="1"/>
  <c r="P1119" i="1"/>
  <c r="R1119" i="1"/>
  <c r="S1119" i="1"/>
  <c r="T1119" i="1"/>
  <c r="U1119" i="1"/>
  <c r="X1119" i="1"/>
  <c r="Y1119" i="1"/>
  <c r="Z1119" i="1"/>
  <c r="AA1119" i="1"/>
  <c r="AB1119" i="1"/>
  <c r="AC1119" i="1"/>
  <c r="AD1119" i="1"/>
  <c r="AE1119" i="1"/>
  <c r="AF1119" i="1"/>
  <c r="AG1119" i="1"/>
  <c r="AH1119" i="1"/>
  <c r="AI1119" i="1"/>
  <c r="AJ1119" i="1"/>
  <c r="AK1119" i="1"/>
  <c r="C1120" i="1"/>
  <c r="H1120" i="1"/>
  <c r="I1120" i="1"/>
  <c r="J1120" i="1"/>
  <c r="K1120" i="1"/>
  <c r="M1120" i="1"/>
  <c r="P1120" i="1"/>
  <c r="R1120" i="1"/>
  <c r="S1120" i="1"/>
  <c r="T1120" i="1"/>
  <c r="U1120" i="1"/>
  <c r="X1120" i="1"/>
  <c r="Y1120" i="1"/>
  <c r="Z1120" i="1"/>
  <c r="AA1120" i="1"/>
  <c r="AB1120" i="1"/>
  <c r="AC1120" i="1"/>
  <c r="AD1120" i="1"/>
  <c r="AE1120" i="1"/>
  <c r="AF1120" i="1"/>
  <c r="AG1120" i="1"/>
  <c r="AH1120" i="1"/>
  <c r="AI1120" i="1"/>
  <c r="AJ1120" i="1"/>
  <c r="AK1120" i="1"/>
  <c r="C1121" i="1"/>
  <c r="H1121" i="1"/>
  <c r="I1121" i="1"/>
  <c r="J1121" i="1"/>
  <c r="K1121" i="1"/>
  <c r="M1121" i="1"/>
  <c r="P1121" i="1"/>
  <c r="R1121" i="1"/>
  <c r="S1121" i="1"/>
  <c r="T1121" i="1"/>
  <c r="U1121" i="1"/>
  <c r="X1121" i="1"/>
  <c r="Y1121" i="1"/>
  <c r="Z1121" i="1"/>
  <c r="AA1121" i="1"/>
  <c r="AB1121" i="1"/>
  <c r="AC1121" i="1"/>
  <c r="AD1121" i="1"/>
  <c r="AE1121" i="1"/>
  <c r="AF1121" i="1"/>
  <c r="AG1121" i="1"/>
  <c r="AH1121" i="1"/>
  <c r="AI1121" i="1"/>
  <c r="AJ1121" i="1"/>
  <c r="AK1121" i="1"/>
  <c r="C1102" i="1"/>
  <c r="H1102" i="1"/>
  <c r="I1102" i="1"/>
  <c r="J1102" i="1"/>
  <c r="K1102" i="1"/>
  <c r="M1102" i="1"/>
  <c r="P1102" i="1"/>
  <c r="R1102" i="1"/>
  <c r="S1102" i="1"/>
  <c r="T1102" i="1"/>
  <c r="U1102" i="1"/>
  <c r="X1102" i="1"/>
  <c r="Y1102" i="1"/>
  <c r="Z1102" i="1"/>
  <c r="AA1102" i="1"/>
  <c r="AB1102" i="1"/>
  <c r="AC1102" i="1"/>
  <c r="AD1102" i="1"/>
  <c r="AE1102" i="1"/>
  <c r="AF1102" i="1"/>
  <c r="AG1102" i="1"/>
  <c r="AH1102" i="1"/>
  <c r="AI1102" i="1"/>
  <c r="AJ1102" i="1"/>
  <c r="AK1102" i="1"/>
  <c r="C1103" i="1"/>
  <c r="H1103" i="1"/>
  <c r="I1103" i="1"/>
  <c r="J1103" i="1"/>
  <c r="K1103" i="1"/>
  <c r="M1103" i="1"/>
  <c r="P1103" i="1"/>
  <c r="R1103" i="1"/>
  <c r="S1103" i="1"/>
  <c r="T1103" i="1"/>
  <c r="U1103" i="1"/>
  <c r="X1103" i="1"/>
  <c r="Y1103" i="1"/>
  <c r="Z1103" i="1"/>
  <c r="AA1103" i="1"/>
  <c r="AB1103" i="1"/>
  <c r="AC1103" i="1"/>
  <c r="AD1103" i="1"/>
  <c r="AE1103" i="1"/>
  <c r="AF1103" i="1"/>
  <c r="AG1103" i="1"/>
  <c r="AH1103" i="1"/>
  <c r="AI1103" i="1"/>
  <c r="AJ1103" i="1"/>
  <c r="AK1103" i="1"/>
  <c r="C1104" i="1"/>
  <c r="H1104" i="1"/>
  <c r="I1104" i="1"/>
  <c r="J1104" i="1"/>
  <c r="K1104" i="1"/>
  <c r="M1104" i="1"/>
  <c r="P1104" i="1"/>
  <c r="R1104" i="1"/>
  <c r="S1104" i="1"/>
  <c r="T1104" i="1"/>
  <c r="U1104" i="1"/>
  <c r="X1104" i="1"/>
  <c r="Y1104" i="1"/>
  <c r="Z1104" i="1"/>
  <c r="AA1104" i="1"/>
  <c r="AB1104" i="1"/>
  <c r="AC1104" i="1"/>
  <c r="AD1104" i="1"/>
  <c r="AE1104" i="1"/>
  <c r="AF1104" i="1"/>
  <c r="AG1104" i="1"/>
  <c r="AH1104" i="1"/>
  <c r="AI1104" i="1"/>
  <c r="AJ1104" i="1"/>
  <c r="AK1104" i="1"/>
  <c r="C1105" i="1"/>
  <c r="H1105" i="1"/>
  <c r="I1105" i="1"/>
  <c r="J1105" i="1"/>
  <c r="K1105" i="1"/>
  <c r="M1105" i="1"/>
  <c r="P1105" i="1"/>
  <c r="R1105" i="1"/>
  <c r="S1105" i="1"/>
  <c r="T1105" i="1"/>
  <c r="U1105" i="1"/>
  <c r="X1105" i="1"/>
  <c r="Y1105" i="1"/>
  <c r="Z1105" i="1"/>
  <c r="AA1105" i="1"/>
  <c r="AB1105" i="1"/>
  <c r="AC1105" i="1"/>
  <c r="AD1105" i="1"/>
  <c r="AE1105" i="1"/>
  <c r="AF1105" i="1"/>
  <c r="AG1105" i="1"/>
  <c r="AH1105" i="1"/>
  <c r="AI1105" i="1"/>
  <c r="AJ1105" i="1"/>
  <c r="AK1105" i="1"/>
  <c r="C1106" i="1"/>
  <c r="H1106" i="1"/>
  <c r="I1106" i="1"/>
  <c r="J1106" i="1"/>
  <c r="K1106" i="1"/>
  <c r="M1106" i="1"/>
  <c r="P1106" i="1"/>
  <c r="R1106" i="1"/>
  <c r="S1106" i="1"/>
  <c r="T1106" i="1"/>
  <c r="U1106" i="1"/>
  <c r="X1106" i="1"/>
  <c r="Y1106" i="1"/>
  <c r="Z1106" i="1"/>
  <c r="AA1106" i="1"/>
  <c r="AB1106" i="1"/>
  <c r="AC1106" i="1"/>
  <c r="AD1106" i="1"/>
  <c r="AE1106" i="1"/>
  <c r="AF1106" i="1"/>
  <c r="AG1106" i="1"/>
  <c r="AH1106" i="1"/>
  <c r="AI1106" i="1"/>
  <c r="AJ1106" i="1"/>
  <c r="AK1106" i="1"/>
  <c r="C1107" i="1"/>
  <c r="H1107" i="1"/>
  <c r="I1107" i="1"/>
  <c r="J1107" i="1"/>
  <c r="K1107" i="1"/>
  <c r="M1107" i="1"/>
  <c r="P1107" i="1"/>
  <c r="R1107" i="1"/>
  <c r="S1107" i="1"/>
  <c r="T1107" i="1"/>
  <c r="U1107" i="1"/>
  <c r="X1107" i="1"/>
  <c r="Y1107" i="1"/>
  <c r="Z1107" i="1"/>
  <c r="AA1107" i="1"/>
  <c r="AB1107" i="1"/>
  <c r="AC1107" i="1"/>
  <c r="AD1107" i="1"/>
  <c r="AE1107" i="1"/>
  <c r="AF1107" i="1"/>
  <c r="AG1107" i="1"/>
  <c r="AH1107" i="1"/>
  <c r="AI1107" i="1"/>
  <c r="AJ1107" i="1"/>
  <c r="AK1107" i="1"/>
  <c r="C1108" i="1"/>
  <c r="H1108" i="1"/>
  <c r="I1108" i="1"/>
  <c r="J1108" i="1"/>
  <c r="K1108" i="1"/>
  <c r="M1108" i="1"/>
  <c r="P1108" i="1"/>
  <c r="R1108" i="1"/>
  <c r="S1108" i="1"/>
  <c r="T1108" i="1"/>
  <c r="U1108" i="1"/>
  <c r="X1108" i="1"/>
  <c r="Y1108" i="1"/>
  <c r="Z1108" i="1"/>
  <c r="AA1108" i="1"/>
  <c r="AB1108" i="1"/>
  <c r="AC1108" i="1"/>
  <c r="AD1108" i="1"/>
  <c r="AE1108" i="1"/>
  <c r="AF1108" i="1"/>
  <c r="AG1108" i="1"/>
  <c r="AH1108" i="1"/>
  <c r="AI1108" i="1"/>
  <c r="AJ1108" i="1"/>
  <c r="AK1108" i="1"/>
  <c r="C1109" i="1"/>
  <c r="H1109" i="1"/>
  <c r="I1109" i="1"/>
  <c r="J1109" i="1"/>
  <c r="K1109" i="1"/>
  <c r="M1109" i="1"/>
  <c r="P1109" i="1"/>
  <c r="R1109" i="1"/>
  <c r="S1109" i="1"/>
  <c r="T1109" i="1"/>
  <c r="U1109" i="1"/>
  <c r="X1109" i="1"/>
  <c r="Y1109" i="1"/>
  <c r="Z1109" i="1"/>
  <c r="AA1109" i="1"/>
  <c r="AB1109" i="1"/>
  <c r="AC1109" i="1"/>
  <c r="AD1109" i="1"/>
  <c r="AE1109" i="1"/>
  <c r="AF1109" i="1"/>
  <c r="AG1109" i="1"/>
  <c r="AH1109" i="1"/>
  <c r="AI1109" i="1"/>
  <c r="AJ1109" i="1"/>
  <c r="AK1109" i="1"/>
  <c r="C1110" i="1"/>
  <c r="H1110" i="1"/>
  <c r="I1110" i="1"/>
  <c r="J1110" i="1"/>
  <c r="K1110" i="1"/>
  <c r="M1110" i="1"/>
  <c r="P1110" i="1"/>
  <c r="R1110" i="1"/>
  <c r="S1110" i="1"/>
  <c r="T1110" i="1"/>
  <c r="U1110" i="1"/>
  <c r="X1110" i="1"/>
  <c r="Y1110" i="1"/>
  <c r="Z1110" i="1"/>
  <c r="AA1110" i="1"/>
  <c r="AB1110" i="1"/>
  <c r="AC1110" i="1"/>
  <c r="AD1110" i="1"/>
  <c r="AE1110" i="1"/>
  <c r="AF1110" i="1"/>
  <c r="AG1110" i="1"/>
  <c r="AH1110" i="1"/>
  <c r="AI1110" i="1"/>
  <c r="AJ1110" i="1"/>
  <c r="AK1110" i="1"/>
  <c r="C1111" i="1"/>
  <c r="H1111" i="1"/>
  <c r="I1111" i="1"/>
  <c r="J1111" i="1"/>
  <c r="K1111" i="1"/>
  <c r="M1111" i="1"/>
  <c r="P1111" i="1"/>
  <c r="R1111" i="1"/>
  <c r="S1111" i="1"/>
  <c r="T1111" i="1"/>
  <c r="U1111" i="1"/>
  <c r="X1111" i="1"/>
  <c r="Y1111" i="1"/>
  <c r="Z1111" i="1"/>
  <c r="AA1111" i="1"/>
  <c r="AB1111" i="1"/>
  <c r="AC1111" i="1"/>
  <c r="AD1111" i="1"/>
  <c r="AE1111" i="1"/>
  <c r="AF1111" i="1"/>
  <c r="AG1111" i="1"/>
  <c r="AH1111" i="1"/>
  <c r="AI1111" i="1"/>
  <c r="AJ1111" i="1"/>
  <c r="AK1111" i="1"/>
  <c r="C1092" i="1"/>
  <c r="H1092" i="1"/>
  <c r="I1092" i="1"/>
  <c r="J1092" i="1"/>
  <c r="K1092" i="1"/>
  <c r="M1092" i="1"/>
  <c r="P1092" i="1"/>
  <c r="R1092" i="1"/>
  <c r="S1092" i="1"/>
  <c r="T1092" i="1"/>
  <c r="U1092" i="1"/>
  <c r="X1092" i="1"/>
  <c r="Y1092" i="1"/>
  <c r="Z1092" i="1"/>
  <c r="AA1092" i="1"/>
  <c r="AB1092" i="1"/>
  <c r="AC1092" i="1"/>
  <c r="AD1092" i="1"/>
  <c r="AE1092" i="1"/>
  <c r="AF1092" i="1"/>
  <c r="AG1092" i="1"/>
  <c r="AH1092" i="1"/>
  <c r="AI1092" i="1"/>
  <c r="AJ1092" i="1"/>
  <c r="AK1092" i="1"/>
  <c r="C1093" i="1"/>
  <c r="H1093" i="1"/>
  <c r="I1093" i="1"/>
  <c r="J1093" i="1"/>
  <c r="K1093" i="1"/>
  <c r="M1093" i="1"/>
  <c r="P1093" i="1"/>
  <c r="R1093" i="1"/>
  <c r="S1093" i="1"/>
  <c r="T1093" i="1"/>
  <c r="U1093" i="1"/>
  <c r="X1093" i="1"/>
  <c r="Y1093" i="1"/>
  <c r="Z1093" i="1"/>
  <c r="AA1093" i="1"/>
  <c r="AB1093" i="1"/>
  <c r="AC1093" i="1"/>
  <c r="AD1093" i="1"/>
  <c r="AE1093" i="1"/>
  <c r="AF1093" i="1"/>
  <c r="AG1093" i="1"/>
  <c r="AH1093" i="1"/>
  <c r="AI1093" i="1"/>
  <c r="AJ1093" i="1"/>
  <c r="AK1093" i="1"/>
  <c r="C1094" i="1"/>
  <c r="H1094" i="1"/>
  <c r="I1094" i="1"/>
  <c r="J1094" i="1"/>
  <c r="K1094" i="1"/>
  <c r="M1094" i="1"/>
  <c r="P1094" i="1"/>
  <c r="R1094" i="1"/>
  <c r="S1094" i="1"/>
  <c r="T1094" i="1"/>
  <c r="U1094" i="1"/>
  <c r="X1094" i="1"/>
  <c r="Y1094" i="1"/>
  <c r="Z1094" i="1"/>
  <c r="AA1094" i="1"/>
  <c r="AB1094" i="1"/>
  <c r="AC1094" i="1"/>
  <c r="AD1094" i="1"/>
  <c r="AE1094" i="1"/>
  <c r="AF1094" i="1"/>
  <c r="AG1094" i="1"/>
  <c r="AH1094" i="1"/>
  <c r="AI1094" i="1"/>
  <c r="AJ1094" i="1"/>
  <c r="AK1094" i="1"/>
  <c r="C1095" i="1"/>
  <c r="H1095" i="1"/>
  <c r="I1095" i="1"/>
  <c r="J1095" i="1"/>
  <c r="K1095" i="1"/>
  <c r="M1095" i="1"/>
  <c r="P1095" i="1"/>
  <c r="R1095" i="1"/>
  <c r="S1095" i="1"/>
  <c r="T1095" i="1"/>
  <c r="U1095" i="1"/>
  <c r="X1095" i="1"/>
  <c r="Y1095" i="1"/>
  <c r="Z1095" i="1"/>
  <c r="AA1095" i="1"/>
  <c r="AB1095" i="1"/>
  <c r="AC1095" i="1"/>
  <c r="AD1095" i="1"/>
  <c r="AE1095" i="1"/>
  <c r="AF1095" i="1"/>
  <c r="AG1095" i="1"/>
  <c r="AH1095" i="1"/>
  <c r="AI1095" i="1"/>
  <c r="AJ1095" i="1"/>
  <c r="AK1095" i="1"/>
  <c r="C1096" i="1"/>
  <c r="H1096" i="1"/>
  <c r="I1096" i="1"/>
  <c r="J1096" i="1"/>
  <c r="K1096" i="1"/>
  <c r="M1096" i="1"/>
  <c r="P1096" i="1"/>
  <c r="R1096" i="1"/>
  <c r="S1096" i="1"/>
  <c r="T1096" i="1"/>
  <c r="U1096" i="1"/>
  <c r="X1096" i="1"/>
  <c r="Y1096" i="1"/>
  <c r="Z1096" i="1"/>
  <c r="AA1096" i="1"/>
  <c r="AB1096" i="1"/>
  <c r="AC1096" i="1"/>
  <c r="AD1096" i="1"/>
  <c r="AE1096" i="1"/>
  <c r="AF1096" i="1"/>
  <c r="AG1096" i="1"/>
  <c r="AH1096" i="1"/>
  <c r="AI1096" i="1"/>
  <c r="AJ1096" i="1"/>
  <c r="AK1096" i="1"/>
  <c r="C1097" i="1"/>
  <c r="H1097" i="1"/>
  <c r="I1097" i="1"/>
  <c r="J1097" i="1"/>
  <c r="K1097" i="1"/>
  <c r="M1097" i="1"/>
  <c r="P1097" i="1"/>
  <c r="R1097" i="1"/>
  <c r="S1097" i="1"/>
  <c r="T1097" i="1"/>
  <c r="U1097" i="1"/>
  <c r="X1097" i="1"/>
  <c r="Y1097" i="1"/>
  <c r="Z1097" i="1"/>
  <c r="AA1097" i="1"/>
  <c r="AB1097" i="1"/>
  <c r="AC1097" i="1"/>
  <c r="AD1097" i="1"/>
  <c r="AE1097" i="1"/>
  <c r="AF1097" i="1"/>
  <c r="AG1097" i="1"/>
  <c r="AH1097" i="1"/>
  <c r="AI1097" i="1"/>
  <c r="AJ1097" i="1"/>
  <c r="AK1097" i="1"/>
  <c r="C1098" i="1"/>
  <c r="H1098" i="1"/>
  <c r="I1098" i="1"/>
  <c r="J1098" i="1"/>
  <c r="K1098" i="1"/>
  <c r="M1098" i="1"/>
  <c r="P1098" i="1"/>
  <c r="R1098" i="1"/>
  <c r="S1098" i="1"/>
  <c r="T1098" i="1"/>
  <c r="U1098" i="1"/>
  <c r="X1098" i="1"/>
  <c r="Y1098" i="1"/>
  <c r="Z1098" i="1"/>
  <c r="AA1098" i="1"/>
  <c r="AB1098" i="1"/>
  <c r="AC1098" i="1"/>
  <c r="AD1098" i="1"/>
  <c r="AE1098" i="1"/>
  <c r="AF1098" i="1"/>
  <c r="AG1098" i="1"/>
  <c r="AH1098" i="1"/>
  <c r="AI1098" i="1"/>
  <c r="AJ1098" i="1"/>
  <c r="AK1098" i="1"/>
  <c r="C1099" i="1"/>
  <c r="H1099" i="1"/>
  <c r="I1099" i="1"/>
  <c r="J1099" i="1"/>
  <c r="K1099" i="1"/>
  <c r="M1099" i="1"/>
  <c r="P1099" i="1"/>
  <c r="R1099" i="1"/>
  <c r="S1099" i="1"/>
  <c r="T1099" i="1"/>
  <c r="U1099" i="1"/>
  <c r="X1099" i="1"/>
  <c r="Y1099" i="1"/>
  <c r="Z1099" i="1"/>
  <c r="AA1099" i="1"/>
  <c r="AB1099" i="1"/>
  <c r="AC1099" i="1"/>
  <c r="AD1099" i="1"/>
  <c r="AE1099" i="1"/>
  <c r="AF1099" i="1"/>
  <c r="AG1099" i="1"/>
  <c r="AH1099" i="1"/>
  <c r="AI1099" i="1"/>
  <c r="AJ1099" i="1"/>
  <c r="AK1099" i="1"/>
  <c r="C1100" i="1"/>
  <c r="H1100" i="1"/>
  <c r="I1100" i="1"/>
  <c r="J1100" i="1"/>
  <c r="K1100" i="1"/>
  <c r="M1100" i="1"/>
  <c r="P1100" i="1"/>
  <c r="R1100" i="1"/>
  <c r="S1100" i="1"/>
  <c r="T1100" i="1"/>
  <c r="U1100" i="1"/>
  <c r="X1100" i="1"/>
  <c r="Y1100" i="1"/>
  <c r="Z1100" i="1"/>
  <c r="AA1100" i="1"/>
  <c r="AB1100" i="1"/>
  <c r="AC1100" i="1"/>
  <c r="AD1100" i="1"/>
  <c r="AE1100" i="1"/>
  <c r="AF1100" i="1"/>
  <c r="AG1100" i="1"/>
  <c r="AH1100" i="1"/>
  <c r="AI1100" i="1"/>
  <c r="AJ1100" i="1"/>
  <c r="AK1100" i="1"/>
  <c r="C1101" i="1"/>
  <c r="H1101" i="1"/>
  <c r="I1101" i="1"/>
  <c r="J1101" i="1"/>
  <c r="K1101" i="1"/>
  <c r="M1101" i="1"/>
  <c r="P1101" i="1"/>
  <c r="R1101" i="1"/>
  <c r="S1101" i="1"/>
  <c r="T1101" i="1"/>
  <c r="U1101" i="1"/>
  <c r="X1101" i="1"/>
  <c r="Y1101" i="1"/>
  <c r="Z1101" i="1"/>
  <c r="AA1101" i="1"/>
  <c r="AB1101" i="1"/>
  <c r="AC1101" i="1"/>
  <c r="AD1101" i="1"/>
  <c r="AE1101" i="1"/>
  <c r="AF1101" i="1"/>
  <c r="AG1101" i="1"/>
  <c r="AH1101" i="1"/>
  <c r="AI1101" i="1"/>
  <c r="AJ1101" i="1"/>
  <c r="AK1101" i="1"/>
  <c r="C1082" i="1"/>
  <c r="H1082" i="1"/>
  <c r="I1082" i="1"/>
  <c r="J1082" i="1"/>
  <c r="K1082" i="1"/>
  <c r="M1082" i="1"/>
  <c r="P1082" i="1"/>
  <c r="R1082" i="1"/>
  <c r="S1082" i="1"/>
  <c r="T1082" i="1"/>
  <c r="U1082" i="1"/>
  <c r="X1082" i="1"/>
  <c r="Y1082" i="1"/>
  <c r="Z1082" i="1"/>
  <c r="AA1082" i="1"/>
  <c r="AB1082" i="1"/>
  <c r="AC1082" i="1"/>
  <c r="AD1082" i="1"/>
  <c r="AE1082" i="1"/>
  <c r="AF1082" i="1"/>
  <c r="AG1082" i="1"/>
  <c r="AH1082" i="1"/>
  <c r="AI1082" i="1"/>
  <c r="AJ1082" i="1"/>
  <c r="AK1082" i="1"/>
  <c r="C1083" i="1"/>
  <c r="H1083" i="1"/>
  <c r="I1083" i="1"/>
  <c r="J1083" i="1"/>
  <c r="K1083" i="1"/>
  <c r="M1083" i="1"/>
  <c r="P1083" i="1"/>
  <c r="R1083" i="1"/>
  <c r="S1083" i="1"/>
  <c r="T1083" i="1"/>
  <c r="U1083" i="1"/>
  <c r="X1083" i="1"/>
  <c r="Y1083" i="1"/>
  <c r="Z1083" i="1"/>
  <c r="AA1083" i="1"/>
  <c r="AB1083" i="1"/>
  <c r="AC1083" i="1"/>
  <c r="AD1083" i="1"/>
  <c r="AE1083" i="1"/>
  <c r="AF1083" i="1"/>
  <c r="AG1083" i="1"/>
  <c r="AH1083" i="1"/>
  <c r="AI1083" i="1"/>
  <c r="AJ1083" i="1"/>
  <c r="AK1083" i="1"/>
  <c r="C1084" i="1"/>
  <c r="H1084" i="1"/>
  <c r="I1084" i="1"/>
  <c r="J1084" i="1"/>
  <c r="K1084" i="1"/>
  <c r="M1084" i="1"/>
  <c r="P1084" i="1"/>
  <c r="R1084" i="1"/>
  <c r="S1084" i="1"/>
  <c r="T1084" i="1"/>
  <c r="U1084" i="1"/>
  <c r="X1084" i="1"/>
  <c r="Y1084" i="1"/>
  <c r="Z1084" i="1"/>
  <c r="AA1084" i="1"/>
  <c r="AB1084" i="1"/>
  <c r="AC1084" i="1"/>
  <c r="AD1084" i="1"/>
  <c r="AE1084" i="1"/>
  <c r="AF1084" i="1"/>
  <c r="AG1084" i="1"/>
  <c r="AH1084" i="1"/>
  <c r="AI1084" i="1"/>
  <c r="AJ1084" i="1"/>
  <c r="AK1084" i="1"/>
  <c r="C1085" i="1"/>
  <c r="H1085" i="1"/>
  <c r="I1085" i="1"/>
  <c r="J1085" i="1"/>
  <c r="K1085" i="1"/>
  <c r="M1085" i="1"/>
  <c r="P1085" i="1"/>
  <c r="R1085" i="1"/>
  <c r="S1085" i="1"/>
  <c r="T1085" i="1"/>
  <c r="U1085" i="1"/>
  <c r="X1085" i="1"/>
  <c r="Y1085" i="1"/>
  <c r="Z1085" i="1"/>
  <c r="AA1085" i="1"/>
  <c r="AB1085" i="1"/>
  <c r="AC1085" i="1"/>
  <c r="AD1085" i="1"/>
  <c r="AE1085" i="1"/>
  <c r="AF1085" i="1"/>
  <c r="AG1085" i="1"/>
  <c r="AH1085" i="1"/>
  <c r="AI1085" i="1"/>
  <c r="AJ1085" i="1"/>
  <c r="AK1085" i="1"/>
  <c r="C1086" i="1"/>
  <c r="H1086" i="1"/>
  <c r="I1086" i="1"/>
  <c r="J1086" i="1"/>
  <c r="K1086" i="1"/>
  <c r="M1086" i="1"/>
  <c r="P1086" i="1"/>
  <c r="R1086" i="1"/>
  <c r="S1086" i="1"/>
  <c r="T1086" i="1"/>
  <c r="U1086" i="1"/>
  <c r="X1086" i="1"/>
  <c r="Y1086" i="1"/>
  <c r="Z1086" i="1"/>
  <c r="AA1086" i="1"/>
  <c r="AB1086" i="1"/>
  <c r="AC1086" i="1"/>
  <c r="AD1086" i="1"/>
  <c r="AE1086" i="1"/>
  <c r="AF1086" i="1"/>
  <c r="AG1086" i="1"/>
  <c r="AH1086" i="1"/>
  <c r="AI1086" i="1"/>
  <c r="AJ1086" i="1"/>
  <c r="AK1086" i="1"/>
  <c r="C1087" i="1"/>
  <c r="H1087" i="1"/>
  <c r="I1087" i="1"/>
  <c r="J1087" i="1"/>
  <c r="K1087" i="1"/>
  <c r="M1087" i="1"/>
  <c r="P1087" i="1"/>
  <c r="R1087" i="1"/>
  <c r="S1087" i="1"/>
  <c r="T1087" i="1"/>
  <c r="U1087" i="1"/>
  <c r="X1087" i="1"/>
  <c r="Y1087" i="1"/>
  <c r="Z1087" i="1"/>
  <c r="AA1087" i="1"/>
  <c r="AB1087" i="1"/>
  <c r="AC1087" i="1"/>
  <c r="AD1087" i="1"/>
  <c r="AE1087" i="1"/>
  <c r="AF1087" i="1"/>
  <c r="AG1087" i="1"/>
  <c r="AH1087" i="1"/>
  <c r="AI1087" i="1"/>
  <c r="AJ1087" i="1"/>
  <c r="AK1087" i="1"/>
  <c r="C1088" i="1"/>
  <c r="H1088" i="1"/>
  <c r="I1088" i="1"/>
  <c r="J1088" i="1"/>
  <c r="K1088" i="1"/>
  <c r="M1088" i="1"/>
  <c r="P1088" i="1"/>
  <c r="R1088" i="1"/>
  <c r="S1088" i="1"/>
  <c r="T1088" i="1"/>
  <c r="U1088" i="1"/>
  <c r="X1088" i="1"/>
  <c r="Y1088" i="1"/>
  <c r="Z1088" i="1"/>
  <c r="AA1088" i="1"/>
  <c r="AB1088" i="1"/>
  <c r="AC1088" i="1"/>
  <c r="AD1088" i="1"/>
  <c r="AE1088" i="1"/>
  <c r="AF1088" i="1"/>
  <c r="AG1088" i="1"/>
  <c r="AH1088" i="1"/>
  <c r="AI1088" i="1"/>
  <c r="AJ1088" i="1"/>
  <c r="AK1088" i="1"/>
  <c r="C1089" i="1"/>
  <c r="H1089" i="1"/>
  <c r="I1089" i="1"/>
  <c r="J1089" i="1"/>
  <c r="K1089" i="1"/>
  <c r="M1089" i="1"/>
  <c r="P1089" i="1"/>
  <c r="R1089" i="1"/>
  <c r="S1089" i="1"/>
  <c r="T1089" i="1"/>
  <c r="U1089" i="1"/>
  <c r="X1089" i="1"/>
  <c r="Y1089" i="1"/>
  <c r="Z1089" i="1"/>
  <c r="AA1089" i="1"/>
  <c r="AB1089" i="1"/>
  <c r="AC1089" i="1"/>
  <c r="AD1089" i="1"/>
  <c r="AE1089" i="1"/>
  <c r="AF1089" i="1"/>
  <c r="AG1089" i="1"/>
  <c r="AH1089" i="1"/>
  <c r="AI1089" i="1"/>
  <c r="AJ1089" i="1"/>
  <c r="AK1089" i="1"/>
  <c r="C1090" i="1"/>
  <c r="H1090" i="1"/>
  <c r="I1090" i="1"/>
  <c r="J1090" i="1"/>
  <c r="K1090" i="1"/>
  <c r="M1090" i="1"/>
  <c r="P1090" i="1"/>
  <c r="R1090" i="1"/>
  <c r="S1090" i="1"/>
  <c r="T1090" i="1"/>
  <c r="U1090" i="1"/>
  <c r="X1090" i="1"/>
  <c r="Y1090" i="1"/>
  <c r="Z1090" i="1"/>
  <c r="AA1090" i="1"/>
  <c r="AB1090" i="1"/>
  <c r="AC1090" i="1"/>
  <c r="AD1090" i="1"/>
  <c r="AE1090" i="1"/>
  <c r="AF1090" i="1"/>
  <c r="AG1090" i="1"/>
  <c r="AH1090" i="1"/>
  <c r="AI1090" i="1"/>
  <c r="AJ1090" i="1"/>
  <c r="AK1090" i="1"/>
  <c r="C1091" i="1"/>
  <c r="H1091" i="1"/>
  <c r="I1091" i="1"/>
  <c r="J1091" i="1"/>
  <c r="K1091" i="1"/>
  <c r="M1091" i="1"/>
  <c r="P1091" i="1"/>
  <c r="R1091" i="1"/>
  <c r="S1091" i="1"/>
  <c r="T1091" i="1"/>
  <c r="U1091" i="1"/>
  <c r="X1091" i="1"/>
  <c r="Y1091" i="1"/>
  <c r="Z1091" i="1"/>
  <c r="AA1091" i="1"/>
  <c r="AB1091" i="1"/>
  <c r="AC1091" i="1"/>
  <c r="AD1091" i="1"/>
  <c r="AE1091" i="1"/>
  <c r="AF1091" i="1"/>
  <c r="AG1091" i="1"/>
  <c r="AH1091" i="1"/>
  <c r="AI1091" i="1"/>
  <c r="AJ1091" i="1"/>
  <c r="AK1091" i="1"/>
  <c r="C1072" i="1"/>
  <c r="H1072" i="1"/>
  <c r="I1072" i="1"/>
  <c r="J1072" i="1"/>
  <c r="K1072" i="1"/>
  <c r="M1072" i="1"/>
  <c r="P1072" i="1"/>
  <c r="R1072" i="1"/>
  <c r="S1072" i="1"/>
  <c r="T1072" i="1"/>
  <c r="U1072" i="1"/>
  <c r="X1072" i="1"/>
  <c r="Y1072" i="1"/>
  <c r="Z1072" i="1"/>
  <c r="AA1072" i="1"/>
  <c r="AB1072" i="1"/>
  <c r="AC1072" i="1"/>
  <c r="AD1072" i="1"/>
  <c r="AE1072" i="1"/>
  <c r="AF1072" i="1"/>
  <c r="AG1072" i="1"/>
  <c r="AH1072" i="1"/>
  <c r="AI1072" i="1"/>
  <c r="AJ1072" i="1"/>
  <c r="AK1072" i="1"/>
  <c r="C1073" i="1"/>
  <c r="H1073" i="1"/>
  <c r="I1073" i="1"/>
  <c r="J1073" i="1"/>
  <c r="K1073" i="1"/>
  <c r="M1073" i="1"/>
  <c r="P1073" i="1"/>
  <c r="R1073" i="1"/>
  <c r="S1073" i="1"/>
  <c r="T1073" i="1"/>
  <c r="U1073" i="1"/>
  <c r="X1073" i="1"/>
  <c r="Y1073" i="1"/>
  <c r="Z1073" i="1"/>
  <c r="AA1073" i="1"/>
  <c r="AB1073" i="1"/>
  <c r="AC1073" i="1"/>
  <c r="AD1073" i="1"/>
  <c r="AE1073" i="1"/>
  <c r="AF1073" i="1"/>
  <c r="AG1073" i="1"/>
  <c r="AH1073" i="1"/>
  <c r="AI1073" i="1"/>
  <c r="AJ1073" i="1"/>
  <c r="AK1073" i="1"/>
  <c r="C1074" i="1"/>
  <c r="H1074" i="1"/>
  <c r="I1074" i="1"/>
  <c r="J1074" i="1"/>
  <c r="K1074" i="1"/>
  <c r="M1074" i="1"/>
  <c r="P1074" i="1"/>
  <c r="R1074" i="1"/>
  <c r="S1074" i="1"/>
  <c r="T1074" i="1"/>
  <c r="U1074" i="1"/>
  <c r="X1074" i="1"/>
  <c r="Y1074" i="1"/>
  <c r="Z1074" i="1"/>
  <c r="AA1074" i="1"/>
  <c r="AB1074" i="1"/>
  <c r="AC1074" i="1"/>
  <c r="AD1074" i="1"/>
  <c r="AE1074" i="1"/>
  <c r="AF1074" i="1"/>
  <c r="AG1074" i="1"/>
  <c r="AH1074" i="1"/>
  <c r="AI1074" i="1"/>
  <c r="AJ1074" i="1"/>
  <c r="AK1074" i="1"/>
  <c r="C1075" i="1"/>
  <c r="H1075" i="1"/>
  <c r="I1075" i="1"/>
  <c r="J1075" i="1"/>
  <c r="K1075" i="1"/>
  <c r="M1075" i="1"/>
  <c r="P1075" i="1"/>
  <c r="R1075" i="1"/>
  <c r="S1075" i="1"/>
  <c r="T1075" i="1"/>
  <c r="U1075" i="1"/>
  <c r="X1075" i="1"/>
  <c r="Y1075" i="1"/>
  <c r="Z1075" i="1"/>
  <c r="AA1075" i="1"/>
  <c r="AB1075" i="1"/>
  <c r="AC1075" i="1"/>
  <c r="AD1075" i="1"/>
  <c r="AE1075" i="1"/>
  <c r="AF1075" i="1"/>
  <c r="AG1075" i="1"/>
  <c r="AH1075" i="1"/>
  <c r="AI1075" i="1"/>
  <c r="AJ1075" i="1"/>
  <c r="AK1075" i="1"/>
  <c r="C1076" i="1"/>
  <c r="H1076" i="1"/>
  <c r="I1076" i="1"/>
  <c r="J1076" i="1"/>
  <c r="K1076" i="1"/>
  <c r="M1076" i="1"/>
  <c r="P1076" i="1"/>
  <c r="R1076" i="1"/>
  <c r="S1076" i="1"/>
  <c r="T1076" i="1"/>
  <c r="U1076" i="1"/>
  <c r="X1076" i="1"/>
  <c r="Y1076" i="1"/>
  <c r="Z1076" i="1"/>
  <c r="AA1076" i="1"/>
  <c r="AB1076" i="1"/>
  <c r="AC1076" i="1"/>
  <c r="AD1076" i="1"/>
  <c r="AE1076" i="1"/>
  <c r="AF1076" i="1"/>
  <c r="AG1076" i="1"/>
  <c r="AH1076" i="1"/>
  <c r="AI1076" i="1"/>
  <c r="AJ1076" i="1"/>
  <c r="AK1076" i="1"/>
  <c r="C1077" i="1"/>
  <c r="H1077" i="1"/>
  <c r="I1077" i="1"/>
  <c r="J1077" i="1"/>
  <c r="K1077" i="1"/>
  <c r="M1077" i="1"/>
  <c r="P1077" i="1"/>
  <c r="R1077" i="1"/>
  <c r="S1077" i="1"/>
  <c r="T1077" i="1"/>
  <c r="U1077" i="1"/>
  <c r="X1077" i="1"/>
  <c r="Y1077" i="1"/>
  <c r="Z1077" i="1"/>
  <c r="AA1077" i="1"/>
  <c r="AB1077" i="1"/>
  <c r="AC1077" i="1"/>
  <c r="AD1077" i="1"/>
  <c r="AE1077" i="1"/>
  <c r="AF1077" i="1"/>
  <c r="AG1077" i="1"/>
  <c r="AH1077" i="1"/>
  <c r="AI1077" i="1"/>
  <c r="AJ1077" i="1"/>
  <c r="AK1077" i="1"/>
  <c r="C1078" i="1"/>
  <c r="H1078" i="1"/>
  <c r="I1078" i="1"/>
  <c r="J1078" i="1"/>
  <c r="K1078" i="1"/>
  <c r="M1078" i="1"/>
  <c r="P1078" i="1"/>
  <c r="R1078" i="1"/>
  <c r="S1078" i="1"/>
  <c r="T1078" i="1"/>
  <c r="U1078" i="1"/>
  <c r="X1078" i="1"/>
  <c r="Y1078" i="1"/>
  <c r="Z1078" i="1"/>
  <c r="AA1078" i="1"/>
  <c r="AB1078" i="1"/>
  <c r="AC1078" i="1"/>
  <c r="AD1078" i="1"/>
  <c r="AE1078" i="1"/>
  <c r="AF1078" i="1"/>
  <c r="AG1078" i="1"/>
  <c r="AH1078" i="1"/>
  <c r="AI1078" i="1"/>
  <c r="AJ1078" i="1"/>
  <c r="AK1078" i="1"/>
  <c r="C1079" i="1"/>
  <c r="H1079" i="1"/>
  <c r="I1079" i="1"/>
  <c r="J1079" i="1"/>
  <c r="K1079" i="1"/>
  <c r="M1079" i="1"/>
  <c r="P1079" i="1"/>
  <c r="R1079" i="1"/>
  <c r="S1079" i="1"/>
  <c r="T1079" i="1"/>
  <c r="U1079" i="1"/>
  <c r="X1079" i="1"/>
  <c r="Y1079" i="1"/>
  <c r="Z1079" i="1"/>
  <c r="AA1079" i="1"/>
  <c r="AB1079" i="1"/>
  <c r="AC1079" i="1"/>
  <c r="AD1079" i="1"/>
  <c r="AE1079" i="1"/>
  <c r="AF1079" i="1"/>
  <c r="AG1079" i="1"/>
  <c r="AH1079" i="1"/>
  <c r="AI1079" i="1"/>
  <c r="AJ1079" i="1"/>
  <c r="AK1079" i="1"/>
  <c r="C1080" i="1"/>
  <c r="H1080" i="1"/>
  <c r="I1080" i="1"/>
  <c r="J1080" i="1"/>
  <c r="K1080" i="1"/>
  <c r="M1080" i="1"/>
  <c r="P1080" i="1"/>
  <c r="R1080" i="1"/>
  <c r="S1080" i="1"/>
  <c r="T1080" i="1"/>
  <c r="U1080" i="1"/>
  <c r="X1080" i="1"/>
  <c r="Y1080" i="1"/>
  <c r="Z1080" i="1"/>
  <c r="AA1080" i="1"/>
  <c r="AB1080" i="1"/>
  <c r="AC1080" i="1"/>
  <c r="AD1080" i="1"/>
  <c r="AE1080" i="1"/>
  <c r="AF1080" i="1"/>
  <c r="AG1080" i="1"/>
  <c r="AH1080" i="1"/>
  <c r="AI1080" i="1"/>
  <c r="AJ1080" i="1"/>
  <c r="AK1080" i="1"/>
  <c r="C1081" i="1"/>
  <c r="H1081" i="1"/>
  <c r="I1081" i="1"/>
  <c r="J1081" i="1"/>
  <c r="K1081" i="1"/>
  <c r="M1081" i="1"/>
  <c r="P1081" i="1"/>
  <c r="R1081" i="1"/>
  <c r="S1081" i="1"/>
  <c r="T1081" i="1"/>
  <c r="U1081" i="1"/>
  <c r="X1081" i="1"/>
  <c r="Y1081" i="1"/>
  <c r="Z1081" i="1"/>
  <c r="AA1081" i="1"/>
  <c r="AB1081" i="1"/>
  <c r="AC1081" i="1"/>
  <c r="AD1081" i="1"/>
  <c r="AE1081" i="1"/>
  <c r="AF1081" i="1"/>
  <c r="AG1081" i="1"/>
  <c r="AH1081" i="1"/>
  <c r="AI1081" i="1"/>
  <c r="AJ1081" i="1"/>
  <c r="AK1081" i="1"/>
  <c r="C1062" i="1"/>
  <c r="H1062" i="1"/>
  <c r="I1062" i="1"/>
  <c r="J1062" i="1"/>
  <c r="K1062" i="1"/>
  <c r="M1062" i="1"/>
  <c r="P1062" i="1"/>
  <c r="R1062" i="1"/>
  <c r="S1062" i="1"/>
  <c r="T1062" i="1"/>
  <c r="U1062" i="1"/>
  <c r="X1062" i="1"/>
  <c r="Y1062" i="1"/>
  <c r="Z1062" i="1"/>
  <c r="AA1062" i="1"/>
  <c r="AB1062" i="1"/>
  <c r="AC1062" i="1"/>
  <c r="AD1062" i="1"/>
  <c r="AE1062" i="1"/>
  <c r="AF1062" i="1"/>
  <c r="AG1062" i="1"/>
  <c r="AH1062" i="1"/>
  <c r="AI1062" i="1"/>
  <c r="AJ1062" i="1"/>
  <c r="AK1062" i="1"/>
  <c r="C1063" i="1"/>
  <c r="H1063" i="1"/>
  <c r="I1063" i="1"/>
  <c r="J1063" i="1"/>
  <c r="K1063" i="1"/>
  <c r="M1063" i="1"/>
  <c r="P1063" i="1"/>
  <c r="R1063" i="1"/>
  <c r="S1063" i="1"/>
  <c r="T1063" i="1"/>
  <c r="U1063" i="1"/>
  <c r="X1063" i="1"/>
  <c r="Y1063" i="1"/>
  <c r="Z1063" i="1"/>
  <c r="AA1063" i="1"/>
  <c r="AB1063" i="1"/>
  <c r="AC1063" i="1"/>
  <c r="AD1063" i="1"/>
  <c r="AE1063" i="1"/>
  <c r="AF1063" i="1"/>
  <c r="AG1063" i="1"/>
  <c r="AH1063" i="1"/>
  <c r="AI1063" i="1"/>
  <c r="AJ1063" i="1"/>
  <c r="AK1063" i="1"/>
  <c r="C1064" i="1"/>
  <c r="H1064" i="1"/>
  <c r="I1064" i="1"/>
  <c r="J1064" i="1"/>
  <c r="K1064" i="1"/>
  <c r="M1064" i="1"/>
  <c r="P1064" i="1"/>
  <c r="R1064" i="1"/>
  <c r="S1064" i="1"/>
  <c r="T1064" i="1"/>
  <c r="U1064" i="1"/>
  <c r="X1064" i="1"/>
  <c r="Y1064" i="1"/>
  <c r="Z1064" i="1"/>
  <c r="AA1064" i="1"/>
  <c r="AB1064" i="1"/>
  <c r="AC1064" i="1"/>
  <c r="AD1064" i="1"/>
  <c r="AE1064" i="1"/>
  <c r="AF1064" i="1"/>
  <c r="AG1064" i="1"/>
  <c r="AH1064" i="1"/>
  <c r="AI1064" i="1"/>
  <c r="AJ1064" i="1"/>
  <c r="AK1064" i="1"/>
  <c r="C1065" i="1"/>
  <c r="H1065" i="1"/>
  <c r="I1065" i="1"/>
  <c r="J1065" i="1"/>
  <c r="K1065" i="1"/>
  <c r="M1065" i="1"/>
  <c r="P1065" i="1"/>
  <c r="R1065" i="1"/>
  <c r="S1065" i="1"/>
  <c r="T1065" i="1"/>
  <c r="U1065" i="1"/>
  <c r="X1065" i="1"/>
  <c r="Y1065" i="1"/>
  <c r="Z1065" i="1"/>
  <c r="AA1065" i="1"/>
  <c r="AB1065" i="1"/>
  <c r="AC1065" i="1"/>
  <c r="AD1065" i="1"/>
  <c r="AE1065" i="1"/>
  <c r="AF1065" i="1"/>
  <c r="AG1065" i="1"/>
  <c r="AH1065" i="1"/>
  <c r="AI1065" i="1"/>
  <c r="AJ1065" i="1"/>
  <c r="AK1065" i="1"/>
  <c r="C1066" i="1"/>
  <c r="H1066" i="1"/>
  <c r="I1066" i="1"/>
  <c r="J1066" i="1"/>
  <c r="K1066" i="1"/>
  <c r="M1066" i="1"/>
  <c r="P1066" i="1"/>
  <c r="R1066" i="1"/>
  <c r="S1066" i="1"/>
  <c r="T1066" i="1"/>
  <c r="U1066" i="1"/>
  <c r="X1066" i="1"/>
  <c r="Y1066" i="1"/>
  <c r="Z1066" i="1"/>
  <c r="AA1066" i="1"/>
  <c r="AB1066" i="1"/>
  <c r="AC1066" i="1"/>
  <c r="AD1066" i="1"/>
  <c r="AE1066" i="1"/>
  <c r="AF1066" i="1"/>
  <c r="AG1066" i="1"/>
  <c r="AH1066" i="1"/>
  <c r="AI1066" i="1"/>
  <c r="AJ1066" i="1"/>
  <c r="AK1066" i="1"/>
  <c r="C1067" i="1"/>
  <c r="H1067" i="1"/>
  <c r="I1067" i="1"/>
  <c r="J1067" i="1"/>
  <c r="K1067" i="1"/>
  <c r="M1067" i="1"/>
  <c r="P1067" i="1"/>
  <c r="R1067" i="1"/>
  <c r="S1067" i="1"/>
  <c r="T1067" i="1"/>
  <c r="U1067" i="1"/>
  <c r="X1067" i="1"/>
  <c r="Y1067" i="1"/>
  <c r="Z1067" i="1"/>
  <c r="AA1067" i="1"/>
  <c r="AB1067" i="1"/>
  <c r="AC1067" i="1"/>
  <c r="AD1067" i="1"/>
  <c r="AE1067" i="1"/>
  <c r="AF1067" i="1"/>
  <c r="AG1067" i="1"/>
  <c r="AH1067" i="1"/>
  <c r="AI1067" i="1"/>
  <c r="AJ1067" i="1"/>
  <c r="AK1067" i="1"/>
  <c r="C1068" i="1"/>
  <c r="H1068" i="1"/>
  <c r="I1068" i="1"/>
  <c r="J1068" i="1"/>
  <c r="K1068" i="1"/>
  <c r="M1068" i="1"/>
  <c r="P1068" i="1"/>
  <c r="R1068" i="1"/>
  <c r="S1068" i="1"/>
  <c r="T1068" i="1"/>
  <c r="U1068" i="1"/>
  <c r="X1068" i="1"/>
  <c r="Y1068" i="1"/>
  <c r="Z1068" i="1"/>
  <c r="AA1068" i="1"/>
  <c r="AB1068" i="1"/>
  <c r="AC1068" i="1"/>
  <c r="AD1068" i="1"/>
  <c r="AE1068" i="1"/>
  <c r="AF1068" i="1"/>
  <c r="AG1068" i="1"/>
  <c r="AH1068" i="1"/>
  <c r="AI1068" i="1"/>
  <c r="AJ1068" i="1"/>
  <c r="AK1068" i="1"/>
  <c r="C1069" i="1"/>
  <c r="H1069" i="1"/>
  <c r="I1069" i="1"/>
  <c r="J1069" i="1"/>
  <c r="K1069" i="1"/>
  <c r="M1069" i="1"/>
  <c r="P1069" i="1"/>
  <c r="R1069" i="1"/>
  <c r="S1069" i="1"/>
  <c r="T1069" i="1"/>
  <c r="U1069" i="1"/>
  <c r="X1069" i="1"/>
  <c r="Y1069" i="1"/>
  <c r="Z1069" i="1"/>
  <c r="AA1069" i="1"/>
  <c r="AB1069" i="1"/>
  <c r="AC1069" i="1"/>
  <c r="AD1069" i="1"/>
  <c r="AE1069" i="1"/>
  <c r="AF1069" i="1"/>
  <c r="AG1069" i="1"/>
  <c r="AH1069" i="1"/>
  <c r="AI1069" i="1"/>
  <c r="AJ1069" i="1"/>
  <c r="AK1069" i="1"/>
  <c r="C1070" i="1"/>
  <c r="H1070" i="1"/>
  <c r="I1070" i="1"/>
  <c r="J1070" i="1"/>
  <c r="K1070" i="1"/>
  <c r="M1070" i="1"/>
  <c r="P1070" i="1"/>
  <c r="R1070" i="1"/>
  <c r="S1070" i="1"/>
  <c r="T1070" i="1"/>
  <c r="U1070" i="1"/>
  <c r="X1070" i="1"/>
  <c r="Y1070" i="1"/>
  <c r="Z1070" i="1"/>
  <c r="AA1070" i="1"/>
  <c r="AB1070" i="1"/>
  <c r="AC1070" i="1"/>
  <c r="AD1070" i="1"/>
  <c r="AE1070" i="1"/>
  <c r="AF1070" i="1"/>
  <c r="AG1070" i="1"/>
  <c r="AH1070" i="1"/>
  <c r="AI1070" i="1"/>
  <c r="AJ1070" i="1"/>
  <c r="AK1070" i="1"/>
  <c r="C1071" i="1"/>
  <c r="H1071" i="1"/>
  <c r="I1071" i="1"/>
  <c r="J1071" i="1"/>
  <c r="K1071" i="1"/>
  <c r="M1071" i="1"/>
  <c r="P1071" i="1"/>
  <c r="R1071" i="1"/>
  <c r="S1071" i="1"/>
  <c r="T1071" i="1"/>
  <c r="U1071" i="1"/>
  <c r="X1071" i="1"/>
  <c r="Y1071" i="1"/>
  <c r="Z1071" i="1"/>
  <c r="AA1071" i="1"/>
  <c r="AB1071" i="1"/>
  <c r="AC1071" i="1"/>
  <c r="AD1071" i="1"/>
  <c r="AE1071" i="1"/>
  <c r="AF1071" i="1"/>
  <c r="AG1071" i="1"/>
  <c r="AH1071" i="1"/>
  <c r="AI1071" i="1"/>
  <c r="AJ1071" i="1"/>
  <c r="AK1071" i="1"/>
  <c r="C1052" i="1"/>
  <c r="H1052" i="1"/>
  <c r="I1052" i="1"/>
  <c r="J1052" i="1"/>
  <c r="K1052" i="1"/>
  <c r="M1052" i="1"/>
  <c r="P1052" i="1"/>
  <c r="R1052" i="1"/>
  <c r="S1052" i="1"/>
  <c r="T1052" i="1"/>
  <c r="U1052" i="1"/>
  <c r="X1052" i="1"/>
  <c r="Y1052" i="1"/>
  <c r="Z1052" i="1"/>
  <c r="AA1052" i="1"/>
  <c r="AB1052" i="1"/>
  <c r="AC1052" i="1"/>
  <c r="AD1052" i="1"/>
  <c r="AE1052" i="1"/>
  <c r="AF1052" i="1"/>
  <c r="AG1052" i="1"/>
  <c r="AH1052" i="1"/>
  <c r="AI1052" i="1"/>
  <c r="AJ1052" i="1"/>
  <c r="AK1052" i="1"/>
  <c r="C1053" i="1"/>
  <c r="H1053" i="1"/>
  <c r="I1053" i="1"/>
  <c r="J1053" i="1"/>
  <c r="K1053" i="1"/>
  <c r="M1053" i="1"/>
  <c r="P1053" i="1"/>
  <c r="R1053" i="1"/>
  <c r="S1053" i="1"/>
  <c r="T1053" i="1"/>
  <c r="U1053" i="1"/>
  <c r="X1053" i="1"/>
  <c r="Y1053" i="1"/>
  <c r="Z1053" i="1"/>
  <c r="AA1053" i="1"/>
  <c r="AB1053" i="1"/>
  <c r="AC1053" i="1"/>
  <c r="AD1053" i="1"/>
  <c r="AE1053" i="1"/>
  <c r="AF1053" i="1"/>
  <c r="AG1053" i="1"/>
  <c r="AH1053" i="1"/>
  <c r="AI1053" i="1"/>
  <c r="AJ1053" i="1"/>
  <c r="AK1053" i="1"/>
  <c r="C1054" i="1"/>
  <c r="H1054" i="1"/>
  <c r="I1054" i="1"/>
  <c r="J1054" i="1"/>
  <c r="K1054" i="1"/>
  <c r="M1054" i="1"/>
  <c r="P1054" i="1"/>
  <c r="R1054" i="1"/>
  <c r="S1054" i="1"/>
  <c r="T1054" i="1"/>
  <c r="U1054" i="1"/>
  <c r="X1054" i="1"/>
  <c r="Y1054" i="1"/>
  <c r="Z1054" i="1"/>
  <c r="AA1054" i="1"/>
  <c r="AB1054" i="1"/>
  <c r="AC1054" i="1"/>
  <c r="AD1054" i="1"/>
  <c r="AE1054" i="1"/>
  <c r="AF1054" i="1"/>
  <c r="AG1054" i="1"/>
  <c r="AH1054" i="1"/>
  <c r="AI1054" i="1"/>
  <c r="AJ1054" i="1"/>
  <c r="AK1054" i="1"/>
  <c r="C1055" i="1"/>
  <c r="H1055" i="1"/>
  <c r="I1055" i="1"/>
  <c r="J1055" i="1"/>
  <c r="K1055" i="1"/>
  <c r="M1055" i="1"/>
  <c r="P1055" i="1"/>
  <c r="R1055" i="1"/>
  <c r="S1055" i="1"/>
  <c r="T1055" i="1"/>
  <c r="U1055" i="1"/>
  <c r="X1055" i="1"/>
  <c r="Y1055" i="1"/>
  <c r="Z1055" i="1"/>
  <c r="AA1055" i="1"/>
  <c r="AB1055" i="1"/>
  <c r="AC1055" i="1"/>
  <c r="AD1055" i="1"/>
  <c r="AE1055" i="1"/>
  <c r="AF1055" i="1"/>
  <c r="AG1055" i="1"/>
  <c r="AH1055" i="1"/>
  <c r="AI1055" i="1"/>
  <c r="AJ1055" i="1"/>
  <c r="AK1055" i="1"/>
  <c r="C1056" i="1"/>
  <c r="H1056" i="1"/>
  <c r="I1056" i="1"/>
  <c r="J1056" i="1"/>
  <c r="K1056" i="1"/>
  <c r="M1056" i="1"/>
  <c r="P1056" i="1"/>
  <c r="R1056" i="1"/>
  <c r="S1056" i="1"/>
  <c r="T1056" i="1"/>
  <c r="U1056" i="1"/>
  <c r="X1056" i="1"/>
  <c r="Y1056" i="1"/>
  <c r="Z1056" i="1"/>
  <c r="AA1056" i="1"/>
  <c r="AB1056" i="1"/>
  <c r="AC1056" i="1"/>
  <c r="AD1056" i="1"/>
  <c r="AE1056" i="1"/>
  <c r="AF1056" i="1"/>
  <c r="AG1056" i="1"/>
  <c r="AH1056" i="1"/>
  <c r="AI1056" i="1"/>
  <c r="AJ1056" i="1"/>
  <c r="AK1056" i="1"/>
  <c r="C1057" i="1"/>
  <c r="H1057" i="1"/>
  <c r="I1057" i="1"/>
  <c r="J1057" i="1"/>
  <c r="K1057" i="1"/>
  <c r="M1057" i="1"/>
  <c r="P1057" i="1"/>
  <c r="R1057" i="1"/>
  <c r="S1057" i="1"/>
  <c r="T1057" i="1"/>
  <c r="U1057" i="1"/>
  <c r="X1057" i="1"/>
  <c r="Y1057" i="1"/>
  <c r="Z1057" i="1"/>
  <c r="AA1057" i="1"/>
  <c r="AB1057" i="1"/>
  <c r="AC1057" i="1"/>
  <c r="AD1057" i="1"/>
  <c r="AE1057" i="1"/>
  <c r="AF1057" i="1"/>
  <c r="AG1057" i="1"/>
  <c r="AH1057" i="1"/>
  <c r="AI1057" i="1"/>
  <c r="AJ1057" i="1"/>
  <c r="AK1057" i="1"/>
  <c r="C1058" i="1"/>
  <c r="H1058" i="1"/>
  <c r="I1058" i="1"/>
  <c r="J1058" i="1"/>
  <c r="K1058" i="1"/>
  <c r="M1058" i="1"/>
  <c r="P1058" i="1"/>
  <c r="R1058" i="1"/>
  <c r="S1058" i="1"/>
  <c r="T1058" i="1"/>
  <c r="U1058" i="1"/>
  <c r="X1058" i="1"/>
  <c r="Y1058" i="1"/>
  <c r="Z1058" i="1"/>
  <c r="AA1058" i="1"/>
  <c r="AB1058" i="1"/>
  <c r="AC1058" i="1"/>
  <c r="AD1058" i="1"/>
  <c r="AE1058" i="1"/>
  <c r="AF1058" i="1"/>
  <c r="AG1058" i="1"/>
  <c r="AH1058" i="1"/>
  <c r="AI1058" i="1"/>
  <c r="AJ1058" i="1"/>
  <c r="AK1058" i="1"/>
  <c r="C1059" i="1"/>
  <c r="H1059" i="1"/>
  <c r="I1059" i="1"/>
  <c r="J1059" i="1"/>
  <c r="K1059" i="1"/>
  <c r="M1059" i="1"/>
  <c r="P1059" i="1"/>
  <c r="R1059" i="1"/>
  <c r="S1059" i="1"/>
  <c r="T1059" i="1"/>
  <c r="U1059" i="1"/>
  <c r="X1059" i="1"/>
  <c r="Y1059" i="1"/>
  <c r="Z1059" i="1"/>
  <c r="AA1059" i="1"/>
  <c r="AB1059" i="1"/>
  <c r="AC1059" i="1"/>
  <c r="AD1059" i="1"/>
  <c r="AE1059" i="1"/>
  <c r="AF1059" i="1"/>
  <c r="AG1059" i="1"/>
  <c r="AH1059" i="1"/>
  <c r="AI1059" i="1"/>
  <c r="AJ1059" i="1"/>
  <c r="AK1059" i="1"/>
  <c r="C1060" i="1"/>
  <c r="H1060" i="1"/>
  <c r="I1060" i="1"/>
  <c r="J1060" i="1"/>
  <c r="K1060" i="1"/>
  <c r="M1060" i="1"/>
  <c r="P1060" i="1"/>
  <c r="R1060" i="1"/>
  <c r="S1060" i="1"/>
  <c r="T1060" i="1"/>
  <c r="U1060" i="1"/>
  <c r="X1060" i="1"/>
  <c r="Y1060" i="1"/>
  <c r="Z1060" i="1"/>
  <c r="AA1060" i="1"/>
  <c r="AB1060" i="1"/>
  <c r="AC1060" i="1"/>
  <c r="AD1060" i="1"/>
  <c r="AE1060" i="1"/>
  <c r="AF1060" i="1"/>
  <c r="AG1060" i="1"/>
  <c r="AH1060" i="1"/>
  <c r="AI1060" i="1"/>
  <c r="AJ1060" i="1"/>
  <c r="AK1060" i="1"/>
  <c r="C1061" i="1"/>
  <c r="H1061" i="1"/>
  <c r="I1061" i="1"/>
  <c r="J1061" i="1"/>
  <c r="K1061" i="1"/>
  <c r="M1061" i="1"/>
  <c r="P1061" i="1"/>
  <c r="R1061" i="1"/>
  <c r="S1061" i="1"/>
  <c r="T1061" i="1"/>
  <c r="U1061" i="1"/>
  <c r="X1061" i="1"/>
  <c r="Y1061" i="1"/>
  <c r="Z1061" i="1"/>
  <c r="AA1061" i="1"/>
  <c r="AB1061" i="1"/>
  <c r="AC1061" i="1"/>
  <c r="AD1061" i="1"/>
  <c r="AE1061" i="1"/>
  <c r="AF1061" i="1"/>
  <c r="AG1061" i="1"/>
  <c r="AH1061" i="1"/>
  <c r="AI1061" i="1"/>
  <c r="AJ1061" i="1"/>
  <c r="AK1061" i="1"/>
  <c r="C1042" i="1"/>
  <c r="H1042" i="1"/>
  <c r="I1042" i="1"/>
  <c r="J1042" i="1"/>
  <c r="K1042" i="1"/>
  <c r="M1042" i="1"/>
  <c r="P1042" i="1"/>
  <c r="R1042" i="1"/>
  <c r="S1042" i="1"/>
  <c r="T1042" i="1"/>
  <c r="U1042" i="1"/>
  <c r="X1042" i="1"/>
  <c r="Y1042" i="1"/>
  <c r="Z1042" i="1"/>
  <c r="AA1042" i="1"/>
  <c r="AB1042" i="1"/>
  <c r="AC1042" i="1"/>
  <c r="AD1042" i="1"/>
  <c r="AE1042" i="1"/>
  <c r="AF1042" i="1"/>
  <c r="AG1042" i="1"/>
  <c r="AH1042" i="1"/>
  <c r="AI1042" i="1"/>
  <c r="AJ1042" i="1"/>
  <c r="AK1042" i="1"/>
  <c r="C1043" i="1"/>
  <c r="H1043" i="1"/>
  <c r="I1043" i="1"/>
  <c r="J1043" i="1"/>
  <c r="K1043" i="1"/>
  <c r="M1043" i="1"/>
  <c r="P1043" i="1"/>
  <c r="R1043" i="1"/>
  <c r="S1043" i="1"/>
  <c r="T1043" i="1"/>
  <c r="U1043" i="1"/>
  <c r="X1043" i="1"/>
  <c r="Y1043" i="1"/>
  <c r="Z1043" i="1"/>
  <c r="AA1043" i="1"/>
  <c r="AB1043" i="1"/>
  <c r="AC1043" i="1"/>
  <c r="AD1043" i="1"/>
  <c r="AE1043" i="1"/>
  <c r="AF1043" i="1"/>
  <c r="AG1043" i="1"/>
  <c r="AH1043" i="1"/>
  <c r="AI1043" i="1"/>
  <c r="AJ1043" i="1"/>
  <c r="AK1043" i="1"/>
  <c r="C1044" i="1"/>
  <c r="H1044" i="1"/>
  <c r="I1044" i="1"/>
  <c r="J1044" i="1"/>
  <c r="K1044" i="1"/>
  <c r="M1044" i="1"/>
  <c r="P1044" i="1"/>
  <c r="R1044" i="1"/>
  <c r="S1044" i="1"/>
  <c r="T1044" i="1"/>
  <c r="U1044" i="1"/>
  <c r="X1044" i="1"/>
  <c r="Y1044" i="1"/>
  <c r="Z1044" i="1"/>
  <c r="AA1044" i="1"/>
  <c r="AB1044" i="1"/>
  <c r="AC1044" i="1"/>
  <c r="AD1044" i="1"/>
  <c r="AE1044" i="1"/>
  <c r="AF1044" i="1"/>
  <c r="AG1044" i="1"/>
  <c r="AH1044" i="1"/>
  <c r="AI1044" i="1"/>
  <c r="AJ1044" i="1"/>
  <c r="AK1044" i="1"/>
  <c r="C1045" i="1"/>
  <c r="H1045" i="1"/>
  <c r="I1045" i="1"/>
  <c r="J1045" i="1"/>
  <c r="K1045" i="1"/>
  <c r="M1045" i="1"/>
  <c r="P1045" i="1"/>
  <c r="R1045" i="1"/>
  <c r="S1045" i="1"/>
  <c r="T1045" i="1"/>
  <c r="U1045" i="1"/>
  <c r="X1045" i="1"/>
  <c r="Y1045" i="1"/>
  <c r="Z1045" i="1"/>
  <c r="AA1045" i="1"/>
  <c r="AB1045" i="1"/>
  <c r="AC1045" i="1"/>
  <c r="AD1045" i="1"/>
  <c r="AE1045" i="1"/>
  <c r="AF1045" i="1"/>
  <c r="AG1045" i="1"/>
  <c r="AH1045" i="1"/>
  <c r="AI1045" i="1"/>
  <c r="AJ1045" i="1"/>
  <c r="AK1045" i="1"/>
  <c r="C1046" i="1"/>
  <c r="H1046" i="1"/>
  <c r="I1046" i="1"/>
  <c r="J1046" i="1"/>
  <c r="K1046" i="1"/>
  <c r="M1046" i="1"/>
  <c r="P1046" i="1"/>
  <c r="R1046" i="1"/>
  <c r="S1046" i="1"/>
  <c r="T1046" i="1"/>
  <c r="U1046" i="1"/>
  <c r="X1046" i="1"/>
  <c r="Y1046" i="1"/>
  <c r="Z1046" i="1"/>
  <c r="AA1046" i="1"/>
  <c r="AB1046" i="1"/>
  <c r="AC1046" i="1"/>
  <c r="AD1046" i="1"/>
  <c r="AE1046" i="1"/>
  <c r="AF1046" i="1"/>
  <c r="AG1046" i="1"/>
  <c r="AH1046" i="1"/>
  <c r="AI1046" i="1"/>
  <c r="AJ1046" i="1"/>
  <c r="AK1046" i="1"/>
  <c r="C1047" i="1"/>
  <c r="H1047" i="1"/>
  <c r="I1047" i="1"/>
  <c r="J1047" i="1"/>
  <c r="K1047" i="1"/>
  <c r="M1047" i="1"/>
  <c r="P1047" i="1"/>
  <c r="R1047" i="1"/>
  <c r="S1047" i="1"/>
  <c r="T1047" i="1"/>
  <c r="U1047" i="1"/>
  <c r="X1047" i="1"/>
  <c r="Y1047" i="1"/>
  <c r="Z1047" i="1"/>
  <c r="AA1047" i="1"/>
  <c r="AB1047" i="1"/>
  <c r="AC1047" i="1"/>
  <c r="AD1047" i="1"/>
  <c r="AE1047" i="1"/>
  <c r="AF1047" i="1"/>
  <c r="AG1047" i="1"/>
  <c r="AH1047" i="1"/>
  <c r="AI1047" i="1"/>
  <c r="AJ1047" i="1"/>
  <c r="AK1047" i="1"/>
  <c r="C1048" i="1"/>
  <c r="H1048" i="1"/>
  <c r="I1048" i="1"/>
  <c r="J1048" i="1"/>
  <c r="K1048" i="1"/>
  <c r="M1048" i="1"/>
  <c r="P1048" i="1"/>
  <c r="R1048" i="1"/>
  <c r="S1048" i="1"/>
  <c r="T1048" i="1"/>
  <c r="U1048" i="1"/>
  <c r="X1048" i="1"/>
  <c r="Y1048" i="1"/>
  <c r="Z1048" i="1"/>
  <c r="AA1048" i="1"/>
  <c r="AB1048" i="1"/>
  <c r="AC1048" i="1"/>
  <c r="AD1048" i="1"/>
  <c r="AE1048" i="1"/>
  <c r="AF1048" i="1"/>
  <c r="AG1048" i="1"/>
  <c r="AH1048" i="1"/>
  <c r="AI1048" i="1"/>
  <c r="AJ1048" i="1"/>
  <c r="AK1048" i="1"/>
  <c r="C1049" i="1"/>
  <c r="H1049" i="1"/>
  <c r="I1049" i="1"/>
  <c r="J1049" i="1"/>
  <c r="K1049" i="1"/>
  <c r="M1049" i="1"/>
  <c r="P1049" i="1"/>
  <c r="R1049" i="1"/>
  <c r="S1049" i="1"/>
  <c r="T1049" i="1"/>
  <c r="U1049" i="1"/>
  <c r="X1049" i="1"/>
  <c r="Y1049" i="1"/>
  <c r="Z1049" i="1"/>
  <c r="AA1049" i="1"/>
  <c r="AB1049" i="1"/>
  <c r="AC1049" i="1"/>
  <c r="AD1049" i="1"/>
  <c r="AE1049" i="1"/>
  <c r="AF1049" i="1"/>
  <c r="AG1049" i="1"/>
  <c r="AH1049" i="1"/>
  <c r="AI1049" i="1"/>
  <c r="AJ1049" i="1"/>
  <c r="AK1049" i="1"/>
  <c r="C1050" i="1"/>
  <c r="H1050" i="1"/>
  <c r="I1050" i="1"/>
  <c r="J1050" i="1"/>
  <c r="K1050" i="1"/>
  <c r="M1050" i="1"/>
  <c r="P1050" i="1"/>
  <c r="R1050" i="1"/>
  <c r="S1050" i="1"/>
  <c r="T1050" i="1"/>
  <c r="U1050" i="1"/>
  <c r="X1050" i="1"/>
  <c r="Y1050" i="1"/>
  <c r="Z1050" i="1"/>
  <c r="AA1050" i="1"/>
  <c r="AB1050" i="1"/>
  <c r="AC1050" i="1"/>
  <c r="AD1050" i="1"/>
  <c r="AE1050" i="1"/>
  <c r="AF1050" i="1"/>
  <c r="AG1050" i="1"/>
  <c r="AH1050" i="1"/>
  <c r="AI1050" i="1"/>
  <c r="AJ1050" i="1"/>
  <c r="AK1050" i="1"/>
  <c r="C1051" i="1"/>
  <c r="H1051" i="1"/>
  <c r="I1051" i="1"/>
  <c r="J1051" i="1"/>
  <c r="K1051" i="1"/>
  <c r="M1051" i="1"/>
  <c r="P1051" i="1"/>
  <c r="R1051" i="1"/>
  <c r="S1051" i="1"/>
  <c r="T1051" i="1"/>
  <c r="U1051" i="1"/>
  <c r="X1051" i="1"/>
  <c r="Y1051" i="1"/>
  <c r="Z1051" i="1"/>
  <c r="AA1051" i="1"/>
  <c r="AB1051" i="1"/>
  <c r="AC1051" i="1"/>
  <c r="AD1051" i="1"/>
  <c r="AE1051" i="1"/>
  <c r="AF1051" i="1"/>
  <c r="AG1051" i="1"/>
  <c r="AH1051" i="1"/>
  <c r="AI1051" i="1"/>
  <c r="AJ1051" i="1"/>
  <c r="AK1051" i="1"/>
  <c r="C1032" i="1"/>
  <c r="H1032" i="1"/>
  <c r="I1032" i="1"/>
  <c r="J1032" i="1"/>
  <c r="K1032" i="1"/>
  <c r="M1032" i="1"/>
  <c r="P1032" i="1"/>
  <c r="R1032" i="1"/>
  <c r="S1032" i="1"/>
  <c r="T1032" i="1"/>
  <c r="U1032" i="1"/>
  <c r="X1032" i="1"/>
  <c r="Y1032" i="1"/>
  <c r="Z1032" i="1"/>
  <c r="AA1032" i="1"/>
  <c r="AB1032" i="1"/>
  <c r="AC1032" i="1"/>
  <c r="AD1032" i="1"/>
  <c r="AE1032" i="1"/>
  <c r="AF1032" i="1"/>
  <c r="AG1032" i="1"/>
  <c r="AH1032" i="1"/>
  <c r="AI1032" i="1"/>
  <c r="AJ1032" i="1"/>
  <c r="AK1032" i="1"/>
  <c r="C1033" i="1"/>
  <c r="H1033" i="1"/>
  <c r="I1033" i="1"/>
  <c r="J1033" i="1"/>
  <c r="K1033" i="1"/>
  <c r="M1033" i="1"/>
  <c r="P1033" i="1"/>
  <c r="R1033" i="1"/>
  <c r="S1033" i="1"/>
  <c r="T1033" i="1"/>
  <c r="U1033" i="1"/>
  <c r="X1033" i="1"/>
  <c r="Y1033" i="1"/>
  <c r="Z1033" i="1"/>
  <c r="AA1033" i="1"/>
  <c r="AB1033" i="1"/>
  <c r="AC1033" i="1"/>
  <c r="AD1033" i="1"/>
  <c r="AE1033" i="1"/>
  <c r="AF1033" i="1"/>
  <c r="AG1033" i="1"/>
  <c r="AH1033" i="1"/>
  <c r="AI1033" i="1"/>
  <c r="AJ1033" i="1"/>
  <c r="AK1033" i="1"/>
  <c r="C1034" i="1"/>
  <c r="H1034" i="1"/>
  <c r="I1034" i="1"/>
  <c r="J1034" i="1"/>
  <c r="K1034" i="1"/>
  <c r="M1034" i="1"/>
  <c r="P1034" i="1"/>
  <c r="R1034" i="1"/>
  <c r="S1034" i="1"/>
  <c r="T1034" i="1"/>
  <c r="U1034" i="1"/>
  <c r="X1034" i="1"/>
  <c r="Y1034" i="1"/>
  <c r="Z1034" i="1"/>
  <c r="AA1034" i="1"/>
  <c r="AB1034" i="1"/>
  <c r="AC1034" i="1"/>
  <c r="AD1034" i="1"/>
  <c r="AE1034" i="1"/>
  <c r="AF1034" i="1"/>
  <c r="AG1034" i="1"/>
  <c r="AH1034" i="1"/>
  <c r="AI1034" i="1"/>
  <c r="AJ1034" i="1"/>
  <c r="AK1034" i="1"/>
  <c r="C1035" i="1"/>
  <c r="H1035" i="1"/>
  <c r="I1035" i="1"/>
  <c r="J1035" i="1"/>
  <c r="K1035" i="1"/>
  <c r="M1035" i="1"/>
  <c r="P1035" i="1"/>
  <c r="R1035" i="1"/>
  <c r="S1035" i="1"/>
  <c r="T1035" i="1"/>
  <c r="U1035" i="1"/>
  <c r="X1035" i="1"/>
  <c r="Y1035" i="1"/>
  <c r="Z1035" i="1"/>
  <c r="AA1035" i="1"/>
  <c r="AB1035" i="1"/>
  <c r="AC1035" i="1"/>
  <c r="AD1035" i="1"/>
  <c r="AE1035" i="1"/>
  <c r="AF1035" i="1"/>
  <c r="AG1035" i="1"/>
  <c r="AH1035" i="1"/>
  <c r="AI1035" i="1"/>
  <c r="AJ1035" i="1"/>
  <c r="AK1035" i="1"/>
  <c r="C1036" i="1"/>
  <c r="H1036" i="1"/>
  <c r="I1036" i="1"/>
  <c r="J1036" i="1"/>
  <c r="K1036" i="1"/>
  <c r="M1036" i="1"/>
  <c r="P1036" i="1"/>
  <c r="R1036" i="1"/>
  <c r="S1036" i="1"/>
  <c r="T1036" i="1"/>
  <c r="U1036" i="1"/>
  <c r="X1036" i="1"/>
  <c r="Y1036" i="1"/>
  <c r="Z1036" i="1"/>
  <c r="AA1036" i="1"/>
  <c r="AB1036" i="1"/>
  <c r="AC1036" i="1"/>
  <c r="AD1036" i="1"/>
  <c r="AE1036" i="1"/>
  <c r="AF1036" i="1"/>
  <c r="AG1036" i="1"/>
  <c r="AH1036" i="1"/>
  <c r="AI1036" i="1"/>
  <c r="AJ1036" i="1"/>
  <c r="AK1036" i="1"/>
  <c r="C1037" i="1"/>
  <c r="H1037" i="1"/>
  <c r="I1037" i="1"/>
  <c r="J1037" i="1"/>
  <c r="K1037" i="1"/>
  <c r="M1037" i="1"/>
  <c r="P1037" i="1"/>
  <c r="R1037" i="1"/>
  <c r="S1037" i="1"/>
  <c r="T1037" i="1"/>
  <c r="U1037" i="1"/>
  <c r="X1037" i="1"/>
  <c r="Y1037" i="1"/>
  <c r="Z1037" i="1"/>
  <c r="AA1037" i="1"/>
  <c r="AB1037" i="1"/>
  <c r="AC1037" i="1"/>
  <c r="AD1037" i="1"/>
  <c r="AE1037" i="1"/>
  <c r="AF1037" i="1"/>
  <c r="AG1037" i="1"/>
  <c r="AH1037" i="1"/>
  <c r="AI1037" i="1"/>
  <c r="AJ1037" i="1"/>
  <c r="AK1037" i="1"/>
  <c r="C1038" i="1"/>
  <c r="H1038" i="1"/>
  <c r="I1038" i="1"/>
  <c r="J1038" i="1"/>
  <c r="K1038" i="1"/>
  <c r="M1038" i="1"/>
  <c r="P1038" i="1"/>
  <c r="R1038" i="1"/>
  <c r="S1038" i="1"/>
  <c r="T1038" i="1"/>
  <c r="U1038" i="1"/>
  <c r="X1038" i="1"/>
  <c r="Y1038" i="1"/>
  <c r="Z1038" i="1"/>
  <c r="AA1038" i="1"/>
  <c r="AB1038" i="1"/>
  <c r="AC1038" i="1"/>
  <c r="AD1038" i="1"/>
  <c r="AE1038" i="1"/>
  <c r="AF1038" i="1"/>
  <c r="AG1038" i="1"/>
  <c r="AH1038" i="1"/>
  <c r="AI1038" i="1"/>
  <c r="AJ1038" i="1"/>
  <c r="AK1038" i="1"/>
  <c r="C1039" i="1"/>
  <c r="H1039" i="1"/>
  <c r="I1039" i="1"/>
  <c r="J1039" i="1"/>
  <c r="K1039" i="1"/>
  <c r="M1039" i="1"/>
  <c r="P1039" i="1"/>
  <c r="R1039" i="1"/>
  <c r="S1039" i="1"/>
  <c r="T1039" i="1"/>
  <c r="U1039" i="1"/>
  <c r="X1039" i="1"/>
  <c r="Y1039" i="1"/>
  <c r="Z1039" i="1"/>
  <c r="AA1039" i="1"/>
  <c r="AB1039" i="1"/>
  <c r="AC1039" i="1"/>
  <c r="AD1039" i="1"/>
  <c r="AE1039" i="1"/>
  <c r="AF1039" i="1"/>
  <c r="AG1039" i="1"/>
  <c r="AH1039" i="1"/>
  <c r="AI1039" i="1"/>
  <c r="AJ1039" i="1"/>
  <c r="AK1039" i="1"/>
  <c r="C1040" i="1"/>
  <c r="H1040" i="1"/>
  <c r="I1040" i="1"/>
  <c r="J1040" i="1"/>
  <c r="K1040" i="1"/>
  <c r="M1040" i="1"/>
  <c r="P1040" i="1"/>
  <c r="R1040" i="1"/>
  <c r="S1040" i="1"/>
  <c r="T1040" i="1"/>
  <c r="U1040" i="1"/>
  <c r="X1040" i="1"/>
  <c r="Y1040" i="1"/>
  <c r="Z1040" i="1"/>
  <c r="AA1040" i="1"/>
  <c r="AB1040" i="1"/>
  <c r="AC1040" i="1"/>
  <c r="AD1040" i="1"/>
  <c r="AE1040" i="1"/>
  <c r="AF1040" i="1"/>
  <c r="AG1040" i="1"/>
  <c r="AH1040" i="1"/>
  <c r="AI1040" i="1"/>
  <c r="AJ1040" i="1"/>
  <c r="AK1040" i="1"/>
  <c r="C1041" i="1"/>
  <c r="H1041" i="1"/>
  <c r="I1041" i="1"/>
  <c r="J1041" i="1"/>
  <c r="K1041" i="1"/>
  <c r="M1041" i="1"/>
  <c r="P1041" i="1"/>
  <c r="R1041" i="1"/>
  <c r="S1041" i="1"/>
  <c r="T1041" i="1"/>
  <c r="U1041" i="1"/>
  <c r="X1041" i="1"/>
  <c r="Y1041" i="1"/>
  <c r="Z1041" i="1"/>
  <c r="AA1041" i="1"/>
  <c r="AB1041" i="1"/>
  <c r="AC1041" i="1"/>
  <c r="AD1041" i="1"/>
  <c r="AE1041" i="1"/>
  <c r="AF1041" i="1"/>
  <c r="AG1041" i="1"/>
  <c r="AH1041" i="1"/>
  <c r="AI1041" i="1"/>
  <c r="AJ1041" i="1"/>
  <c r="AK1041" i="1"/>
  <c r="C1022" i="1"/>
  <c r="H1022" i="1"/>
  <c r="I1022" i="1"/>
  <c r="J1022" i="1"/>
  <c r="K1022" i="1"/>
  <c r="M1022" i="1"/>
  <c r="P1022" i="1"/>
  <c r="R1022" i="1"/>
  <c r="S1022" i="1"/>
  <c r="T1022" i="1"/>
  <c r="U1022" i="1"/>
  <c r="X1022" i="1"/>
  <c r="Y1022" i="1"/>
  <c r="Z1022" i="1"/>
  <c r="AA1022" i="1"/>
  <c r="AB1022" i="1"/>
  <c r="AC1022" i="1"/>
  <c r="AD1022" i="1"/>
  <c r="AE1022" i="1"/>
  <c r="AF1022" i="1"/>
  <c r="AG1022" i="1"/>
  <c r="AH1022" i="1"/>
  <c r="AI1022" i="1"/>
  <c r="AJ1022" i="1"/>
  <c r="AK1022" i="1"/>
  <c r="C1023" i="1"/>
  <c r="H1023" i="1"/>
  <c r="I1023" i="1"/>
  <c r="J1023" i="1"/>
  <c r="K1023" i="1"/>
  <c r="M1023" i="1"/>
  <c r="P1023" i="1"/>
  <c r="R1023" i="1"/>
  <c r="S1023" i="1"/>
  <c r="T1023" i="1"/>
  <c r="U1023" i="1"/>
  <c r="X1023" i="1"/>
  <c r="Y1023" i="1"/>
  <c r="Z1023" i="1"/>
  <c r="AA1023" i="1"/>
  <c r="AB1023" i="1"/>
  <c r="AC1023" i="1"/>
  <c r="AD1023" i="1"/>
  <c r="AE1023" i="1"/>
  <c r="AF1023" i="1"/>
  <c r="AG1023" i="1"/>
  <c r="AH1023" i="1"/>
  <c r="AI1023" i="1"/>
  <c r="AJ1023" i="1"/>
  <c r="AK1023" i="1"/>
  <c r="C1024" i="1"/>
  <c r="H1024" i="1"/>
  <c r="I1024" i="1"/>
  <c r="J1024" i="1"/>
  <c r="K1024" i="1"/>
  <c r="M1024" i="1"/>
  <c r="P1024" i="1"/>
  <c r="R1024" i="1"/>
  <c r="S1024" i="1"/>
  <c r="T1024" i="1"/>
  <c r="U1024" i="1"/>
  <c r="X1024" i="1"/>
  <c r="Y1024" i="1"/>
  <c r="Z1024" i="1"/>
  <c r="AA1024" i="1"/>
  <c r="AB1024" i="1"/>
  <c r="AC1024" i="1"/>
  <c r="AD1024" i="1"/>
  <c r="AE1024" i="1"/>
  <c r="AF1024" i="1"/>
  <c r="AG1024" i="1"/>
  <c r="AH1024" i="1"/>
  <c r="AI1024" i="1"/>
  <c r="AJ1024" i="1"/>
  <c r="AK1024" i="1"/>
  <c r="C1025" i="1"/>
  <c r="H1025" i="1"/>
  <c r="I1025" i="1"/>
  <c r="J1025" i="1"/>
  <c r="K1025" i="1"/>
  <c r="M1025" i="1"/>
  <c r="P1025" i="1"/>
  <c r="R1025" i="1"/>
  <c r="S1025" i="1"/>
  <c r="T1025" i="1"/>
  <c r="U1025" i="1"/>
  <c r="X1025" i="1"/>
  <c r="Y1025" i="1"/>
  <c r="Z1025" i="1"/>
  <c r="AA1025" i="1"/>
  <c r="AB1025" i="1"/>
  <c r="AC1025" i="1"/>
  <c r="AD1025" i="1"/>
  <c r="AE1025" i="1"/>
  <c r="AF1025" i="1"/>
  <c r="AG1025" i="1"/>
  <c r="AH1025" i="1"/>
  <c r="AI1025" i="1"/>
  <c r="AJ1025" i="1"/>
  <c r="AK1025" i="1"/>
  <c r="C1026" i="1"/>
  <c r="H1026" i="1"/>
  <c r="I1026" i="1"/>
  <c r="J1026" i="1"/>
  <c r="K1026" i="1"/>
  <c r="M1026" i="1"/>
  <c r="P1026" i="1"/>
  <c r="R1026" i="1"/>
  <c r="S1026" i="1"/>
  <c r="T1026" i="1"/>
  <c r="U1026" i="1"/>
  <c r="X1026" i="1"/>
  <c r="Y1026" i="1"/>
  <c r="Z1026" i="1"/>
  <c r="AA1026" i="1"/>
  <c r="AB1026" i="1"/>
  <c r="AC1026" i="1"/>
  <c r="AD1026" i="1"/>
  <c r="AE1026" i="1"/>
  <c r="AF1026" i="1"/>
  <c r="AG1026" i="1"/>
  <c r="AH1026" i="1"/>
  <c r="AI1026" i="1"/>
  <c r="AJ1026" i="1"/>
  <c r="AK1026" i="1"/>
  <c r="C1027" i="1"/>
  <c r="H1027" i="1"/>
  <c r="I1027" i="1"/>
  <c r="J1027" i="1"/>
  <c r="K1027" i="1"/>
  <c r="M1027" i="1"/>
  <c r="P1027" i="1"/>
  <c r="R1027" i="1"/>
  <c r="S1027" i="1"/>
  <c r="T1027" i="1"/>
  <c r="U1027" i="1"/>
  <c r="X1027" i="1"/>
  <c r="Y1027" i="1"/>
  <c r="Z1027" i="1"/>
  <c r="AA1027" i="1"/>
  <c r="AB1027" i="1"/>
  <c r="AC1027" i="1"/>
  <c r="AD1027" i="1"/>
  <c r="AE1027" i="1"/>
  <c r="AF1027" i="1"/>
  <c r="AG1027" i="1"/>
  <c r="AH1027" i="1"/>
  <c r="AI1027" i="1"/>
  <c r="AJ1027" i="1"/>
  <c r="AK1027" i="1"/>
  <c r="C1028" i="1"/>
  <c r="H1028" i="1"/>
  <c r="I1028" i="1"/>
  <c r="J1028" i="1"/>
  <c r="K1028" i="1"/>
  <c r="M1028" i="1"/>
  <c r="P1028" i="1"/>
  <c r="R1028" i="1"/>
  <c r="S1028" i="1"/>
  <c r="T1028" i="1"/>
  <c r="U1028" i="1"/>
  <c r="X1028" i="1"/>
  <c r="Y1028" i="1"/>
  <c r="Z1028" i="1"/>
  <c r="AA1028" i="1"/>
  <c r="AB1028" i="1"/>
  <c r="AC1028" i="1"/>
  <c r="AD1028" i="1"/>
  <c r="AE1028" i="1"/>
  <c r="AF1028" i="1"/>
  <c r="AG1028" i="1"/>
  <c r="AH1028" i="1"/>
  <c r="AI1028" i="1"/>
  <c r="AJ1028" i="1"/>
  <c r="AK1028" i="1"/>
  <c r="C1029" i="1"/>
  <c r="H1029" i="1"/>
  <c r="I1029" i="1"/>
  <c r="J1029" i="1"/>
  <c r="K1029" i="1"/>
  <c r="M1029" i="1"/>
  <c r="P1029" i="1"/>
  <c r="R1029" i="1"/>
  <c r="S1029" i="1"/>
  <c r="T1029" i="1"/>
  <c r="U1029" i="1"/>
  <c r="X1029" i="1"/>
  <c r="Y1029" i="1"/>
  <c r="Z1029" i="1"/>
  <c r="AA1029" i="1"/>
  <c r="AB1029" i="1"/>
  <c r="AC1029" i="1"/>
  <c r="AD1029" i="1"/>
  <c r="AE1029" i="1"/>
  <c r="AF1029" i="1"/>
  <c r="AG1029" i="1"/>
  <c r="AH1029" i="1"/>
  <c r="AI1029" i="1"/>
  <c r="AJ1029" i="1"/>
  <c r="AK1029" i="1"/>
  <c r="C1030" i="1"/>
  <c r="H1030" i="1"/>
  <c r="I1030" i="1"/>
  <c r="J1030" i="1"/>
  <c r="K1030" i="1"/>
  <c r="M1030" i="1"/>
  <c r="P1030" i="1"/>
  <c r="R1030" i="1"/>
  <c r="S1030" i="1"/>
  <c r="T1030" i="1"/>
  <c r="U1030" i="1"/>
  <c r="X1030" i="1"/>
  <c r="Y1030" i="1"/>
  <c r="Z1030" i="1"/>
  <c r="AA1030" i="1"/>
  <c r="AB1030" i="1"/>
  <c r="AC1030" i="1"/>
  <c r="AD1030" i="1"/>
  <c r="AE1030" i="1"/>
  <c r="AF1030" i="1"/>
  <c r="AG1030" i="1"/>
  <c r="AH1030" i="1"/>
  <c r="AI1030" i="1"/>
  <c r="AJ1030" i="1"/>
  <c r="AK1030" i="1"/>
  <c r="C1031" i="1"/>
  <c r="H1031" i="1"/>
  <c r="I1031" i="1"/>
  <c r="J1031" i="1"/>
  <c r="K1031" i="1"/>
  <c r="M1031" i="1"/>
  <c r="P1031" i="1"/>
  <c r="R1031" i="1"/>
  <c r="S1031" i="1"/>
  <c r="T1031" i="1"/>
  <c r="U1031" i="1"/>
  <c r="X1031" i="1"/>
  <c r="Y1031" i="1"/>
  <c r="Z1031" i="1"/>
  <c r="AA1031" i="1"/>
  <c r="AB1031" i="1"/>
  <c r="AC1031" i="1"/>
  <c r="AD1031" i="1"/>
  <c r="AE1031" i="1"/>
  <c r="AF1031" i="1"/>
  <c r="AG1031" i="1"/>
  <c r="AH1031" i="1"/>
  <c r="AI1031" i="1"/>
  <c r="AJ1031" i="1"/>
  <c r="AK1031" i="1"/>
  <c r="C1012" i="1"/>
  <c r="H1012" i="1"/>
  <c r="I1012" i="1"/>
  <c r="J1012" i="1"/>
  <c r="K1012" i="1"/>
  <c r="M1012" i="1"/>
  <c r="P1012" i="1"/>
  <c r="R1012" i="1"/>
  <c r="S1012" i="1"/>
  <c r="T1012" i="1"/>
  <c r="U1012" i="1"/>
  <c r="X1012" i="1"/>
  <c r="Y1012" i="1"/>
  <c r="Z1012" i="1"/>
  <c r="AA1012" i="1"/>
  <c r="AB1012" i="1"/>
  <c r="AC1012" i="1"/>
  <c r="AD1012" i="1"/>
  <c r="AE1012" i="1"/>
  <c r="AF1012" i="1"/>
  <c r="AG1012" i="1"/>
  <c r="AH1012" i="1"/>
  <c r="AI1012" i="1"/>
  <c r="AJ1012" i="1"/>
  <c r="AK1012" i="1"/>
  <c r="C1013" i="1"/>
  <c r="H1013" i="1"/>
  <c r="I1013" i="1"/>
  <c r="J1013" i="1"/>
  <c r="K1013" i="1"/>
  <c r="M1013" i="1"/>
  <c r="P1013" i="1"/>
  <c r="R1013" i="1"/>
  <c r="S1013" i="1"/>
  <c r="T1013" i="1"/>
  <c r="U1013" i="1"/>
  <c r="X1013" i="1"/>
  <c r="Y1013" i="1"/>
  <c r="Z1013" i="1"/>
  <c r="AA1013" i="1"/>
  <c r="AB1013" i="1"/>
  <c r="AC1013" i="1"/>
  <c r="AD1013" i="1"/>
  <c r="AE1013" i="1"/>
  <c r="AF1013" i="1"/>
  <c r="AG1013" i="1"/>
  <c r="AH1013" i="1"/>
  <c r="AI1013" i="1"/>
  <c r="AJ1013" i="1"/>
  <c r="AK1013" i="1"/>
  <c r="C1014" i="1"/>
  <c r="H1014" i="1"/>
  <c r="I1014" i="1"/>
  <c r="J1014" i="1"/>
  <c r="K1014" i="1"/>
  <c r="M1014" i="1"/>
  <c r="P1014" i="1"/>
  <c r="R1014" i="1"/>
  <c r="S1014" i="1"/>
  <c r="T1014" i="1"/>
  <c r="U1014" i="1"/>
  <c r="X1014" i="1"/>
  <c r="Y1014" i="1"/>
  <c r="Z1014" i="1"/>
  <c r="AA1014" i="1"/>
  <c r="AB1014" i="1"/>
  <c r="AC1014" i="1"/>
  <c r="AD1014" i="1"/>
  <c r="AE1014" i="1"/>
  <c r="AF1014" i="1"/>
  <c r="AG1014" i="1"/>
  <c r="AH1014" i="1"/>
  <c r="AI1014" i="1"/>
  <c r="AJ1014" i="1"/>
  <c r="AK1014" i="1"/>
  <c r="C1015" i="1"/>
  <c r="H1015" i="1"/>
  <c r="I1015" i="1"/>
  <c r="J1015" i="1"/>
  <c r="K1015" i="1"/>
  <c r="M1015" i="1"/>
  <c r="P1015" i="1"/>
  <c r="R1015" i="1"/>
  <c r="S1015" i="1"/>
  <c r="T1015" i="1"/>
  <c r="U1015" i="1"/>
  <c r="X1015" i="1"/>
  <c r="Y1015" i="1"/>
  <c r="Z1015" i="1"/>
  <c r="AA1015" i="1"/>
  <c r="AB1015" i="1"/>
  <c r="AC1015" i="1"/>
  <c r="AD1015" i="1"/>
  <c r="AE1015" i="1"/>
  <c r="AF1015" i="1"/>
  <c r="AG1015" i="1"/>
  <c r="AH1015" i="1"/>
  <c r="AI1015" i="1"/>
  <c r="AJ1015" i="1"/>
  <c r="AK1015" i="1"/>
  <c r="C1016" i="1"/>
  <c r="H1016" i="1"/>
  <c r="I1016" i="1"/>
  <c r="J1016" i="1"/>
  <c r="K1016" i="1"/>
  <c r="M1016" i="1"/>
  <c r="P1016" i="1"/>
  <c r="R1016" i="1"/>
  <c r="S1016" i="1"/>
  <c r="T1016" i="1"/>
  <c r="U1016" i="1"/>
  <c r="X1016" i="1"/>
  <c r="Y1016" i="1"/>
  <c r="Z1016" i="1"/>
  <c r="AA1016" i="1"/>
  <c r="AB1016" i="1"/>
  <c r="AC1016" i="1"/>
  <c r="AD1016" i="1"/>
  <c r="AE1016" i="1"/>
  <c r="AF1016" i="1"/>
  <c r="AG1016" i="1"/>
  <c r="AH1016" i="1"/>
  <c r="AI1016" i="1"/>
  <c r="AJ1016" i="1"/>
  <c r="AK1016" i="1"/>
  <c r="C1017" i="1"/>
  <c r="H1017" i="1"/>
  <c r="I1017" i="1"/>
  <c r="J1017" i="1"/>
  <c r="K1017" i="1"/>
  <c r="M1017" i="1"/>
  <c r="P1017" i="1"/>
  <c r="R1017" i="1"/>
  <c r="S1017" i="1"/>
  <c r="T1017" i="1"/>
  <c r="U1017" i="1"/>
  <c r="X1017" i="1"/>
  <c r="Y1017" i="1"/>
  <c r="Z1017" i="1"/>
  <c r="AA1017" i="1"/>
  <c r="AB1017" i="1"/>
  <c r="AC1017" i="1"/>
  <c r="AD1017" i="1"/>
  <c r="AE1017" i="1"/>
  <c r="AF1017" i="1"/>
  <c r="AG1017" i="1"/>
  <c r="AH1017" i="1"/>
  <c r="AI1017" i="1"/>
  <c r="AJ1017" i="1"/>
  <c r="AK1017" i="1"/>
  <c r="C1018" i="1"/>
  <c r="H1018" i="1"/>
  <c r="I1018" i="1"/>
  <c r="J1018" i="1"/>
  <c r="K1018" i="1"/>
  <c r="M1018" i="1"/>
  <c r="P1018" i="1"/>
  <c r="R1018" i="1"/>
  <c r="S1018" i="1"/>
  <c r="T1018" i="1"/>
  <c r="U1018" i="1"/>
  <c r="X1018" i="1"/>
  <c r="Y1018" i="1"/>
  <c r="Z1018" i="1"/>
  <c r="AA1018" i="1"/>
  <c r="AB1018" i="1"/>
  <c r="AC1018" i="1"/>
  <c r="AD1018" i="1"/>
  <c r="AE1018" i="1"/>
  <c r="AF1018" i="1"/>
  <c r="AG1018" i="1"/>
  <c r="AH1018" i="1"/>
  <c r="AI1018" i="1"/>
  <c r="AJ1018" i="1"/>
  <c r="AK1018" i="1"/>
  <c r="C1019" i="1"/>
  <c r="H1019" i="1"/>
  <c r="I1019" i="1"/>
  <c r="J1019" i="1"/>
  <c r="K1019" i="1"/>
  <c r="M1019" i="1"/>
  <c r="P1019" i="1"/>
  <c r="R1019" i="1"/>
  <c r="S1019" i="1"/>
  <c r="T1019" i="1"/>
  <c r="U1019" i="1"/>
  <c r="X1019" i="1"/>
  <c r="Y1019" i="1"/>
  <c r="Z1019" i="1"/>
  <c r="AA1019" i="1"/>
  <c r="AB1019" i="1"/>
  <c r="AC1019" i="1"/>
  <c r="AD1019" i="1"/>
  <c r="AE1019" i="1"/>
  <c r="AF1019" i="1"/>
  <c r="AG1019" i="1"/>
  <c r="AH1019" i="1"/>
  <c r="AI1019" i="1"/>
  <c r="AJ1019" i="1"/>
  <c r="AK1019" i="1"/>
  <c r="C1020" i="1"/>
  <c r="H1020" i="1"/>
  <c r="I1020" i="1"/>
  <c r="J1020" i="1"/>
  <c r="K1020" i="1"/>
  <c r="M1020" i="1"/>
  <c r="P1020" i="1"/>
  <c r="R1020" i="1"/>
  <c r="S1020" i="1"/>
  <c r="T1020" i="1"/>
  <c r="U1020" i="1"/>
  <c r="X1020" i="1"/>
  <c r="Y1020" i="1"/>
  <c r="Z1020" i="1"/>
  <c r="AA1020" i="1"/>
  <c r="AB1020" i="1"/>
  <c r="AC1020" i="1"/>
  <c r="AD1020" i="1"/>
  <c r="AE1020" i="1"/>
  <c r="AF1020" i="1"/>
  <c r="AG1020" i="1"/>
  <c r="AH1020" i="1"/>
  <c r="AI1020" i="1"/>
  <c r="AJ1020" i="1"/>
  <c r="AK1020" i="1"/>
  <c r="C1021" i="1"/>
  <c r="H1021" i="1"/>
  <c r="I1021" i="1"/>
  <c r="J1021" i="1"/>
  <c r="K1021" i="1"/>
  <c r="M1021" i="1"/>
  <c r="P1021" i="1"/>
  <c r="R1021" i="1"/>
  <c r="S1021" i="1"/>
  <c r="T1021" i="1"/>
  <c r="U1021" i="1"/>
  <c r="X1021" i="1"/>
  <c r="Y1021" i="1"/>
  <c r="Z1021" i="1"/>
  <c r="AA1021" i="1"/>
  <c r="AB1021" i="1"/>
  <c r="AC1021" i="1"/>
  <c r="AD1021" i="1"/>
  <c r="AE1021" i="1"/>
  <c r="AF1021" i="1"/>
  <c r="AG1021" i="1"/>
  <c r="AH1021" i="1"/>
  <c r="AI1021" i="1"/>
  <c r="AJ1021" i="1"/>
  <c r="AK1021" i="1"/>
  <c r="C1002" i="1"/>
  <c r="H1002" i="1"/>
  <c r="I1002" i="1"/>
  <c r="J1002" i="1"/>
  <c r="K1002" i="1"/>
  <c r="M1002" i="1"/>
  <c r="P1002" i="1"/>
  <c r="R1002" i="1"/>
  <c r="S1002" i="1"/>
  <c r="T1002" i="1"/>
  <c r="U1002" i="1"/>
  <c r="X1002" i="1"/>
  <c r="Y1002" i="1"/>
  <c r="Z1002" i="1"/>
  <c r="AA1002" i="1"/>
  <c r="AB1002" i="1"/>
  <c r="AC1002" i="1"/>
  <c r="AD1002" i="1"/>
  <c r="AE1002" i="1"/>
  <c r="AF1002" i="1"/>
  <c r="AG1002" i="1"/>
  <c r="AH1002" i="1"/>
  <c r="AI1002" i="1"/>
  <c r="AJ1002" i="1"/>
  <c r="AK1002" i="1"/>
  <c r="C1003" i="1"/>
  <c r="H1003" i="1"/>
  <c r="I1003" i="1"/>
  <c r="J1003" i="1"/>
  <c r="K1003" i="1"/>
  <c r="M1003" i="1"/>
  <c r="P1003" i="1"/>
  <c r="R1003" i="1"/>
  <c r="S1003" i="1"/>
  <c r="T1003" i="1"/>
  <c r="U1003" i="1"/>
  <c r="X1003" i="1"/>
  <c r="Y1003" i="1"/>
  <c r="Z1003" i="1"/>
  <c r="AA1003" i="1"/>
  <c r="AB1003" i="1"/>
  <c r="AC1003" i="1"/>
  <c r="AD1003" i="1"/>
  <c r="AE1003" i="1"/>
  <c r="AF1003" i="1"/>
  <c r="AG1003" i="1"/>
  <c r="AH1003" i="1"/>
  <c r="AI1003" i="1"/>
  <c r="AJ1003" i="1"/>
  <c r="AK1003" i="1"/>
  <c r="C1004" i="1"/>
  <c r="H1004" i="1"/>
  <c r="I1004" i="1"/>
  <c r="J1004" i="1"/>
  <c r="K1004" i="1"/>
  <c r="M1004" i="1"/>
  <c r="P1004" i="1"/>
  <c r="R1004" i="1"/>
  <c r="S1004" i="1"/>
  <c r="T1004" i="1"/>
  <c r="U1004" i="1"/>
  <c r="X1004" i="1"/>
  <c r="Y1004" i="1"/>
  <c r="Z1004" i="1"/>
  <c r="AA1004" i="1"/>
  <c r="AB1004" i="1"/>
  <c r="AC1004" i="1"/>
  <c r="AD1004" i="1"/>
  <c r="AE1004" i="1"/>
  <c r="AF1004" i="1"/>
  <c r="AG1004" i="1"/>
  <c r="AH1004" i="1"/>
  <c r="AI1004" i="1"/>
  <c r="AJ1004" i="1"/>
  <c r="AK1004" i="1"/>
  <c r="C1005" i="1"/>
  <c r="H1005" i="1"/>
  <c r="I1005" i="1"/>
  <c r="J1005" i="1"/>
  <c r="K1005" i="1"/>
  <c r="M1005" i="1"/>
  <c r="P1005" i="1"/>
  <c r="R1005" i="1"/>
  <c r="S1005" i="1"/>
  <c r="T1005" i="1"/>
  <c r="U1005" i="1"/>
  <c r="X1005" i="1"/>
  <c r="Y1005" i="1"/>
  <c r="Z1005" i="1"/>
  <c r="AA1005" i="1"/>
  <c r="AB1005" i="1"/>
  <c r="AC1005" i="1"/>
  <c r="AD1005" i="1"/>
  <c r="AE1005" i="1"/>
  <c r="AF1005" i="1"/>
  <c r="AG1005" i="1"/>
  <c r="AH1005" i="1"/>
  <c r="AI1005" i="1"/>
  <c r="AJ1005" i="1"/>
  <c r="AK1005" i="1"/>
  <c r="C1006" i="1"/>
  <c r="H1006" i="1"/>
  <c r="I1006" i="1"/>
  <c r="J1006" i="1"/>
  <c r="K1006" i="1"/>
  <c r="M1006" i="1"/>
  <c r="P1006" i="1"/>
  <c r="R1006" i="1"/>
  <c r="S1006" i="1"/>
  <c r="T1006" i="1"/>
  <c r="U1006" i="1"/>
  <c r="X1006" i="1"/>
  <c r="Y1006" i="1"/>
  <c r="Z1006" i="1"/>
  <c r="AA1006" i="1"/>
  <c r="AB1006" i="1"/>
  <c r="AC1006" i="1"/>
  <c r="AD1006" i="1"/>
  <c r="AE1006" i="1"/>
  <c r="AF1006" i="1"/>
  <c r="AG1006" i="1"/>
  <c r="AH1006" i="1"/>
  <c r="AI1006" i="1"/>
  <c r="AJ1006" i="1"/>
  <c r="AK1006" i="1"/>
  <c r="C1007" i="1"/>
  <c r="H1007" i="1"/>
  <c r="I1007" i="1"/>
  <c r="J1007" i="1"/>
  <c r="K1007" i="1"/>
  <c r="M1007" i="1"/>
  <c r="P1007" i="1"/>
  <c r="R1007" i="1"/>
  <c r="S1007" i="1"/>
  <c r="T1007" i="1"/>
  <c r="U1007" i="1"/>
  <c r="X1007" i="1"/>
  <c r="Y1007" i="1"/>
  <c r="Z1007" i="1"/>
  <c r="AA1007" i="1"/>
  <c r="AB1007" i="1"/>
  <c r="AC1007" i="1"/>
  <c r="AD1007" i="1"/>
  <c r="AE1007" i="1"/>
  <c r="AF1007" i="1"/>
  <c r="AG1007" i="1"/>
  <c r="AH1007" i="1"/>
  <c r="AI1007" i="1"/>
  <c r="AJ1007" i="1"/>
  <c r="AK1007" i="1"/>
  <c r="C1008" i="1"/>
  <c r="H1008" i="1"/>
  <c r="I1008" i="1"/>
  <c r="J1008" i="1"/>
  <c r="K1008" i="1"/>
  <c r="M1008" i="1"/>
  <c r="P1008" i="1"/>
  <c r="R1008" i="1"/>
  <c r="S1008" i="1"/>
  <c r="T1008" i="1"/>
  <c r="U1008" i="1"/>
  <c r="X1008" i="1"/>
  <c r="Y1008" i="1"/>
  <c r="Z1008" i="1"/>
  <c r="AA1008" i="1"/>
  <c r="AB1008" i="1"/>
  <c r="AC1008" i="1"/>
  <c r="AD1008" i="1"/>
  <c r="AE1008" i="1"/>
  <c r="AF1008" i="1"/>
  <c r="AG1008" i="1"/>
  <c r="AH1008" i="1"/>
  <c r="AI1008" i="1"/>
  <c r="AJ1008" i="1"/>
  <c r="AK1008" i="1"/>
  <c r="C1009" i="1"/>
  <c r="H1009" i="1"/>
  <c r="I1009" i="1"/>
  <c r="J1009" i="1"/>
  <c r="K1009" i="1"/>
  <c r="M1009" i="1"/>
  <c r="P1009" i="1"/>
  <c r="R1009" i="1"/>
  <c r="S1009" i="1"/>
  <c r="T1009" i="1"/>
  <c r="U1009" i="1"/>
  <c r="X1009" i="1"/>
  <c r="Y1009" i="1"/>
  <c r="Z1009" i="1"/>
  <c r="AA1009" i="1"/>
  <c r="AB1009" i="1"/>
  <c r="AC1009" i="1"/>
  <c r="AD1009" i="1"/>
  <c r="AE1009" i="1"/>
  <c r="AF1009" i="1"/>
  <c r="AG1009" i="1"/>
  <c r="AH1009" i="1"/>
  <c r="AI1009" i="1"/>
  <c r="AJ1009" i="1"/>
  <c r="AK1009" i="1"/>
  <c r="C1010" i="1"/>
  <c r="H1010" i="1"/>
  <c r="I1010" i="1"/>
  <c r="J1010" i="1"/>
  <c r="K1010" i="1"/>
  <c r="M1010" i="1"/>
  <c r="P1010" i="1"/>
  <c r="R1010" i="1"/>
  <c r="S1010" i="1"/>
  <c r="T1010" i="1"/>
  <c r="U1010" i="1"/>
  <c r="X1010" i="1"/>
  <c r="Y1010" i="1"/>
  <c r="Z1010" i="1"/>
  <c r="AA1010" i="1"/>
  <c r="AB1010" i="1"/>
  <c r="AC1010" i="1"/>
  <c r="AD1010" i="1"/>
  <c r="AE1010" i="1"/>
  <c r="AF1010" i="1"/>
  <c r="AG1010" i="1"/>
  <c r="AH1010" i="1"/>
  <c r="AI1010" i="1"/>
  <c r="AJ1010" i="1"/>
  <c r="AK1010" i="1"/>
  <c r="C1011" i="1"/>
  <c r="H1011" i="1"/>
  <c r="I1011" i="1"/>
  <c r="J1011" i="1"/>
  <c r="K1011" i="1"/>
  <c r="M1011" i="1"/>
  <c r="P1011" i="1"/>
  <c r="R1011" i="1"/>
  <c r="S1011" i="1"/>
  <c r="T1011" i="1"/>
  <c r="U1011" i="1"/>
  <c r="X1011" i="1"/>
  <c r="Y1011" i="1"/>
  <c r="Z1011" i="1"/>
  <c r="AA1011" i="1"/>
  <c r="AB1011" i="1"/>
  <c r="AC1011" i="1"/>
  <c r="AD1011" i="1"/>
  <c r="AE1011" i="1"/>
  <c r="AF1011" i="1"/>
  <c r="AG1011" i="1"/>
  <c r="AH1011" i="1"/>
  <c r="AI1011" i="1"/>
  <c r="AJ1011" i="1"/>
  <c r="AK1011" i="1"/>
  <c r="C992" i="1"/>
  <c r="H992" i="1"/>
  <c r="I992" i="1"/>
  <c r="J992" i="1"/>
  <c r="K992" i="1"/>
  <c r="M992" i="1"/>
  <c r="P992" i="1"/>
  <c r="R992" i="1"/>
  <c r="S992" i="1"/>
  <c r="T992" i="1"/>
  <c r="U992" i="1"/>
  <c r="X992" i="1"/>
  <c r="Y992" i="1"/>
  <c r="Z992" i="1"/>
  <c r="AA992" i="1"/>
  <c r="AB992" i="1"/>
  <c r="AC992" i="1"/>
  <c r="AD992" i="1"/>
  <c r="AE992" i="1"/>
  <c r="AF992" i="1"/>
  <c r="AG992" i="1"/>
  <c r="AH992" i="1"/>
  <c r="AI992" i="1"/>
  <c r="AJ992" i="1"/>
  <c r="AK992" i="1"/>
  <c r="C993" i="1"/>
  <c r="H993" i="1"/>
  <c r="I993" i="1"/>
  <c r="J993" i="1"/>
  <c r="K993" i="1"/>
  <c r="M993" i="1"/>
  <c r="P993" i="1"/>
  <c r="R993" i="1"/>
  <c r="S993" i="1"/>
  <c r="T993" i="1"/>
  <c r="U993" i="1"/>
  <c r="X993" i="1"/>
  <c r="Y993" i="1"/>
  <c r="Z993" i="1"/>
  <c r="AA993" i="1"/>
  <c r="AB993" i="1"/>
  <c r="AC993" i="1"/>
  <c r="AD993" i="1"/>
  <c r="AE993" i="1"/>
  <c r="AF993" i="1"/>
  <c r="AG993" i="1"/>
  <c r="AH993" i="1"/>
  <c r="AI993" i="1"/>
  <c r="AJ993" i="1"/>
  <c r="AK993" i="1"/>
  <c r="C994" i="1"/>
  <c r="H994" i="1"/>
  <c r="I994" i="1"/>
  <c r="J994" i="1"/>
  <c r="K994" i="1"/>
  <c r="M994" i="1"/>
  <c r="P994" i="1"/>
  <c r="R994" i="1"/>
  <c r="S994" i="1"/>
  <c r="T994" i="1"/>
  <c r="U994" i="1"/>
  <c r="X994" i="1"/>
  <c r="Y994" i="1"/>
  <c r="Z994" i="1"/>
  <c r="AA994" i="1"/>
  <c r="AB994" i="1"/>
  <c r="AC994" i="1"/>
  <c r="AD994" i="1"/>
  <c r="AE994" i="1"/>
  <c r="AF994" i="1"/>
  <c r="AG994" i="1"/>
  <c r="AH994" i="1"/>
  <c r="AI994" i="1"/>
  <c r="AJ994" i="1"/>
  <c r="AK994" i="1"/>
  <c r="C995" i="1"/>
  <c r="H995" i="1"/>
  <c r="I995" i="1"/>
  <c r="J995" i="1"/>
  <c r="K995" i="1"/>
  <c r="M995" i="1"/>
  <c r="P995" i="1"/>
  <c r="R995" i="1"/>
  <c r="S995" i="1"/>
  <c r="T995" i="1"/>
  <c r="U995" i="1"/>
  <c r="X995" i="1"/>
  <c r="Y995" i="1"/>
  <c r="Z995" i="1"/>
  <c r="AA995" i="1"/>
  <c r="AB995" i="1"/>
  <c r="AC995" i="1"/>
  <c r="AD995" i="1"/>
  <c r="AE995" i="1"/>
  <c r="AF995" i="1"/>
  <c r="AG995" i="1"/>
  <c r="AH995" i="1"/>
  <c r="AI995" i="1"/>
  <c r="AJ995" i="1"/>
  <c r="AK995" i="1"/>
  <c r="C996" i="1"/>
  <c r="H996" i="1"/>
  <c r="I996" i="1"/>
  <c r="J996" i="1"/>
  <c r="K996" i="1"/>
  <c r="M996" i="1"/>
  <c r="P996" i="1"/>
  <c r="R996" i="1"/>
  <c r="S996" i="1"/>
  <c r="T996" i="1"/>
  <c r="U996" i="1"/>
  <c r="X996" i="1"/>
  <c r="Y996" i="1"/>
  <c r="Z996" i="1"/>
  <c r="AA996" i="1"/>
  <c r="AB996" i="1"/>
  <c r="AC996" i="1"/>
  <c r="AD996" i="1"/>
  <c r="AE996" i="1"/>
  <c r="AF996" i="1"/>
  <c r="AG996" i="1"/>
  <c r="AH996" i="1"/>
  <c r="AI996" i="1"/>
  <c r="AJ996" i="1"/>
  <c r="AK996" i="1"/>
  <c r="C997" i="1"/>
  <c r="H997" i="1"/>
  <c r="I997" i="1"/>
  <c r="J997" i="1"/>
  <c r="K997" i="1"/>
  <c r="M997" i="1"/>
  <c r="P997" i="1"/>
  <c r="R997" i="1"/>
  <c r="S997" i="1"/>
  <c r="T997" i="1"/>
  <c r="U997" i="1"/>
  <c r="X997" i="1"/>
  <c r="Y997" i="1"/>
  <c r="Z997" i="1"/>
  <c r="AA997" i="1"/>
  <c r="AB997" i="1"/>
  <c r="AC997" i="1"/>
  <c r="AD997" i="1"/>
  <c r="AE997" i="1"/>
  <c r="AF997" i="1"/>
  <c r="AG997" i="1"/>
  <c r="AH997" i="1"/>
  <c r="AI997" i="1"/>
  <c r="AJ997" i="1"/>
  <c r="AK997" i="1"/>
  <c r="C998" i="1"/>
  <c r="H998" i="1"/>
  <c r="I998" i="1"/>
  <c r="J998" i="1"/>
  <c r="K998" i="1"/>
  <c r="M998" i="1"/>
  <c r="P998" i="1"/>
  <c r="R998" i="1"/>
  <c r="S998" i="1"/>
  <c r="T998" i="1"/>
  <c r="U998" i="1"/>
  <c r="X998" i="1"/>
  <c r="Y998" i="1"/>
  <c r="Z998" i="1"/>
  <c r="AA998" i="1"/>
  <c r="AB998" i="1"/>
  <c r="AC998" i="1"/>
  <c r="AD998" i="1"/>
  <c r="AE998" i="1"/>
  <c r="AF998" i="1"/>
  <c r="AG998" i="1"/>
  <c r="AH998" i="1"/>
  <c r="AI998" i="1"/>
  <c r="AJ998" i="1"/>
  <c r="AK998" i="1"/>
  <c r="C999" i="1"/>
  <c r="H999" i="1"/>
  <c r="I999" i="1"/>
  <c r="J999" i="1"/>
  <c r="K999" i="1"/>
  <c r="M999" i="1"/>
  <c r="P999" i="1"/>
  <c r="R999" i="1"/>
  <c r="S999" i="1"/>
  <c r="T999" i="1"/>
  <c r="U999" i="1"/>
  <c r="X999" i="1"/>
  <c r="Y999" i="1"/>
  <c r="Z999" i="1"/>
  <c r="AA999" i="1"/>
  <c r="AB999" i="1"/>
  <c r="AC999" i="1"/>
  <c r="AD999" i="1"/>
  <c r="AE999" i="1"/>
  <c r="AF999" i="1"/>
  <c r="AG999" i="1"/>
  <c r="AH999" i="1"/>
  <c r="AI999" i="1"/>
  <c r="AJ999" i="1"/>
  <c r="AK999" i="1"/>
  <c r="C1000" i="1"/>
  <c r="H1000" i="1"/>
  <c r="I1000" i="1"/>
  <c r="J1000" i="1"/>
  <c r="K1000" i="1"/>
  <c r="M1000" i="1"/>
  <c r="P1000" i="1"/>
  <c r="R1000" i="1"/>
  <c r="S1000" i="1"/>
  <c r="T1000" i="1"/>
  <c r="U1000" i="1"/>
  <c r="X1000" i="1"/>
  <c r="Y1000" i="1"/>
  <c r="Z1000" i="1"/>
  <c r="AA1000" i="1"/>
  <c r="AB1000" i="1"/>
  <c r="AC1000" i="1"/>
  <c r="AD1000" i="1"/>
  <c r="AE1000" i="1"/>
  <c r="AF1000" i="1"/>
  <c r="AG1000" i="1"/>
  <c r="AH1000" i="1"/>
  <c r="AI1000" i="1"/>
  <c r="AJ1000" i="1"/>
  <c r="AK1000" i="1"/>
  <c r="C1001" i="1"/>
  <c r="H1001" i="1"/>
  <c r="I1001" i="1"/>
  <c r="J1001" i="1"/>
  <c r="K1001" i="1"/>
  <c r="M1001" i="1"/>
  <c r="P1001" i="1"/>
  <c r="R1001" i="1"/>
  <c r="S1001" i="1"/>
  <c r="T1001" i="1"/>
  <c r="U1001" i="1"/>
  <c r="X1001" i="1"/>
  <c r="Y1001" i="1"/>
  <c r="Z1001" i="1"/>
  <c r="AA1001" i="1"/>
  <c r="AB1001" i="1"/>
  <c r="AC1001" i="1"/>
  <c r="AD1001" i="1"/>
  <c r="AE1001" i="1"/>
  <c r="AF1001" i="1"/>
  <c r="AG1001" i="1"/>
  <c r="AH1001" i="1"/>
  <c r="AI1001" i="1"/>
  <c r="AJ1001" i="1"/>
  <c r="AK1001" i="1"/>
  <c r="C982" i="1"/>
  <c r="H982" i="1"/>
  <c r="I982" i="1"/>
  <c r="J982" i="1"/>
  <c r="K982" i="1"/>
  <c r="M982" i="1"/>
  <c r="P982" i="1"/>
  <c r="R982" i="1"/>
  <c r="S982" i="1"/>
  <c r="T982" i="1"/>
  <c r="U982" i="1"/>
  <c r="X982" i="1"/>
  <c r="Y982" i="1"/>
  <c r="Z982" i="1"/>
  <c r="AA982" i="1"/>
  <c r="AB982" i="1"/>
  <c r="AC982" i="1"/>
  <c r="AD982" i="1"/>
  <c r="AE982" i="1"/>
  <c r="AF982" i="1"/>
  <c r="AG982" i="1"/>
  <c r="AH982" i="1"/>
  <c r="AI982" i="1"/>
  <c r="AJ982" i="1"/>
  <c r="AK982" i="1"/>
  <c r="C983" i="1"/>
  <c r="H983" i="1"/>
  <c r="I983" i="1"/>
  <c r="J983" i="1"/>
  <c r="K983" i="1"/>
  <c r="M983" i="1"/>
  <c r="P983" i="1"/>
  <c r="R983" i="1"/>
  <c r="S983" i="1"/>
  <c r="T983" i="1"/>
  <c r="U983" i="1"/>
  <c r="X983" i="1"/>
  <c r="Y983" i="1"/>
  <c r="Z983" i="1"/>
  <c r="AA983" i="1"/>
  <c r="AB983" i="1"/>
  <c r="AC983" i="1"/>
  <c r="AD983" i="1"/>
  <c r="AE983" i="1"/>
  <c r="AF983" i="1"/>
  <c r="AG983" i="1"/>
  <c r="AH983" i="1"/>
  <c r="AI983" i="1"/>
  <c r="AJ983" i="1"/>
  <c r="AK983" i="1"/>
  <c r="C984" i="1"/>
  <c r="H984" i="1"/>
  <c r="I984" i="1"/>
  <c r="J984" i="1"/>
  <c r="K984" i="1"/>
  <c r="M984" i="1"/>
  <c r="P984" i="1"/>
  <c r="R984" i="1"/>
  <c r="S984" i="1"/>
  <c r="T984" i="1"/>
  <c r="U984" i="1"/>
  <c r="X984" i="1"/>
  <c r="Y984" i="1"/>
  <c r="Z984" i="1"/>
  <c r="AA984" i="1"/>
  <c r="AB984" i="1"/>
  <c r="AC984" i="1"/>
  <c r="AD984" i="1"/>
  <c r="AE984" i="1"/>
  <c r="AF984" i="1"/>
  <c r="AG984" i="1"/>
  <c r="AH984" i="1"/>
  <c r="AI984" i="1"/>
  <c r="AJ984" i="1"/>
  <c r="AK984" i="1"/>
  <c r="C985" i="1"/>
  <c r="H985" i="1"/>
  <c r="I985" i="1"/>
  <c r="J985" i="1"/>
  <c r="K985" i="1"/>
  <c r="M985" i="1"/>
  <c r="P985" i="1"/>
  <c r="R985" i="1"/>
  <c r="S985" i="1"/>
  <c r="T985" i="1"/>
  <c r="U985" i="1"/>
  <c r="X985" i="1"/>
  <c r="Y985" i="1"/>
  <c r="Z985" i="1"/>
  <c r="AA985" i="1"/>
  <c r="AB985" i="1"/>
  <c r="AC985" i="1"/>
  <c r="AD985" i="1"/>
  <c r="AE985" i="1"/>
  <c r="AF985" i="1"/>
  <c r="AG985" i="1"/>
  <c r="AH985" i="1"/>
  <c r="AI985" i="1"/>
  <c r="AJ985" i="1"/>
  <c r="AK985" i="1"/>
  <c r="C986" i="1"/>
  <c r="H986" i="1"/>
  <c r="I986" i="1"/>
  <c r="J986" i="1"/>
  <c r="K986" i="1"/>
  <c r="M986" i="1"/>
  <c r="P986" i="1"/>
  <c r="R986" i="1"/>
  <c r="S986" i="1"/>
  <c r="T986" i="1"/>
  <c r="U986" i="1"/>
  <c r="X986" i="1"/>
  <c r="Y986" i="1"/>
  <c r="Z986" i="1"/>
  <c r="AA986" i="1"/>
  <c r="AB986" i="1"/>
  <c r="AC986" i="1"/>
  <c r="AD986" i="1"/>
  <c r="AE986" i="1"/>
  <c r="AF986" i="1"/>
  <c r="AG986" i="1"/>
  <c r="AH986" i="1"/>
  <c r="AI986" i="1"/>
  <c r="AJ986" i="1"/>
  <c r="AK986" i="1"/>
  <c r="C987" i="1"/>
  <c r="H987" i="1"/>
  <c r="I987" i="1"/>
  <c r="J987" i="1"/>
  <c r="K987" i="1"/>
  <c r="M987" i="1"/>
  <c r="P987" i="1"/>
  <c r="R987" i="1"/>
  <c r="S987" i="1"/>
  <c r="T987" i="1"/>
  <c r="U987" i="1"/>
  <c r="X987" i="1"/>
  <c r="Y987" i="1"/>
  <c r="Z987" i="1"/>
  <c r="AA987" i="1"/>
  <c r="AB987" i="1"/>
  <c r="AC987" i="1"/>
  <c r="AD987" i="1"/>
  <c r="AE987" i="1"/>
  <c r="AF987" i="1"/>
  <c r="AG987" i="1"/>
  <c r="AH987" i="1"/>
  <c r="AI987" i="1"/>
  <c r="AJ987" i="1"/>
  <c r="AK987" i="1"/>
  <c r="C988" i="1"/>
  <c r="H988" i="1"/>
  <c r="I988" i="1"/>
  <c r="J988" i="1"/>
  <c r="K988" i="1"/>
  <c r="M988" i="1"/>
  <c r="P988" i="1"/>
  <c r="R988" i="1"/>
  <c r="S988" i="1"/>
  <c r="T988" i="1"/>
  <c r="U988" i="1"/>
  <c r="X988" i="1"/>
  <c r="Y988" i="1"/>
  <c r="Z988" i="1"/>
  <c r="AA988" i="1"/>
  <c r="AB988" i="1"/>
  <c r="AC988" i="1"/>
  <c r="AD988" i="1"/>
  <c r="AE988" i="1"/>
  <c r="AF988" i="1"/>
  <c r="AG988" i="1"/>
  <c r="AH988" i="1"/>
  <c r="AI988" i="1"/>
  <c r="AJ988" i="1"/>
  <c r="AK988" i="1"/>
  <c r="C989" i="1"/>
  <c r="H989" i="1"/>
  <c r="I989" i="1"/>
  <c r="J989" i="1"/>
  <c r="K989" i="1"/>
  <c r="M989" i="1"/>
  <c r="P989" i="1"/>
  <c r="R989" i="1"/>
  <c r="S989" i="1"/>
  <c r="T989" i="1"/>
  <c r="U989" i="1"/>
  <c r="X989" i="1"/>
  <c r="Y989" i="1"/>
  <c r="Z989" i="1"/>
  <c r="AA989" i="1"/>
  <c r="AB989" i="1"/>
  <c r="AC989" i="1"/>
  <c r="AD989" i="1"/>
  <c r="AE989" i="1"/>
  <c r="AF989" i="1"/>
  <c r="AG989" i="1"/>
  <c r="AH989" i="1"/>
  <c r="AI989" i="1"/>
  <c r="AJ989" i="1"/>
  <c r="AK989" i="1"/>
  <c r="C990" i="1"/>
  <c r="H990" i="1"/>
  <c r="I990" i="1"/>
  <c r="J990" i="1"/>
  <c r="K990" i="1"/>
  <c r="M990" i="1"/>
  <c r="P990" i="1"/>
  <c r="R990" i="1"/>
  <c r="S990" i="1"/>
  <c r="T990" i="1"/>
  <c r="U990" i="1"/>
  <c r="X990" i="1"/>
  <c r="Y990" i="1"/>
  <c r="Z990" i="1"/>
  <c r="AA990" i="1"/>
  <c r="AB990" i="1"/>
  <c r="AC990" i="1"/>
  <c r="AD990" i="1"/>
  <c r="AE990" i="1"/>
  <c r="AF990" i="1"/>
  <c r="AG990" i="1"/>
  <c r="AH990" i="1"/>
  <c r="AI990" i="1"/>
  <c r="AJ990" i="1"/>
  <c r="AK990" i="1"/>
  <c r="C991" i="1"/>
  <c r="H991" i="1"/>
  <c r="I991" i="1"/>
  <c r="J991" i="1"/>
  <c r="K991" i="1"/>
  <c r="M991" i="1"/>
  <c r="P991" i="1"/>
  <c r="R991" i="1"/>
  <c r="S991" i="1"/>
  <c r="T991" i="1"/>
  <c r="U991" i="1"/>
  <c r="X991" i="1"/>
  <c r="Y991" i="1"/>
  <c r="Z991" i="1"/>
  <c r="AA991" i="1"/>
  <c r="AB991" i="1"/>
  <c r="AC991" i="1"/>
  <c r="AD991" i="1"/>
  <c r="AE991" i="1"/>
  <c r="AF991" i="1"/>
  <c r="AG991" i="1"/>
  <c r="AH991" i="1"/>
  <c r="AI991" i="1"/>
  <c r="AJ991" i="1"/>
  <c r="AK991" i="1"/>
  <c r="C972" i="1"/>
  <c r="H972" i="1"/>
  <c r="I972" i="1"/>
  <c r="J972" i="1"/>
  <c r="K972" i="1"/>
  <c r="M972" i="1"/>
  <c r="P972" i="1"/>
  <c r="R972" i="1"/>
  <c r="S972" i="1"/>
  <c r="T972" i="1"/>
  <c r="U972" i="1"/>
  <c r="X972" i="1"/>
  <c r="Y972" i="1"/>
  <c r="Z972" i="1"/>
  <c r="AA972" i="1"/>
  <c r="AB972" i="1"/>
  <c r="AC972" i="1"/>
  <c r="AD972" i="1"/>
  <c r="AE972" i="1"/>
  <c r="AF972" i="1"/>
  <c r="AG972" i="1"/>
  <c r="AH972" i="1"/>
  <c r="AI972" i="1"/>
  <c r="AJ972" i="1"/>
  <c r="AK972" i="1"/>
  <c r="C973" i="1"/>
  <c r="H973" i="1"/>
  <c r="I973" i="1"/>
  <c r="J973" i="1"/>
  <c r="K973" i="1"/>
  <c r="M973" i="1"/>
  <c r="P973" i="1"/>
  <c r="R973" i="1"/>
  <c r="S973" i="1"/>
  <c r="T973" i="1"/>
  <c r="U973" i="1"/>
  <c r="X973" i="1"/>
  <c r="Y973" i="1"/>
  <c r="Z973" i="1"/>
  <c r="AA973" i="1"/>
  <c r="AB973" i="1"/>
  <c r="AC973" i="1"/>
  <c r="AD973" i="1"/>
  <c r="AE973" i="1"/>
  <c r="AF973" i="1"/>
  <c r="AG973" i="1"/>
  <c r="AH973" i="1"/>
  <c r="AI973" i="1"/>
  <c r="AJ973" i="1"/>
  <c r="AK973" i="1"/>
  <c r="C974" i="1"/>
  <c r="H974" i="1"/>
  <c r="I974" i="1"/>
  <c r="J974" i="1"/>
  <c r="K974" i="1"/>
  <c r="M974" i="1"/>
  <c r="P974" i="1"/>
  <c r="R974" i="1"/>
  <c r="S974" i="1"/>
  <c r="T974" i="1"/>
  <c r="U974" i="1"/>
  <c r="X974" i="1"/>
  <c r="Y974" i="1"/>
  <c r="Z974" i="1"/>
  <c r="AA974" i="1"/>
  <c r="AB974" i="1"/>
  <c r="AC974" i="1"/>
  <c r="AD974" i="1"/>
  <c r="AE974" i="1"/>
  <c r="AF974" i="1"/>
  <c r="AG974" i="1"/>
  <c r="AH974" i="1"/>
  <c r="AI974" i="1"/>
  <c r="AJ974" i="1"/>
  <c r="AK974" i="1"/>
  <c r="C975" i="1"/>
  <c r="H975" i="1"/>
  <c r="I975" i="1"/>
  <c r="J975" i="1"/>
  <c r="K975" i="1"/>
  <c r="M975" i="1"/>
  <c r="P975" i="1"/>
  <c r="R975" i="1"/>
  <c r="S975" i="1"/>
  <c r="T975" i="1"/>
  <c r="U975" i="1"/>
  <c r="X975" i="1"/>
  <c r="Y975" i="1"/>
  <c r="Z975" i="1"/>
  <c r="AA975" i="1"/>
  <c r="AB975" i="1"/>
  <c r="AC975" i="1"/>
  <c r="AD975" i="1"/>
  <c r="AE975" i="1"/>
  <c r="AF975" i="1"/>
  <c r="AG975" i="1"/>
  <c r="AH975" i="1"/>
  <c r="AI975" i="1"/>
  <c r="AJ975" i="1"/>
  <c r="AK975" i="1"/>
  <c r="C976" i="1"/>
  <c r="H976" i="1"/>
  <c r="I976" i="1"/>
  <c r="J976" i="1"/>
  <c r="K976" i="1"/>
  <c r="M976" i="1"/>
  <c r="P976" i="1"/>
  <c r="R976" i="1"/>
  <c r="S976" i="1"/>
  <c r="T976" i="1"/>
  <c r="U976" i="1"/>
  <c r="X976" i="1"/>
  <c r="Y976" i="1"/>
  <c r="Z976" i="1"/>
  <c r="AA976" i="1"/>
  <c r="AB976" i="1"/>
  <c r="AC976" i="1"/>
  <c r="AD976" i="1"/>
  <c r="AE976" i="1"/>
  <c r="AF976" i="1"/>
  <c r="AG976" i="1"/>
  <c r="AH976" i="1"/>
  <c r="AI976" i="1"/>
  <c r="AJ976" i="1"/>
  <c r="AK976" i="1"/>
  <c r="C977" i="1"/>
  <c r="H977" i="1"/>
  <c r="I977" i="1"/>
  <c r="J977" i="1"/>
  <c r="K977" i="1"/>
  <c r="M977" i="1"/>
  <c r="P977" i="1"/>
  <c r="R977" i="1"/>
  <c r="S977" i="1"/>
  <c r="T977" i="1"/>
  <c r="U977" i="1"/>
  <c r="X977" i="1"/>
  <c r="Y977" i="1"/>
  <c r="Z977" i="1"/>
  <c r="AA977" i="1"/>
  <c r="AB977" i="1"/>
  <c r="AC977" i="1"/>
  <c r="AD977" i="1"/>
  <c r="AE977" i="1"/>
  <c r="AF977" i="1"/>
  <c r="AG977" i="1"/>
  <c r="AH977" i="1"/>
  <c r="AI977" i="1"/>
  <c r="AJ977" i="1"/>
  <c r="AK977" i="1"/>
  <c r="C978" i="1"/>
  <c r="H978" i="1"/>
  <c r="I978" i="1"/>
  <c r="J978" i="1"/>
  <c r="K978" i="1"/>
  <c r="M978" i="1"/>
  <c r="P978" i="1"/>
  <c r="R978" i="1"/>
  <c r="S978" i="1"/>
  <c r="T978" i="1"/>
  <c r="U978" i="1"/>
  <c r="X978" i="1"/>
  <c r="Y978" i="1"/>
  <c r="Z978" i="1"/>
  <c r="AA978" i="1"/>
  <c r="AB978" i="1"/>
  <c r="AC978" i="1"/>
  <c r="AD978" i="1"/>
  <c r="AE978" i="1"/>
  <c r="AF978" i="1"/>
  <c r="AG978" i="1"/>
  <c r="AH978" i="1"/>
  <c r="AI978" i="1"/>
  <c r="AJ978" i="1"/>
  <c r="AK978" i="1"/>
  <c r="C979" i="1"/>
  <c r="H979" i="1"/>
  <c r="I979" i="1"/>
  <c r="J979" i="1"/>
  <c r="K979" i="1"/>
  <c r="M979" i="1"/>
  <c r="P979" i="1"/>
  <c r="R979" i="1"/>
  <c r="S979" i="1"/>
  <c r="T979" i="1"/>
  <c r="U979" i="1"/>
  <c r="X979" i="1"/>
  <c r="Y979" i="1"/>
  <c r="Z979" i="1"/>
  <c r="AA979" i="1"/>
  <c r="AB979" i="1"/>
  <c r="AC979" i="1"/>
  <c r="AD979" i="1"/>
  <c r="AE979" i="1"/>
  <c r="AF979" i="1"/>
  <c r="AG979" i="1"/>
  <c r="AH979" i="1"/>
  <c r="AI979" i="1"/>
  <c r="AJ979" i="1"/>
  <c r="AK979" i="1"/>
  <c r="C980" i="1"/>
  <c r="H980" i="1"/>
  <c r="I980" i="1"/>
  <c r="J980" i="1"/>
  <c r="K980" i="1"/>
  <c r="M980" i="1"/>
  <c r="P980" i="1"/>
  <c r="R980" i="1"/>
  <c r="S980" i="1"/>
  <c r="T980" i="1"/>
  <c r="U980" i="1"/>
  <c r="X980" i="1"/>
  <c r="Y980" i="1"/>
  <c r="Z980" i="1"/>
  <c r="AA980" i="1"/>
  <c r="AB980" i="1"/>
  <c r="AC980" i="1"/>
  <c r="AD980" i="1"/>
  <c r="AE980" i="1"/>
  <c r="AF980" i="1"/>
  <c r="AG980" i="1"/>
  <c r="AH980" i="1"/>
  <c r="AI980" i="1"/>
  <c r="AJ980" i="1"/>
  <c r="AK980" i="1"/>
  <c r="C981" i="1"/>
  <c r="H981" i="1"/>
  <c r="I981" i="1"/>
  <c r="J981" i="1"/>
  <c r="K981" i="1"/>
  <c r="M981" i="1"/>
  <c r="P981" i="1"/>
  <c r="R981" i="1"/>
  <c r="S981" i="1"/>
  <c r="T981" i="1"/>
  <c r="U981" i="1"/>
  <c r="X981" i="1"/>
  <c r="Y981" i="1"/>
  <c r="Z981" i="1"/>
  <c r="AA981" i="1"/>
  <c r="AB981" i="1"/>
  <c r="AC981" i="1"/>
  <c r="AD981" i="1"/>
  <c r="AE981" i="1"/>
  <c r="AF981" i="1"/>
  <c r="AG981" i="1"/>
  <c r="AH981" i="1"/>
  <c r="AI981" i="1"/>
  <c r="AJ981" i="1"/>
  <c r="AK981" i="1"/>
  <c r="C962" i="1"/>
  <c r="H962" i="1"/>
  <c r="I962" i="1"/>
  <c r="J962" i="1"/>
  <c r="K962" i="1"/>
  <c r="M962" i="1"/>
  <c r="P962" i="1"/>
  <c r="R962" i="1"/>
  <c r="S962" i="1"/>
  <c r="T962" i="1"/>
  <c r="U962" i="1"/>
  <c r="X962" i="1"/>
  <c r="Y962" i="1"/>
  <c r="Z962" i="1"/>
  <c r="AA962" i="1"/>
  <c r="AB962" i="1"/>
  <c r="AC962" i="1"/>
  <c r="AD962" i="1"/>
  <c r="AE962" i="1"/>
  <c r="AF962" i="1"/>
  <c r="AG962" i="1"/>
  <c r="AH962" i="1"/>
  <c r="AI962" i="1"/>
  <c r="AJ962" i="1"/>
  <c r="AK962" i="1"/>
  <c r="C963" i="1"/>
  <c r="H963" i="1"/>
  <c r="I963" i="1"/>
  <c r="J963" i="1"/>
  <c r="K963" i="1"/>
  <c r="M963" i="1"/>
  <c r="P963" i="1"/>
  <c r="R963" i="1"/>
  <c r="S963" i="1"/>
  <c r="T963" i="1"/>
  <c r="U963" i="1"/>
  <c r="X963" i="1"/>
  <c r="Y963" i="1"/>
  <c r="Z963" i="1"/>
  <c r="AA963" i="1"/>
  <c r="AB963" i="1"/>
  <c r="AC963" i="1"/>
  <c r="AD963" i="1"/>
  <c r="AE963" i="1"/>
  <c r="AF963" i="1"/>
  <c r="AG963" i="1"/>
  <c r="AH963" i="1"/>
  <c r="AI963" i="1"/>
  <c r="AJ963" i="1"/>
  <c r="AK963" i="1"/>
  <c r="C964" i="1"/>
  <c r="H964" i="1"/>
  <c r="I964" i="1"/>
  <c r="J964" i="1"/>
  <c r="K964" i="1"/>
  <c r="M964" i="1"/>
  <c r="P964" i="1"/>
  <c r="R964" i="1"/>
  <c r="S964" i="1"/>
  <c r="T964" i="1"/>
  <c r="U964" i="1"/>
  <c r="X964" i="1"/>
  <c r="Y964" i="1"/>
  <c r="Z964" i="1"/>
  <c r="AA964" i="1"/>
  <c r="AB964" i="1"/>
  <c r="AC964" i="1"/>
  <c r="AD964" i="1"/>
  <c r="AE964" i="1"/>
  <c r="AF964" i="1"/>
  <c r="AG964" i="1"/>
  <c r="AH964" i="1"/>
  <c r="AI964" i="1"/>
  <c r="AJ964" i="1"/>
  <c r="AK964" i="1"/>
  <c r="C965" i="1"/>
  <c r="H965" i="1"/>
  <c r="I965" i="1"/>
  <c r="J965" i="1"/>
  <c r="K965" i="1"/>
  <c r="M965" i="1"/>
  <c r="P965" i="1"/>
  <c r="R965" i="1"/>
  <c r="S965" i="1"/>
  <c r="T965" i="1"/>
  <c r="U965" i="1"/>
  <c r="X965" i="1"/>
  <c r="Y965" i="1"/>
  <c r="Z965" i="1"/>
  <c r="AA965" i="1"/>
  <c r="AB965" i="1"/>
  <c r="AC965" i="1"/>
  <c r="AD965" i="1"/>
  <c r="AE965" i="1"/>
  <c r="AF965" i="1"/>
  <c r="AG965" i="1"/>
  <c r="AH965" i="1"/>
  <c r="AI965" i="1"/>
  <c r="AJ965" i="1"/>
  <c r="AK965" i="1"/>
  <c r="C966" i="1"/>
  <c r="H966" i="1"/>
  <c r="I966" i="1"/>
  <c r="J966" i="1"/>
  <c r="K966" i="1"/>
  <c r="M966" i="1"/>
  <c r="P966" i="1"/>
  <c r="R966" i="1"/>
  <c r="S966" i="1"/>
  <c r="T966" i="1"/>
  <c r="U966" i="1"/>
  <c r="X966" i="1"/>
  <c r="Y966" i="1"/>
  <c r="Z966" i="1"/>
  <c r="AA966" i="1"/>
  <c r="AB966" i="1"/>
  <c r="AC966" i="1"/>
  <c r="AD966" i="1"/>
  <c r="AE966" i="1"/>
  <c r="AF966" i="1"/>
  <c r="AG966" i="1"/>
  <c r="AH966" i="1"/>
  <c r="AI966" i="1"/>
  <c r="AJ966" i="1"/>
  <c r="AK966" i="1"/>
  <c r="C967" i="1"/>
  <c r="H967" i="1"/>
  <c r="I967" i="1"/>
  <c r="J967" i="1"/>
  <c r="K967" i="1"/>
  <c r="M967" i="1"/>
  <c r="P967" i="1"/>
  <c r="R967" i="1"/>
  <c r="S967" i="1"/>
  <c r="T967" i="1"/>
  <c r="U967" i="1"/>
  <c r="X967" i="1"/>
  <c r="Y967" i="1"/>
  <c r="Z967" i="1"/>
  <c r="AA967" i="1"/>
  <c r="AB967" i="1"/>
  <c r="AC967" i="1"/>
  <c r="AD967" i="1"/>
  <c r="AE967" i="1"/>
  <c r="AF967" i="1"/>
  <c r="AG967" i="1"/>
  <c r="AH967" i="1"/>
  <c r="AI967" i="1"/>
  <c r="AJ967" i="1"/>
  <c r="AK967" i="1"/>
  <c r="C968" i="1"/>
  <c r="H968" i="1"/>
  <c r="I968" i="1"/>
  <c r="J968" i="1"/>
  <c r="K968" i="1"/>
  <c r="M968" i="1"/>
  <c r="P968" i="1"/>
  <c r="R968" i="1"/>
  <c r="S968" i="1"/>
  <c r="T968" i="1"/>
  <c r="U968" i="1"/>
  <c r="X968" i="1"/>
  <c r="Y968" i="1"/>
  <c r="Z968" i="1"/>
  <c r="AA968" i="1"/>
  <c r="AB968" i="1"/>
  <c r="AC968" i="1"/>
  <c r="AD968" i="1"/>
  <c r="AE968" i="1"/>
  <c r="AF968" i="1"/>
  <c r="AG968" i="1"/>
  <c r="AH968" i="1"/>
  <c r="AI968" i="1"/>
  <c r="AJ968" i="1"/>
  <c r="AK968" i="1"/>
  <c r="C969" i="1"/>
  <c r="H969" i="1"/>
  <c r="I969" i="1"/>
  <c r="J969" i="1"/>
  <c r="K969" i="1"/>
  <c r="M969" i="1"/>
  <c r="P969" i="1"/>
  <c r="R969" i="1"/>
  <c r="S969" i="1"/>
  <c r="T969" i="1"/>
  <c r="U969" i="1"/>
  <c r="X969" i="1"/>
  <c r="Y969" i="1"/>
  <c r="Z969" i="1"/>
  <c r="AA969" i="1"/>
  <c r="AB969" i="1"/>
  <c r="AC969" i="1"/>
  <c r="AD969" i="1"/>
  <c r="AE969" i="1"/>
  <c r="AF969" i="1"/>
  <c r="AG969" i="1"/>
  <c r="AH969" i="1"/>
  <c r="AI969" i="1"/>
  <c r="AJ969" i="1"/>
  <c r="AK969" i="1"/>
  <c r="C970" i="1"/>
  <c r="H970" i="1"/>
  <c r="I970" i="1"/>
  <c r="J970" i="1"/>
  <c r="K970" i="1"/>
  <c r="M970" i="1"/>
  <c r="P970" i="1"/>
  <c r="R970" i="1"/>
  <c r="S970" i="1"/>
  <c r="T970" i="1"/>
  <c r="U970" i="1"/>
  <c r="X970" i="1"/>
  <c r="Y970" i="1"/>
  <c r="Z970" i="1"/>
  <c r="AA970" i="1"/>
  <c r="AB970" i="1"/>
  <c r="AC970" i="1"/>
  <c r="AD970" i="1"/>
  <c r="AE970" i="1"/>
  <c r="AF970" i="1"/>
  <c r="AG970" i="1"/>
  <c r="AH970" i="1"/>
  <c r="AI970" i="1"/>
  <c r="AJ970" i="1"/>
  <c r="AK970" i="1"/>
  <c r="C971" i="1"/>
  <c r="H971" i="1"/>
  <c r="I971" i="1"/>
  <c r="J971" i="1"/>
  <c r="K971" i="1"/>
  <c r="M971" i="1"/>
  <c r="P971" i="1"/>
  <c r="R971" i="1"/>
  <c r="S971" i="1"/>
  <c r="T971" i="1"/>
  <c r="U971" i="1"/>
  <c r="X971" i="1"/>
  <c r="Y971" i="1"/>
  <c r="Z971" i="1"/>
  <c r="AA971" i="1"/>
  <c r="AB971" i="1"/>
  <c r="AC971" i="1"/>
  <c r="AD971" i="1"/>
  <c r="AE971" i="1"/>
  <c r="AF971" i="1"/>
  <c r="AG971" i="1"/>
  <c r="AH971" i="1"/>
  <c r="AI971" i="1"/>
  <c r="AJ971" i="1"/>
  <c r="AK971" i="1"/>
  <c r="C952" i="1"/>
  <c r="H952" i="1"/>
  <c r="I952" i="1"/>
  <c r="J952" i="1"/>
  <c r="K952" i="1"/>
  <c r="M952" i="1"/>
  <c r="P952" i="1"/>
  <c r="R952" i="1"/>
  <c r="S952" i="1"/>
  <c r="T952" i="1"/>
  <c r="U952" i="1"/>
  <c r="X952" i="1"/>
  <c r="Y952" i="1"/>
  <c r="Z952" i="1"/>
  <c r="AA952" i="1"/>
  <c r="AB952" i="1"/>
  <c r="AC952" i="1"/>
  <c r="AD952" i="1"/>
  <c r="AE952" i="1"/>
  <c r="AF952" i="1"/>
  <c r="AG952" i="1"/>
  <c r="AH952" i="1"/>
  <c r="AI952" i="1"/>
  <c r="AJ952" i="1"/>
  <c r="AK952" i="1"/>
  <c r="C953" i="1"/>
  <c r="H953" i="1"/>
  <c r="I953" i="1"/>
  <c r="J953" i="1"/>
  <c r="K953" i="1"/>
  <c r="M953" i="1"/>
  <c r="P953" i="1"/>
  <c r="R953" i="1"/>
  <c r="S953" i="1"/>
  <c r="T953" i="1"/>
  <c r="U953" i="1"/>
  <c r="X953" i="1"/>
  <c r="Y953" i="1"/>
  <c r="Z953" i="1"/>
  <c r="AA953" i="1"/>
  <c r="AB953" i="1"/>
  <c r="AC953" i="1"/>
  <c r="AD953" i="1"/>
  <c r="AE953" i="1"/>
  <c r="AF953" i="1"/>
  <c r="AG953" i="1"/>
  <c r="AH953" i="1"/>
  <c r="AI953" i="1"/>
  <c r="AJ953" i="1"/>
  <c r="AK953" i="1"/>
  <c r="C954" i="1"/>
  <c r="H954" i="1"/>
  <c r="I954" i="1"/>
  <c r="J954" i="1"/>
  <c r="K954" i="1"/>
  <c r="M954" i="1"/>
  <c r="P954" i="1"/>
  <c r="R954" i="1"/>
  <c r="S954" i="1"/>
  <c r="T954" i="1"/>
  <c r="U954" i="1"/>
  <c r="X954" i="1"/>
  <c r="Y954" i="1"/>
  <c r="Z954" i="1"/>
  <c r="AA954" i="1"/>
  <c r="AB954" i="1"/>
  <c r="AC954" i="1"/>
  <c r="AD954" i="1"/>
  <c r="AE954" i="1"/>
  <c r="AF954" i="1"/>
  <c r="AG954" i="1"/>
  <c r="AH954" i="1"/>
  <c r="AI954" i="1"/>
  <c r="AJ954" i="1"/>
  <c r="AK954" i="1"/>
  <c r="C955" i="1"/>
  <c r="H955" i="1"/>
  <c r="I955" i="1"/>
  <c r="J955" i="1"/>
  <c r="K955" i="1"/>
  <c r="M955" i="1"/>
  <c r="P955" i="1"/>
  <c r="R955" i="1"/>
  <c r="S955" i="1"/>
  <c r="T955" i="1"/>
  <c r="U955" i="1"/>
  <c r="X955" i="1"/>
  <c r="Y955" i="1"/>
  <c r="Z955" i="1"/>
  <c r="AA955" i="1"/>
  <c r="AB955" i="1"/>
  <c r="AC955" i="1"/>
  <c r="AD955" i="1"/>
  <c r="AE955" i="1"/>
  <c r="AF955" i="1"/>
  <c r="AG955" i="1"/>
  <c r="AH955" i="1"/>
  <c r="AI955" i="1"/>
  <c r="AJ955" i="1"/>
  <c r="AK955" i="1"/>
  <c r="C956" i="1"/>
  <c r="H956" i="1"/>
  <c r="I956" i="1"/>
  <c r="J956" i="1"/>
  <c r="K956" i="1"/>
  <c r="M956" i="1"/>
  <c r="P956" i="1"/>
  <c r="R956" i="1"/>
  <c r="S956" i="1"/>
  <c r="T956" i="1"/>
  <c r="U956" i="1"/>
  <c r="X956" i="1"/>
  <c r="Y956" i="1"/>
  <c r="Z956" i="1"/>
  <c r="AA956" i="1"/>
  <c r="AB956" i="1"/>
  <c r="AC956" i="1"/>
  <c r="AD956" i="1"/>
  <c r="AE956" i="1"/>
  <c r="AF956" i="1"/>
  <c r="AG956" i="1"/>
  <c r="AH956" i="1"/>
  <c r="AI956" i="1"/>
  <c r="AJ956" i="1"/>
  <c r="AK956" i="1"/>
  <c r="C957" i="1"/>
  <c r="H957" i="1"/>
  <c r="I957" i="1"/>
  <c r="J957" i="1"/>
  <c r="K957" i="1"/>
  <c r="M957" i="1"/>
  <c r="P957" i="1"/>
  <c r="R957" i="1"/>
  <c r="S957" i="1"/>
  <c r="T957" i="1"/>
  <c r="U957" i="1"/>
  <c r="X957" i="1"/>
  <c r="Y957" i="1"/>
  <c r="Z957" i="1"/>
  <c r="AA957" i="1"/>
  <c r="AB957" i="1"/>
  <c r="AC957" i="1"/>
  <c r="AD957" i="1"/>
  <c r="AE957" i="1"/>
  <c r="AF957" i="1"/>
  <c r="AG957" i="1"/>
  <c r="AH957" i="1"/>
  <c r="AI957" i="1"/>
  <c r="AJ957" i="1"/>
  <c r="AK957" i="1"/>
  <c r="C958" i="1"/>
  <c r="H958" i="1"/>
  <c r="I958" i="1"/>
  <c r="J958" i="1"/>
  <c r="K958" i="1"/>
  <c r="M958" i="1"/>
  <c r="P958" i="1"/>
  <c r="R958" i="1"/>
  <c r="S958" i="1"/>
  <c r="T958" i="1"/>
  <c r="U958" i="1"/>
  <c r="X958" i="1"/>
  <c r="Y958" i="1"/>
  <c r="Z958" i="1"/>
  <c r="AA958" i="1"/>
  <c r="AB958" i="1"/>
  <c r="AC958" i="1"/>
  <c r="AD958" i="1"/>
  <c r="AE958" i="1"/>
  <c r="AF958" i="1"/>
  <c r="AG958" i="1"/>
  <c r="AH958" i="1"/>
  <c r="AI958" i="1"/>
  <c r="AJ958" i="1"/>
  <c r="AK958" i="1"/>
  <c r="C959" i="1"/>
  <c r="H959" i="1"/>
  <c r="I959" i="1"/>
  <c r="J959" i="1"/>
  <c r="K959" i="1"/>
  <c r="M959" i="1"/>
  <c r="P959" i="1"/>
  <c r="R959" i="1"/>
  <c r="S959" i="1"/>
  <c r="T959" i="1"/>
  <c r="U959" i="1"/>
  <c r="X959" i="1"/>
  <c r="Y959" i="1"/>
  <c r="Z959" i="1"/>
  <c r="AA959" i="1"/>
  <c r="AB959" i="1"/>
  <c r="AC959" i="1"/>
  <c r="AD959" i="1"/>
  <c r="AE959" i="1"/>
  <c r="AF959" i="1"/>
  <c r="AG959" i="1"/>
  <c r="AH959" i="1"/>
  <c r="AI959" i="1"/>
  <c r="AJ959" i="1"/>
  <c r="AK959" i="1"/>
  <c r="C960" i="1"/>
  <c r="H960" i="1"/>
  <c r="I960" i="1"/>
  <c r="J960" i="1"/>
  <c r="K960" i="1"/>
  <c r="M960" i="1"/>
  <c r="P960" i="1"/>
  <c r="R960" i="1"/>
  <c r="S960" i="1"/>
  <c r="T960" i="1"/>
  <c r="U960" i="1"/>
  <c r="X960" i="1"/>
  <c r="Y960" i="1"/>
  <c r="Z960" i="1"/>
  <c r="AA960" i="1"/>
  <c r="AB960" i="1"/>
  <c r="AC960" i="1"/>
  <c r="AD960" i="1"/>
  <c r="AE960" i="1"/>
  <c r="AF960" i="1"/>
  <c r="AG960" i="1"/>
  <c r="AH960" i="1"/>
  <c r="AI960" i="1"/>
  <c r="AJ960" i="1"/>
  <c r="AK960" i="1"/>
  <c r="C961" i="1"/>
  <c r="H961" i="1"/>
  <c r="I961" i="1"/>
  <c r="J961" i="1"/>
  <c r="K961" i="1"/>
  <c r="M961" i="1"/>
  <c r="P961" i="1"/>
  <c r="R961" i="1"/>
  <c r="S961" i="1"/>
  <c r="T961" i="1"/>
  <c r="U961" i="1"/>
  <c r="X961" i="1"/>
  <c r="Y961" i="1"/>
  <c r="Z961" i="1"/>
  <c r="AA961" i="1"/>
  <c r="AB961" i="1"/>
  <c r="AC961" i="1"/>
  <c r="AD961" i="1"/>
  <c r="AE961" i="1"/>
  <c r="AF961" i="1"/>
  <c r="AG961" i="1"/>
  <c r="AH961" i="1"/>
  <c r="AI961" i="1"/>
  <c r="AJ961" i="1"/>
  <c r="AK961" i="1"/>
  <c r="C942" i="1"/>
  <c r="H942" i="1"/>
  <c r="I942" i="1"/>
  <c r="J942" i="1"/>
  <c r="K942" i="1"/>
  <c r="M942" i="1"/>
  <c r="P942" i="1"/>
  <c r="R942" i="1"/>
  <c r="S942" i="1"/>
  <c r="T942" i="1"/>
  <c r="U942" i="1"/>
  <c r="X942" i="1"/>
  <c r="Y942" i="1"/>
  <c r="Z942" i="1"/>
  <c r="AA942" i="1"/>
  <c r="AB942" i="1"/>
  <c r="AC942" i="1"/>
  <c r="AD942" i="1"/>
  <c r="AE942" i="1"/>
  <c r="AF942" i="1"/>
  <c r="AG942" i="1"/>
  <c r="AH942" i="1"/>
  <c r="AI942" i="1"/>
  <c r="AJ942" i="1"/>
  <c r="AK942" i="1"/>
  <c r="C943" i="1"/>
  <c r="H943" i="1"/>
  <c r="I943" i="1"/>
  <c r="J943" i="1"/>
  <c r="K943" i="1"/>
  <c r="M943" i="1"/>
  <c r="P943" i="1"/>
  <c r="R943" i="1"/>
  <c r="S943" i="1"/>
  <c r="T943" i="1"/>
  <c r="U943" i="1"/>
  <c r="X943" i="1"/>
  <c r="Y943" i="1"/>
  <c r="Z943" i="1"/>
  <c r="AA943" i="1"/>
  <c r="AB943" i="1"/>
  <c r="AC943" i="1"/>
  <c r="AD943" i="1"/>
  <c r="AE943" i="1"/>
  <c r="AF943" i="1"/>
  <c r="AG943" i="1"/>
  <c r="AH943" i="1"/>
  <c r="AI943" i="1"/>
  <c r="AJ943" i="1"/>
  <c r="AK943" i="1"/>
  <c r="C944" i="1"/>
  <c r="H944" i="1"/>
  <c r="I944" i="1"/>
  <c r="J944" i="1"/>
  <c r="K944" i="1"/>
  <c r="M944" i="1"/>
  <c r="P944" i="1"/>
  <c r="R944" i="1"/>
  <c r="S944" i="1"/>
  <c r="T944" i="1"/>
  <c r="U944" i="1"/>
  <c r="X944" i="1"/>
  <c r="Y944" i="1"/>
  <c r="Z944" i="1"/>
  <c r="AA944" i="1"/>
  <c r="AB944" i="1"/>
  <c r="AC944" i="1"/>
  <c r="AD944" i="1"/>
  <c r="AE944" i="1"/>
  <c r="AF944" i="1"/>
  <c r="AG944" i="1"/>
  <c r="AH944" i="1"/>
  <c r="AI944" i="1"/>
  <c r="AJ944" i="1"/>
  <c r="AK944" i="1"/>
  <c r="C945" i="1"/>
  <c r="H945" i="1"/>
  <c r="I945" i="1"/>
  <c r="J945" i="1"/>
  <c r="K945" i="1"/>
  <c r="M945" i="1"/>
  <c r="P945" i="1"/>
  <c r="R945" i="1"/>
  <c r="S945" i="1"/>
  <c r="T945" i="1"/>
  <c r="U945" i="1"/>
  <c r="X945" i="1"/>
  <c r="Y945" i="1"/>
  <c r="Z945" i="1"/>
  <c r="AA945" i="1"/>
  <c r="AB945" i="1"/>
  <c r="AC945" i="1"/>
  <c r="AD945" i="1"/>
  <c r="AE945" i="1"/>
  <c r="AF945" i="1"/>
  <c r="AG945" i="1"/>
  <c r="AH945" i="1"/>
  <c r="AI945" i="1"/>
  <c r="AJ945" i="1"/>
  <c r="AK945" i="1"/>
  <c r="C946" i="1"/>
  <c r="H946" i="1"/>
  <c r="I946" i="1"/>
  <c r="J946" i="1"/>
  <c r="K946" i="1"/>
  <c r="M946" i="1"/>
  <c r="P946" i="1"/>
  <c r="R946" i="1"/>
  <c r="S946" i="1"/>
  <c r="T946" i="1"/>
  <c r="U946" i="1"/>
  <c r="X946" i="1"/>
  <c r="Y946" i="1"/>
  <c r="Z946" i="1"/>
  <c r="AA946" i="1"/>
  <c r="AB946" i="1"/>
  <c r="AC946" i="1"/>
  <c r="AD946" i="1"/>
  <c r="AE946" i="1"/>
  <c r="AF946" i="1"/>
  <c r="AG946" i="1"/>
  <c r="AH946" i="1"/>
  <c r="AI946" i="1"/>
  <c r="AJ946" i="1"/>
  <c r="AK946" i="1"/>
  <c r="C947" i="1"/>
  <c r="H947" i="1"/>
  <c r="I947" i="1"/>
  <c r="J947" i="1"/>
  <c r="K947" i="1"/>
  <c r="M947" i="1"/>
  <c r="P947" i="1"/>
  <c r="R947" i="1"/>
  <c r="S947" i="1"/>
  <c r="T947" i="1"/>
  <c r="U947" i="1"/>
  <c r="X947" i="1"/>
  <c r="Y947" i="1"/>
  <c r="Z947" i="1"/>
  <c r="AA947" i="1"/>
  <c r="AB947" i="1"/>
  <c r="AC947" i="1"/>
  <c r="AD947" i="1"/>
  <c r="AE947" i="1"/>
  <c r="AF947" i="1"/>
  <c r="AG947" i="1"/>
  <c r="AH947" i="1"/>
  <c r="AI947" i="1"/>
  <c r="AJ947" i="1"/>
  <c r="AK947" i="1"/>
  <c r="C948" i="1"/>
  <c r="H948" i="1"/>
  <c r="I948" i="1"/>
  <c r="J948" i="1"/>
  <c r="K948" i="1"/>
  <c r="M948" i="1"/>
  <c r="P948" i="1"/>
  <c r="R948" i="1"/>
  <c r="S948" i="1"/>
  <c r="T948" i="1"/>
  <c r="U948" i="1"/>
  <c r="X948" i="1"/>
  <c r="Y948" i="1"/>
  <c r="Z948" i="1"/>
  <c r="AA948" i="1"/>
  <c r="AB948" i="1"/>
  <c r="AC948" i="1"/>
  <c r="AD948" i="1"/>
  <c r="AE948" i="1"/>
  <c r="AF948" i="1"/>
  <c r="AG948" i="1"/>
  <c r="AH948" i="1"/>
  <c r="AI948" i="1"/>
  <c r="AJ948" i="1"/>
  <c r="AK948" i="1"/>
  <c r="C949" i="1"/>
  <c r="H949" i="1"/>
  <c r="I949" i="1"/>
  <c r="J949" i="1"/>
  <c r="K949" i="1"/>
  <c r="M949" i="1"/>
  <c r="P949" i="1"/>
  <c r="R949" i="1"/>
  <c r="S949" i="1"/>
  <c r="T949" i="1"/>
  <c r="U949" i="1"/>
  <c r="X949" i="1"/>
  <c r="Y949" i="1"/>
  <c r="Z949" i="1"/>
  <c r="AA949" i="1"/>
  <c r="AB949" i="1"/>
  <c r="AC949" i="1"/>
  <c r="AD949" i="1"/>
  <c r="AE949" i="1"/>
  <c r="AF949" i="1"/>
  <c r="AG949" i="1"/>
  <c r="AH949" i="1"/>
  <c r="AI949" i="1"/>
  <c r="AJ949" i="1"/>
  <c r="AK949" i="1"/>
  <c r="C950" i="1"/>
  <c r="H950" i="1"/>
  <c r="I950" i="1"/>
  <c r="J950" i="1"/>
  <c r="K950" i="1"/>
  <c r="M950" i="1"/>
  <c r="P950" i="1"/>
  <c r="R950" i="1"/>
  <c r="S950" i="1"/>
  <c r="T950" i="1"/>
  <c r="U950" i="1"/>
  <c r="X950" i="1"/>
  <c r="Y950" i="1"/>
  <c r="Z950" i="1"/>
  <c r="AA950" i="1"/>
  <c r="AB950" i="1"/>
  <c r="AC950" i="1"/>
  <c r="AD950" i="1"/>
  <c r="AE950" i="1"/>
  <c r="AF950" i="1"/>
  <c r="AG950" i="1"/>
  <c r="AH950" i="1"/>
  <c r="AI950" i="1"/>
  <c r="AJ950" i="1"/>
  <c r="AK950" i="1"/>
  <c r="C951" i="1"/>
  <c r="H951" i="1"/>
  <c r="I951" i="1"/>
  <c r="J951" i="1"/>
  <c r="K951" i="1"/>
  <c r="M951" i="1"/>
  <c r="P951" i="1"/>
  <c r="R951" i="1"/>
  <c r="S951" i="1"/>
  <c r="T951" i="1"/>
  <c r="U951" i="1"/>
  <c r="X951" i="1"/>
  <c r="Y951" i="1"/>
  <c r="Z951" i="1"/>
  <c r="AA951" i="1"/>
  <c r="AB951" i="1"/>
  <c r="AC951" i="1"/>
  <c r="AD951" i="1"/>
  <c r="AE951" i="1"/>
  <c r="AF951" i="1"/>
  <c r="AG951" i="1"/>
  <c r="AH951" i="1"/>
  <c r="AI951" i="1"/>
  <c r="AJ951" i="1"/>
  <c r="AK951" i="1"/>
  <c r="C932" i="1"/>
  <c r="H932" i="1"/>
  <c r="I932" i="1"/>
  <c r="J932" i="1"/>
  <c r="K932" i="1"/>
  <c r="M932" i="1"/>
  <c r="P932" i="1"/>
  <c r="R932" i="1"/>
  <c r="S932" i="1"/>
  <c r="T932" i="1"/>
  <c r="U932" i="1"/>
  <c r="X932" i="1"/>
  <c r="Y932" i="1"/>
  <c r="Z932" i="1"/>
  <c r="AA932" i="1"/>
  <c r="AB932" i="1"/>
  <c r="AC932" i="1"/>
  <c r="AD932" i="1"/>
  <c r="AE932" i="1"/>
  <c r="AF932" i="1"/>
  <c r="AG932" i="1"/>
  <c r="AH932" i="1"/>
  <c r="AI932" i="1"/>
  <c r="AJ932" i="1"/>
  <c r="AK932" i="1"/>
  <c r="C933" i="1"/>
  <c r="H933" i="1"/>
  <c r="I933" i="1"/>
  <c r="J933" i="1"/>
  <c r="K933" i="1"/>
  <c r="M933" i="1"/>
  <c r="P933" i="1"/>
  <c r="R933" i="1"/>
  <c r="S933" i="1"/>
  <c r="T933" i="1"/>
  <c r="U933" i="1"/>
  <c r="X933" i="1"/>
  <c r="Y933" i="1"/>
  <c r="Z933" i="1"/>
  <c r="AA933" i="1"/>
  <c r="AB933" i="1"/>
  <c r="AC933" i="1"/>
  <c r="AD933" i="1"/>
  <c r="AE933" i="1"/>
  <c r="AF933" i="1"/>
  <c r="AG933" i="1"/>
  <c r="AH933" i="1"/>
  <c r="AI933" i="1"/>
  <c r="AJ933" i="1"/>
  <c r="AK933" i="1"/>
  <c r="C934" i="1"/>
  <c r="H934" i="1"/>
  <c r="I934" i="1"/>
  <c r="J934" i="1"/>
  <c r="K934" i="1"/>
  <c r="M934" i="1"/>
  <c r="P934" i="1"/>
  <c r="R934" i="1"/>
  <c r="S934" i="1"/>
  <c r="T934" i="1"/>
  <c r="U934" i="1"/>
  <c r="X934" i="1"/>
  <c r="Y934" i="1"/>
  <c r="Z934" i="1"/>
  <c r="AA934" i="1"/>
  <c r="AB934" i="1"/>
  <c r="AC934" i="1"/>
  <c r="AD934" i="1"/>
  <c r="AE934" i="1"/>
  <c r="AF934" i="1"/>
  <c r="AG934" i="1"/>
  <c r="AH934" i="1"/>
  <c r="AI934" i="1"/>
  <c r="AJ934" i="1"/>
  <c r="AK934" i="1"/>
  <c r="C935" i="1"/>
  <c r="H935" i="1"/>
  <c r="I935" i="1"/>
  <c r="J935" i="1"/>
  <c r="K935" i="1"/>
  <c r="M935" i="1"/>
  <c r="P935" i="1"/>
  <c r="R935" i="1"/>
  <c r="S935" i="1"/>
  <c r="T935" i="1"/>
  <c r="U935" i="1"/>
  <c r="X935" i="1"/>
  <c r="Y935" i="1"/>
  <c r="Z935" i="1"/>
  <c r="AA935" i="1"/>
  <c r="AB935" i="1"/>
  <c r="AC935" i="1"/>
  <c r="AD935" i="1"/>
  <c r="AE935" i="1"/>
  <c r="AF935" i="1"/>
  <c r="AG935" i="1"/>
  <c r="AH935" i="1"/>
  <c r="AI935" i="1"/>
  <c r="AJ935" i="1"/>
  <c r="AK935" i="1"/>
  <c r="C936" i="1"/>
  <c r="H936" i="1"/>
  <c r="I936" i="1"/>
  <c r="J936" i="1"/>
  <c r="K936" i="1"/>
  <c r="M936" i="1"/>
  <c r="P936" i="1"/>
  <c r="R936" i="1"/>
  <c r="S936" i="1"/>
  <c r="T936" i="1"/>
  <c r="U936" i="1"/>
  <c r="X936" i="1"/>
  <c r="Y936" i="1"/>
  <c r="Z936" i="1"/>
  <c r="AA936" i="1"/>
  <c r="AB936" i="1"/>
  <c r="AC936" i="1"/>
  <c r="AD936" i="1"/>
  <c r="AE936" i="1"/>
  <c r="AF936" i="1"/>
  <c r="AG936" i="1"/>
  <c r="AH936" i="1"/>
  <c r="AI936" i="1"/>
  <c r="AJ936" i="1"/>
  <c r="AK936" i="1"/>
  <c r="C937" i="1"/>
  <c r="H937" i="1"/>
  <c r="I937" i="1"/>
  <c r="J937" i="1"/>
  <c r="K937" i="1"/>
  <c r="M937" i="1"/>
  <c r="P937" i="1"/>
  <c r="R937" i="1"/>
  <c r="S937" i="1"/>
  <c r="T937" i="1"/>
  <c r="U937" i="1"/>
  <c r="X937" i="1"/>
  <c r="Y937" i="1"/>
  <c r="Z937" i="1"/>
  <c r="AA937" i="1"/>
  <c r="AB937" i="1"/>
  <c r="AC937" i="1"/>
  <c r="AD937" i="1"/>
  <c r="AE937" i="1"/>
  <c r="AF937" i="1"/>
  <c r="AG937" i="1"/>
  <c r="AH937" i="1"/>
  <c r="AI937" i="1"/>
  <c r="AJ937" i="1"/>
  <c r="AK937" i="1"/>
  <c r="C938" i="1"/>
  <c r="H938" i="1"/>
  <c r="I938" i="1"/>
  <c r="J938" i="1"/>
  <c r="K938" i="1"/>
  <c r="M938" i="1"/>
  <c r="P938" i="1"/>
  <c r="R938" i="1"/>
  <c r="S938" i="1"/>
  <c r="T938" i="1"/>
  <c r="U938" i="1"/>
  <c r="X938" i="1"/>
  <c r="Y938" i="1"/>
  <c r="Z938" i="1"/>
  <c r="AA938" i="1"/>
  <c r="AB938" i="1"/>
  <c r="AC938" i="1"/>
  <c r="AD938" i="1"/>
  <c r="AE938" i="1"/>
  <c r="AF938" i="1"/>
  <c r="AG938" i="1"/>
  <c r="AH938" i="1"/>
  <c r="AI938" i="1"/>
  <c r="AJ938" i="1"/>
  <c r="AK938" i="1"/>
  <c r="C939" i="1"/>
  <c r="H939" i="1"/>
  <c r="I939" i="1"/>
  <c r="J939" i="1"/>
  <c r="K939" i="1"/>
  <c r="M939" i="1"/>
  <c r="P939" i="1"/>
  <c r="R939" i="1"/>
  <c r="S939" i="1"/>
  <c r="T939" i="1"/>
  <c r="U939" i="1"/>
  <c r="X939" i="1"/>
  <c r="Y939" i="1"/>
  <c r="Z939" i="1"/>
  <c r="AA939" i="1"/>
  <c r="AB939" i="1"/>
  <c r="AC939" i="1"/>
  <c r="AD939" i="1"/>
  <c r="AE939" i="1"/>
  <c r="AF939" i="1"/>
  <c r="AG939" i="1"/>
  <c r="AH939" i="1"/>
  <c r="AI939" i="1"/>
  <c r="AJ939" i="1"/>
  <c r="AK939" i="1"/>
  <c r="C940" i="1"/>
  <c r="H940" i="1"/>
  <c r="I940" i="1"/>
  <c r="J940" i="1"/>
  <c r="K940" i="1"/>
  <c r="M940" i="1"/>
  <c r="P940" i="1"/>
  <c r="R940" i="1"/>
  <c r="S940" i="1"/>
  <c r="T940" i="1"/>
  <c r="U940" i="1"/>
  <c r="X940" i="1"/>
  <c r="Y940" i="1"/>
  <c r="Z940" i="1"/>
  <c r="AA940" i="1"/>
  <c r="AB940" i="1"/>
  <c r="AC940" i="1"/>
  <c r="AD940" i="1"/>
  <c r="AE940" i="1"/>
  <c r="AF940" i="1"/>
  <c r="AG940" i="1"/>
  <c r="AH940" i="1"/>
  <c r="AI940" i="1"/>
  <c r="AJ940" i="1"/>
  <c r="AK940" i="1"/>
  <c r="C941" i="1"/>
  <c r="H941" i="1"/>
  <c r="I941" i="1"/>
  <c r="J941" i="1"/>
  <c r="K941" i="1"/>
  <c r="M941" i="1"/>
  <c r="P941" i="1"/>
  <c r="R941" i="1"/>
  <c r="S941" i="1"/>
  <c r="T941" i="1"/>
  <c r="U941" i="1"/>
  <c r="X941" i="1"/>
  <c r="Y941" i="1"/>
  <c r="Z941" i="1"/>
  <c r="AA941" i="1"/>
  <c r="AB941" i="1"/>
  <c r="AC941" i="1"/>
  <c r="AD941" i="1"/>
  <c r="AE941" i="1"/>
  <c r="AF941" i="1"/>
  <c r="AG941" i="1"/>
  <c r="AH941" i="1"/>
  <c r="AI941" i="1"/>
  <c r="AJ941" i="1"/>
  <c r="AK941" i="1"/>
  <c r="C922" i="1"/>
  <c r="H922" i="1"/>
  <c r="I922" i="1"/>
  <c r="J922" i="1"/>
  <c r="K922" i="1"/>
  <c r="M922" i="1"/>
  <c r="P922" i="1"/>
  <c r="R922" i="1"/>
  <c r="S922" i="1"/>
  <c r="T922" i="1"/>
  <c r="U922" i="1"/>
  <c r="X922" i="1"/>
  <c r="Y922" i="1"/>
  <c r="Z922" i="1"/>
  <c r="AA922" i="1"/>
  <c r="AB922" i="1"/>
  <c r="AC922" i="1"/>
  <c r="AD922" i="1"/>
  <c r="AE922" i="1"/>
  <c r="AF922" i="1"/>
  <c r="AG922" i="1"/>
  <c r="AH922" i="1"/>
  <c r="AI922" i="1"/>
  <c r="AJ922" i="1"/>
  <c r="AK922" i="1"/>
  <c r="C923" i="1"/>
  <c r="H923" i="1"/>
  <c r="I923" i="1"/>
  <c r="J923" i="1"/>
  <c r="K923" i="1"/>
  <c r="M923" i="1"/>
  <c r="P923" i="1"/>
  <c r="R923" i="1"/>
  <c r="S923" i="1"/>
  <c r="T923" i="1"/>
  <c r="U923" i="1"/>
  <c r="X923" i="1"/>
  <c r="Y923" i="1"/>
  <c r="Z923" i="1"/>
  <c r="AA923" i="1"/>
  <c r="AB923" i="1"/>
  <c r="AC923" i="1"/>
  <c r="AD923" i="1"/>
  <c r="AE923" i="1"/>
  <c r="AF923" i="1"/>
  <c r="AG923" i="1"/>
  <c r="AH923" i="1"/>
  <c r="AI923" i="1"/>
  <c r="AJ923" i="1"/>
  <c r="AK923" i="1"/>
  <c r="C924" i="1"/>
  <c r="H924" i="1"/>
  <c r="I924" i="1"/>
  <c r="J924" i="1"/>
  <c r="K924" i="1"/>
  <c r="M924" i="1"/>
  <c r="P924" i="1"/>
  <c r="R924" i="1"/>
  <c r="S924" i="1"/>
  <c r="T924" i="1"/>
  <c r="U924" i="1"/>
  <c r="X924" i="1"/>
  <c r="Y924" i="1"/>
  <c r="Z924" i="1"/>
  <c r="AA924" i="1"/>
  <c r="AB924" i="1"/>
  <c r="AC924" i="1"/>
  <c r="AD924" i="1"/>
  <c r="AE924" i="1"/>
  <c r="AF924" i="1"/>
  <c r="AG924" i="1"/>
  <c r="AH924" i="1"/>
  <c r="AI924" i="1"/>
  <c r="AJ924" i="1"/>
  <c r="AK924" i="1"/>
  <c r="C925" i="1"/>
  <c r="H925" i="1"/>
  <c r="I925" i="1"/>
  <c r="J925" i="1"/>
  <c r="K925" i="1"/>
  <c r="M925" i="1"/>
  <c r="P925" i="1"/>
  <c r="R925" i="1"/>
  <c r="S925" i="1"/>
  <c r="T925" i="1"/>
  <c r="U925" i="1"/>
  <c r="X925" i="1"/>
  <c r="Y925" i="1"/>
  <c r="Z925" i="1"/>
  <c r="AA925" i="1"/>
  <c r="AB925" i="1"/>
  <c r="AC925" i="1"/>
  <c r="AD925" i="1"/>
  <c r="AE925" i="1"/>
  <c r="AF925" i="1"/>
  <c r="AG925" i="1"/>
  <c r="AH925" i="1"/>
  <c r="AI925" i="1"/>
  <c r="AJ925" i="1"/>
  <c r="AK925" i="1"/>
  <c r="C926" i="1"/>
  <c r="H926" i="1"/>
  <c r="I926" i="1"/>
  <c r="J926" i="1"/>
  <c r="K926" i="1"/>
  <c r="M926" i="1"/>
  <c r="P926" i="1"/>
  <c r="R926" i="1"/>
  <c r="S926" i="1"/>
  <c r="T926" i="1"/>
  <c r="U926" i="1"/>
  <c r="X926" i="1"/>
  <c r="Y926" i="1"/>
  <c r="Z926" i="1"/>
  <c r="AA926" i="1"/>
  <c r="AB926" i="1"/>
  <c r="AC926" i="1"/>
  <c r="AD926" i="1"/>
  <c r="AE926" i="1"/>
  <c r="AF926" i="1"/>
  <c r="AG926" i="1"/>
  <c r="AH926" i="1"/>
  <c r="AI926" i="1"/>
  <c r="AJ926" i="1"/>
  <c r="AK926" i="1"/>
  <c r="C927" i="1"/>
  <c r="H927" i="1"/>
  <c r="I927" i="1"/>
  <c r="J927" i="1"/>
  <c r="K927" i="1"/>
  <c r="M927" i="1"/>
  <c r="P927" i="1"/>
  <c r="R927" i="1"/>
  <c r="S927" i="1"/>
  <c r="T927" i="1"/>
  <c r="U927" i="1"/>
  <c r="X927" i="1"/>
  <c r="Y927" i="1"/>
  <c r="Z927" i="1"/>
  <c r="AA927" i="1"/>
  <c r="AB927" i="1"/>
  <c r="AC927" i="1"/>
  <c r="AD927" i="1"/>
  <c r="AE927" i="1"/>
  <c r="AF927" i="1"/>
  <c r="AG927" i="1"/>
  <c r="AH927" i="1"/>
  <c r="AI927" i="1"/>
  <c r="AJ927" i="1"/>
  <c r="AK927" i="1"/>
  <c r="C928" i="1"/>
  <c r="H928" i="1"/>
  <c r="I928" i="1"/>
  <c r="J928" i="1"/>
  <c r="K928" i="1"/>
  <c r="M928" i="1"/>
  <c r="P928" i="1"/>
  <c r="R928" i="1"/>
  <c r="S928" i="1"/>
  <c r="T928" i="1"/>
  <c r="U928" i="1"/>
  <c r="X928" i="1"/>
  <c r="Y928" i="1"/>
  <c r="Z928" i="1"/>
  <c r="AA928" i="1"/>
  <c r="AB928" i="1"/>
  <c r="AC928" i="1"/>
  <c r="AD928" i="1"/>
  <c r="AE928" i="1"/>
  <c r="AF928" i="1"/>
  <c r="AG928" i="1"/>
  <c r="AH928" i="1"/>
  <c r="AI928" i="1"/>
  <c r="AJ928" i="1"/>
  <c r="AK928" i="1"/>
  <c r="C929" i="1"/>
  <c r="H929" i="1"/>
  <c r="I929" i="1"/>
  <c r="J929" i="1"/>
  <c r="K929" i="1"/>
  <c r="M929" i="1"/>
  <c r="P929" i="1"/>
  <c r="R929" i="1"/>
  <c r="S929" i="1"/>
  <c r="T929" i="1"/>
  <c r="U929" i="1"/>
  <c r="X929" i="1"/>
  <c r="Y929" i="1"/>
  <c r="Z929" i="1"/>
  <c r="AA929" i="1"/>
  <c r="AB929" i="1"/>
  <c r="AC929" i="1"/>
  <c r="AD929" i="1"/>
  <c r="AE929" i="1"/>
  <c r="AF929" i="1"/>
  <c r="AG929" i="1"/>
  <c r="AH929" i="1"/>
  <c r="AI929" i="1"/>
  <c r="AJ929" i="1"/>
  <c r="AK929" i="1"/>
  <c r="C930" i="1"/>
  <c r="H930" i="1"/>
  <c r="I930" i="1"/>
  <c r="J930" i="1"/>
  <c r="K930" i="1"/>
  <c r="M930" i="1"/>
  <c r="P930" i="1"/>
  <c r="R930" i="1"/>
  <c r="S930" i="1"/>
  <c r="T930" i="1"/>
  <c r="U930" i="1"/>
  <c r="X930" i="1"/>
  <c r="Y930" i="1"/>
  <c r="Z930" i="1"/>
  <c r="AA930" i="1"/>
  <c r="AB930" i="1"/>
  <c r="AC930" i="1"/>
  <c r="AD930" i="1"/>
  <c r="AE930" i="1"/>
  <c r="AF930" i="1"/>
  <c r="AG930" i="1"/>
  <c r="AH930" i="1"/>
  <c r="AI930" i="1"/>
  <c r="AJ930" i="1"/>
  <c r="AK930" i="1"/>
  <c r="C931" i="1"/>
  <c r="H931" i="1"/>
  <c r="I931" i="1"/>
  <c r="J931" i="1"/>
  <c r="K931" i="1"/>
  <c r="M931" i="1"/>
  <c r="P931" i="1"/>
  <c r="R931" i="1"/>
  <c r="S931" i="1"/>
  <c r="T931" i="1"/>
  <c r="U931" i="1"/>
  <c r="X931" i="1"/>
  <c r="Y931" i="1"/>
  <c r="Z931" i="1"/>
  <c r="AA931" i="1"/>
  <c r="AB931" i="1"/>
  <c r="AC931" i="1"/>
  <c r="AD931" i="1"/>
  <c r="AE931" i="1"/>
  <c r="AF931" i="1"/>
  <c r="AG931" i="1"/>
  <c r="AH931" i="1"/>
  <c r="AI931" i="1"/>
  <c r="AJ931" i="1"/>
  <c r="AK931" i="1"/>
  <c r="C912" i="1"/>
  <c r="H912" i="1"/>
  <c r="I912" i="1"/>
  <c r="J912" i="1"/>
  <c r="K912" i="1"/>
  <c r="M912" i="1"/>
  <c r="P912" i="1"/>
  <c r="R912" i="1"/>
  <c r="S912" i="1"/>
  <c r="T912" i="1"/>
  <c r="U912" i="1"/>
  <c r="X912" i="1"/>
  <c r="Y912" i="1"/>
  <c r="Z912" i="1"/>
  <c r="AA912" i="1"/>
  <c r="AB912" i="1"/>
  <c r="AC912" i="1"/>
  <c r="AD912" i="1"/>
  <c r="AE912" i="1"/>
  <c r="AF912" i="1"/>
  <c r="AG912" i="1"/>
  <c r="AH912" i="1"/>
  <c r="AI912" i="1"/>
  <c r="AJ912" i="1"/>
  <c r="AK912" i="1"/>
  <c r="C913" i="1"/>
  <c r="H913" i="1"/>
  <c r="I913" i="1"/>
  <c r="J913" i="1"/>
  <c r="K913" i="1"/>
  <c r="M913" i="1"/>
  <c r="P913" i="1"/>
  <c r="R913" i="1"/>
  <c r="S913" i="1"/>
  <c r="T913" i="1"/>
  <c r="U913" i="1"/>
  <c r="X913" i="1"/>
  <c r="Y913" i="1"/>
  <c r="Z913" i="1"/>
  <c r="AA913" i="1"/>
  <c r="AB913" i="1"/>
  <c r="AC913" i="1"/>
  <c r="AD913" i="1"/>
  <c r="AE913" i="1"/>
  <c r="AF913" i="1"/>
  <c r="AG913" i="1"/>
  <c r="AH913" i="1"/>
  <c r="AI913" i="1"/>
  <c r="AJ913" i="1"/>
  <c r="AK913" i="1"/>
  <c r="C914" i="1"/>
  <c r="H914" i="1"/>
  <c r="I914" i="1"/>
  <c r="J914" i="1"/>
  <c r="K914" i="1"/>
  <c r="M914" i="1"/>
  <c r="P914" i="1"/>
  <c r="R914" i="1"/>
  <c r="S914" i="1"/>
  <c r="T914" i="1"/>
  <c r="U914" i="1"/>
  <c r="X914" i="1"/>
  <c r="Y914" i="1"/>
  <c r="Z914" i="1"/>
  <c r="AA914" i="1"/>
  <c r="AB914" i="1"/>
  <c r="AC914" i="1"/>
  <c r="AD914" i="1"/>
  <c r="AE914" i="1"/>
  <c r="AF914" i="1"/>
  <c r="AG914" i="1"/>
  <c r="AH914" i="1"/>
  <c r="AI914" i="1"/>
  <c r="AJ914" i="1"/>
  <c r="AK914" i="1"/>
  <c r="C915" i="1"/>
  <c r="H915" i="1"/>
  <c r="I915" i="1"/>
  <c r="J915" i="1"/>
  <c r="K915" i="1"/>
  <c r="M915" i="1"/>
  <c r="P915" i="1"/>
  <c r="R915" i="1"/>
  <c r="S915" i="1"/>
  <c r="T915" i="1"/>
  <c r="U915" i="1"/>
  <c r="X915" i="1"/>
  <c r="Y915" i="1"/>
  <c r="Z915" i="1"/>
  <c r="AA915" i="1"/>
  <c r="AB915" i="1"/>
  <c r="AC915" i="1"/>
  <c r="AD915" i="1"/>
  <c r="AE915" i="1"/>
  <c r="AF915" i="1"/>
  <c r="AG915" i="1"/>
  <c r="AH915" i="1"/>
  <c r="AI915" i="1"/>
  <c r="AJ915" i="1"/>
  <c r="AK915" i="1"/>
  <c r="C916" i="1"/>
  <c r="H916" i="1"/>
  <c r="I916" i="1"/>
  <c r="J916" i="1"/>
  <c r="K916" i="1"/>
  <c r="M916" i="1"/>
  <c r="P916" i="1"/>
  <c r="R916" i="1"/>
  <c r="S916" i="1"/>
  <c r="T916" i="1"/>
  <c r="U916" i="1"/>
  <c r="X916" i="1"/>
  <c r="Y916" i="1"/>
  <c r="Z916" i="1"/>
  <c r="AA916" i="1"/>
  <c r="AB916" i="1"/>
  <c r="AC916" i="1"/>
  <c r="AD916" i="1"/>
  <c r="AE916" i="1"/>
  <c r="AF916" i="1"/>
  <c r="AG916" i="1"/>
  <c r="AH916" i="1"/>
  <c r="AI916" i="1"/>
  <c r="AJ916" i="1"/>
  <c r="AK916" i="1"/>
  <c r="C917" i="1"/>
  <c r="H917" i="1"/>
  <c r="I917" i="1"/>
  <c r="J917" i="1"/>
  <c r="K917" i="1"/>
  <c r="M917" i="1"/>
  <c r="P917" i="1"/>
  <c r="R917" i="1"/>
  <c r="S917" i="1"/>
  <c r="T917" i="1"/>
  <c r="U917" i="1"/>
  <c r="X917" i="1"/>
  <c r="Y917" i="1"/>
  <c r="Z917" i="1"/>
  <c r="AA917" i="1"/>
  <c r="AB917" i="1"/>
  <c r="AC917" i="1"/>
  <c r="AD917" i="1"/>
  <c r="AE917" i="1"/>
  <c r="AF917" i="1"/>
  <c r="AG917" i="1"/>
  <c r="AH917" i="1"/>
  <c r="AI917" i="1"/>
  <c r="AJ917" i="1"/>
  <c r="AK917" i="1"/>
  <c r="C918" i="1"/>
  <c r="H918" i="1"/>
  <c r="I918" i="1"/>
  <c r="J918" i="1"/>
  <c r="K918" i="1"/>
  <c r="M918" i="1"/>
  <c r="P918" i="1"/>
  <c r="R918" i="1"/>
  <c r="S918" i="1"/>
  <c r="T918" i="1"/>
  <c r="U918" i="1"/>
  <c r="X918" i="1"/>
  <c r="Y918" i="1"/>
  <c r="Z918" i="1"/>
  <c r="AA918" i="1"/>
  <c r="AB918" i="1"/>
  <c r="AC918" i="1"/>
  <c r="AD918" i="1"/>
  <c r="AE918" i="1"/>
  <c r="AF918" i="1"/>
  <c r="AG918" i="1"/>
  <c r="AH918" i="1"/>
  <c r="AI918" i="1"/>
  <c r="AJ918" i="1"/>
  <c r="AK918" i="1"/>
  <c r="C919" i="1"/>
  <c r="H919" i="1"/>
  <c r="I919" i="1"/>
  <c r="J919" i="1"/>
  <c r="K919" i="1"/>
  <c r="M919" i="1"/>
  <c r="P919" i="1"/>
  <c r="R919" i="1"/>
  <c r="S919" i="1"/>
  <c r="T919" i="1"/>
  <c r="U919" i="1"/>
  <c r="X919" i="1"/>
  <c r="Y919" i="1"/>
  <c r="Z919" i="1"/>
  <c r="AA919" i="1"/>
  <c r="AB919" i="1"/>
  <c r="AC919" i="1"/>
  <c r="AD919" i="1"/>
  <c r="AE919" i="1"/>
  <c r="AF919" i="1"/>
  <c r="AG919" i="1"/>
  <c r="AH919" i="1"/>
  <c r="AI919" i="1"/>
  <c r="AJ919" i="1"/>
  <c r="AK919" i="1"/>
  <c r="C920" i="1"/>
  <c r="H920" i="1"/>
  <c r="I920" i="1"/>
  <c r="J920" i="1"/>
  <c r="K920" i="1"/>
  <c r="M920" i="1"/>
  <c r="P920" i="1"/>
  <c r="R920" i="1"/>
  <c r="S920" i="1"/>
  <c r="T920" i="1"/>
  <c r="U920" i="1"/>
  <c r="X920" i="1"/>
  <c r="Y920" i="1"/>
  <c r="Z920" i="1"/>
  <c r="AA920" i="1"/>
  <c r="AB920" i="1"/>
  <c r="AC920" i="1"/>
  <c r="AD920" i="1"/>
  <c r="AE920" i="1"/>
  <c r="AF920" i="1"/>
  <c r="AG920" i="1"/>
  <c r="AH920" i="1"/>
  <c r="AI920" i="1"/>
  <c r="AJ920" i="1"/>
  <c r="AK920" i="1"/>
  <c r="C921" i="1"/>
  <c r="H921" i="1"/>
  <c r="I921" i="1"/>
  <c r="J921" i="1"/>
  <c r="K921" i="1"/>
  <c r="M921" i="1"/>
  <c r="P921" i="1"/>
  <c r="R921" i="1"/>
  <c r="S921" i="1"/>
  <c r="T921" i="1"/>
  <c r="U921" i="1"/>
  <c r="X921" i="1"/>
  <c r="Y921" i="1"/>
  <c r="Z921" i="1"/>
  <c r="AA921" i="1"/>
  <c r="AB921" i="1"/>
  <c r="AC921" i="1"/>
  <c r="AD921" i="1"/>
  <c r="AE921" i="1"/>
  <c r="AF921" i="1"/>
  <c r="AG921" i="1"/>
  <c r="AH921" i="1"/>
  <c r="AI921" i="1"/>
  <c r="AJ921" i="1"/>
  <c r="AK921" i="1"/>
  <c r="C902" i="1"/>
  <c r="H902" i="1"/>
  <c r="I902" i="1"/>
  <c r="J902" i="1"/>
  <c r="K902" i="1"/>
  <c r="M902" i="1"/>
  <c r="P902" i="1"/>
  <c r="R902" i="1"/>
  <c r="S902" i="1"/>
  <c r="T902" i="1"/>
  <c r="U902" i="1"/>
  <c r="X902" i="1"/>
  <c r="Y902" i="1"/>
  <c r="Z902" i="1"/>
  <c r="AA902" i="1"/>
  <c r="AB902" i="1"/>
  <c r="AC902" i="1"/>
  <c r="AD902" i="1"/>
  <c r="AE902" i="1"/>
  <c r="AF902" i="1"/>
  <c r="AG902" i="1"/>
  <c r="AH902" i="1"/>
  <c r="AI902" i="1"/>
  <c r="AJ902" i="1"/>
  <c r="AK902" i="1"/>
  <c r="C903" i="1"/>
  <c r="H903" i="1"/>
  <c r="I903" i="1"/>
  <c r="J903" i="1"/>
  <c r="K903" i="1"/>
  <c r="M903" i="1"/>
  <c r="P903" i="1"/>
  <c r="R903" i="1"/>
  <c r="S903" i="1"/>
  <c r="T903" i="1"/>
  <c r="U903" i="1"/>
  <c r="X903" i="1"/>
  <c r="Y903" i="1"/>
  <c r="Z903" i="1"/>
  <c r="AA903" i="1"/>
  <c r="AB903" i="1"/>
  <c r="AC903" i="1"/>
  <c r="AD903" i="1"/>
  <c r="AE903" i="1"/>
  <c r="AF903" i="1"/>
  <c r="AG903" i="1"/>
  <c r="AH903" i="1"/>
  <c r="AI903" i="1"/>
  <c r="AJ903" i="1"/>
  <c r="AK903" i="1"/>
  <c r="C904" i="1"/>
  <c r="H904" i="1"/>
  <c r="I904" i="1"/>
  <c r="J904" i="1"/>
  <c r="K904" i="1"/>
  <c r="M904" i="1"/>
  <c r="P904" i="1"/>
  <c r="R904" i="1"/>
  <c r="S904" i="1"/>
  <c r="T904" i="1"/>
  <c r="U904" i="1"/>
  <c r="X904" i="1"/>
  <c r="Y904" i="1"/>
  <c r="Z904" i="1"/>
  <c r="AA904" i="1"/>
  <c r="AB904" i="1"/>
  <c r="AC904" i="1"/>
  <c r="AD904" i="1"/>
  <c r="AE904" i="1"/>
  <c r="AF904" i="1"/>
  <c r="AG904" i="1"/>
  <c r="AH904" i="1"/>
  <c r="AI904" i="1"/>
  <c r="AJ904" i="1"/>
  <c r="AK904" i="1"/>
  <c r="C905" i="1"/>
  <c r="H905" i="1"/>
  <c r="I905" i="1"/>
  <c r="J905" i="1"/>
  <c r="K905" i="1"/>
  <c r="M905" i="1"/>
  <c r="P905" i="1"/>
  <c r="R905" i="1"/>
  <c r="S905" i="1"/>
  <c r="T905" i="1"/>
  <c r="U905" i="1"/>
  <c r="X905" i="1"/>
  <c r="Y905" i="1"/>
  <c r="Z905" i="1"/>
  <c r="AA905" i="1"/>
  <c r="AB905" i="1"/>
  <c r="AC905" i="1"/>
  <c r="AD905" i="1"/>
  <c r="AE905" i="1"/>
  <c r="AF905" i="1"/>
  <c r="AG905" i="1"/>
  <c r="AH905" i="1"/>
  <c r="AI905" i="1"/>
  <c r="AJ905" i="1"/>
  <c r="AK905" i="1"/>
  <c r="C906" i="1"/>
  <c r="H906" i="1"/>
  <c r="I906" i="1"/>
  <c r="J906" i="1"/>
  <c r="K906" i="1"/>
  <c r="M906" i="1"/>
  <c r="P906" i="1"/>
  <c r="R906" i="1"/>
  <c r="S906" i="1"/>
  <c r="T906" i="1"/>
  <c r="U906" i="1"/>
  <c r="X906" i="1"/>
  <c r="Y906" i="1"/>
  <c r="Z906" i="1"/>
  <c r="AA906" i="1"/>
  <c r="AB906" i="1"/>
  <c r="AC906" i="1"/>
  <c r="AD906" i="1"/>
  <c r="AE906" i="1"/>
  <c r="AF906" i="1"/>
  <c r="AG906" i="1"/>
  <c r="AH906" i="1"/>
  <c r="AI906" i="1"/>
  <c r="AJ906" i="1"/>
  <c r="AK906" i="1"/>
  <c r="C907" i="1"/>
  <c r="H907" i="1"/>
  <c r="I907" i="1"/>
  <c r="J907" i="1"/>
  <c r="K907" i="1"/>
  <c r="M907" i="1"/>
  <c r="P907" i="1"/>
  <c r="R907" i="1"/>
  <c r="S907" i="1"/>
  <c r="T907" i="1"/>
  <c r="U907" i="1"/>
  <c r="X907" i="1"/>
  <c r="Y907" i="1"/>
  <c r="Z907" i="1"/>
  <c r="AA907" i="1"/>
  <c r="AB907" i="1"/>
  <c r="AC907" i="1"/>
  <c r="AD907" i="1"/>
  <c r="AE907" i="1"/>
  <c r="AF907" i="1"/>
  <c r="AG907" i="1"/>
  <c r="AH907" i="1"/>
  <c r="AI907" i="1"/>
  <c r="AJ907" i="1"/>
  <c r="AK907" i="1"/>
  <c r="C908" i="1"/>
  <c r="H908" i="1"/>
  <c r="I908" i="1"/>
  <c r="J908" i="1"/>
  <c r="K908" i="1"/>
  <c r="M908" i="1"/>
  <c r="P908" i="1"/>
  <c r="R908" i="1"/>
  <c r="S908" i="1"/>
  <c r="T908" i="1"/>
  <c r="U908" i="1"/>
  <c r="X908" i="1"/>
  <c r="Y908" i="1"/>
  <c r="Z908" i="1"/>
  <c r="AA908" i="1"/>
  <c r="AB908" i="1"/>
  <c r="AC908" i="1"/>
  <c r="AD908" i="1"/>
  <c r="AE908" i="1"/>
  <c r="AF908" i="1"/>
  <c r="AG908" i="1"/>
  <c r="AH908" i="1"/>
  <c r="AI908" i="1"/>
  <c r="AJ908" i="1"/>
  <c r="AK908" i="1"/>
  <c r="C909" i="1"/>
  <c r="H909" i="1"/>
  <c r="I909" i="1"/>
  <c r="J909" i="1"/>
  <c r="K909" i="1"/>
  <c r="M909" i="1"/>
  <c r="P909" i="1"/>
  <c r="R909" i="1"/>
  <c r="S909" i="1"/>
  <c r="T909" i="1"/>
  <c r="U909" i="1"/>
  <c r="X909" i="1"/>
  <c r="Y909" i="1"/>
  <c r="Z909" i="1"/>
  <c r="AA909" i="1"/>
  <c r="AB909" i="1"/>
  <c r="AC909" i="1"/>
  <c r="AD909" i="1"/>
  <c r="AE909" i="1"/>
  <c r="AF909" i="1"/>
  <c r="AG909" i="1"/>
  <c r="AH909" i="1"/>
  <c r="AI909" i="1"/>
  <c r="AJ909" i="1"/>
  <c r="AK909" i="1"/>
  <c r="C910" i="1"/>
  <c r="H910" i="1"/>
  <c r="I910" i="1"/>
  <c r="J910" i="1"/>
  <c r="K910" i="1"/>
  <c r="M910" i="1"/>
  <c r="P910" i="1"/>
  <c r="R910" i="1"/>
  <c r="S910" i="1"/>
  <c r="T910" i="1"/>
  <c r="U910" i="1"/>
  <c r="X910" i="1"/>
  <c r="Y910" i="1"/>
  <c r="Z910" i="1"/>
  <c r="AA910" i="1"/>
  <c r="AB910" i="1"/>
  <c r="AC910" i="1"/>
  <c r="AD910" i="1"/>
  <c r="AE910" i="1"/>
  <c r="AF910" i="1"/>
  <c r="AG910" i="1"/>
  <c r="AH910" i="1"/>
  <c r="AI910" i="1"/>
  <c r="AJ910" i="1"/>
  <c r="AK910" i="1"/>
  <c r="C911" i="1"/>
  <c r="H911" i="1"/>
  <c r="I911" i="1"/>
  <c r="J911" i="1"/>
  <c r="K911" i="1"/>
  <c r="M911" i="1"/>
  <c r="P911" i="1"/>
  <c r="R911" i="1"/>
  <c r="S911" i="1"/>
  <c r="T911" i="1"/>
  <c r="U911" i="1"/>
  <c r="X911" i="1"/>
  <c r="Y911" i="1"/>
  <c r="Z911" i="1"/>
  <c r="AA911" i="1"/>
  <c r="AB911" i="1"/>
  <c r="AC911" i="1"/>
  <c r="AD911" i="1"/>
  <c r="AE911" i="1"/>
  <c r="AF911" i="1"/>
  <c r="AG911" i="1"/>
  <c r="AH911" i="1"/>
  <c r="AI911" i="1"/>
  <c r="AJ911" i="1"/>
  <c r="AK911" i="1"/>
  <c r="C892" i="1"/>
  <c r="H892" i="1"/>
  <c r="I892" i="1"/>
  <c r="J892" i="1"/>
  <c r="K892" i="1"/>
  <c r="M892" i="1"/>
  <c r="P892" i="1"/>
  <c r="R892" i="1"/>
  <c r="S892" i="1"/>
  <c r="T892" i="1"/>
  <c r="U892" i="1"/>
  <c r="X892" i="1"/>
  <c r="Y892" i="1"/>
  <c r="Z892" i="1"/>
  <c r="AA892" i="1"/>
  <c r="AB892" i="1"/>
  <c r="AC892" i="1"/>
  <c r="AD892" i="1"/>
  <c r="AE892" i="1"/>
  <c r="AF892" i="1"/>
  <c r="AG892" i="1"/>
  <c r="AH892" i="1"/>
  <c r="AI892" i="1"/>
  <c r="AJ892" i="1"/>
  <c r="AK892" i="1"/>
  <c r="C893" i="1"/>
  <c r="H893" i="1"/>
  <c r="I893" i="1"/>
  <c r="J893" i="1"/>
  <c r="K893" i="1"/>
  <c r="M893" i="1"/>
  <c r="P893" i="1"/>
  <c r="R893" i="1"/>
  <c r="S893" i="1"/>
  <c r="T893" i="1"/>
  <c r="U893" i="1"/>
  <c r="X893" i="1"/>
  <c r="Y893" i="1"/>
  <c r="Z893" i="1"/>
  <c r="AA893" i="1"/>
  <c r="AB893" i="1"/>
  <c r="AC893" i="1"/>
  <c r="AD893" i="1"/>
  <c r="AE893" i="1"/>
  <c r="AF893" i="1"/>
  <c r="AG893" i="1"/>
  <c r="AH893" i="1"/>
  <c r="AI893" i="1"/>
  <c r="AJ893" i="1"/>
  <c r="AK893" i="1"/>
  <c r="C894" i="1"/>
  <c r="H894" i="1"/>
  <c r="I894" i="1"/>
  <c r="J894" i="1"/>
  <c r="K894" i="1"/>
  <c r="M894" i="1"/>
  <c r="P894" i="1"/>
  <c r="R894" i="1"/>
  <c r="S894" i="1"/>
  <c r="T894" i="1"/>
  <c r="U894" i="1"/>
  <c r="X894" i="1"/>
  <c r="Y894" i="1"/>
  <c r="Z894" i="1"/>
  <c r="AA894" i="1"/>
  <c r="AB894" i="1"/>
  <c r="AC894" i="1"/>
  <c r="AD894" i="1"/>
  <c r="AE894" i="1"/>
  <c r="AF894" i="1"/>
  <c r="AG894" i="1"/>
  <c r="AH894" i="1"/>
  <c r="AI894" i="1"/>
  <c r="AJ894" i="1"/>
  <c r="AK894" i="1"/>
  <c r="C895" i="1"/>
  <c r="H895" i="1"/>
  <c r="I895" i="1"/>
  <c r="J895" i="1"/>
  <c r="K895" i="1"/>
  <c r="M895" i="1"/>
  <c r="P895" i="1"/>
  <c r="R895" i="1"/>
  <c r="S895" i="1"/>
  <c r="T895" i="1"/>
  <c r="U895" i="1"/>
  <c r="X895" i="1"/>
  <c r="Y895" i="1"/>
  <c r="Z895" i="1"/>
  <c r="AA895" i="1"/>
  <c r="AB895" i="1"/>
  <c r="AC895" i="1"/>
  <c r="AD895" i="1"/>
  <c r="AE895" i="1"/>
  <c r="AF895" i="1"/>
  <c r="AG895" i="1"/>
  <c r="AH895" i="1"/>
  <c r="AI895" i="1"/>
  <c r="AJ895" i="1"/>
  <c r="AK895" i="1"/>
  <c r="C896" i="1"/>
  <c r="H896" i="1"/>
  <c r="I896" i="1"/>
  <c r="J896" i="1"/>
  <c r="K896" i="1"/>
  <c r="M896" i="1"/>
  <c r="P896" i="1"/>
  <c r="R896" i="1"/>
  <c r="S896" i="1"/>
  <c r="T896" i="1"/>
  <c r="U896" i="1"/>
  <c r="X896" i="1"/>
  <c r="Y896" i="1"/>
  <c r="Z896" i="1"/>
  <c r="AA896" i="1"/>
  <c r="AB896" i="1"/>
  <c r="AC896" i="1"/>
  <c r="AD896" i="1"/>
  <c r="AE896" i="1"/>
  <c r="AF896" i="1"/>
  <c r="AG896" i="1"/>
  <c r="AH896" i="1"/>
  <c r="AI896" i="1"/>
  <c r="AJ896" i="1"/>
  <c r="AK896" i="1"/>
  <c r="C897" i="1"/>
  <c r="H897" i="1"/>
  <c r="I897" i="1"/>
  <c r="J897" i="1"/>
  <c r="K897" i="1"/>
  <c r="M897" i="1"/>
  <c r="P897" i="1"/>
  <c r="R897" i="1"/>
  <c r="S897" i="1"/>
  <c r="T897" i="1"/>
  <c r="U897" i="1"/>
  <c r="X897" i="1"/>
  <c r="Y897" i="1"/>
  <c r="Z897" i="1"/>
  <c r="AA897" i="1"/>
  <c r="AB897" i="1"/>
  <c r="AC897" i="1"/>
  <c r="AD897" i="1"/>
  <c r="AE897" i="1"/>
  <c r="AF897" i="1"/>
  <c r="AG897" i="1"/>
  <c r="AH897" i="1"/>
  <c r="AI897" i="1"/>
  <c r="AJ897" i="1"/>
  <c r="AK897" i="1"/>
  <c r="C898" i="1"/>
  <c r="H898" i="1"/>
  <c r="I898" i="1"/>
  <c r="J898" i="1"/>
  <c r="K898" i="1"/>
  <c r="M898" i="1"/>
  <c r="P898" i="1"/>
  <c r="R898" i="1"/>
  <c r="S898" i="1"/>
  <c r="T898" i="1"/>
  <c r="U898" i="1"/>
  <c r="X898" i="1"/>
  <c r="Y898" i="1"/>
  <c r="Z898" i="1"/>
  <c r="AA898" i="1"/>
  <c r="AB898" i="1"/>
  <c r="AC898" i="1"/>
  <c r="AD898" i="1"/>
  <c r="AE898" i="1"/>
  <c r="AF898" i="1"/>
  <c r="AG898" i="1"/>
  <c r="AH898" i="1"/>
  <c r="AI898" i="1"/>
  <c r="AJ898" i="1"/>
  <c r="AK898" i="1"/>
  <c r="C899" i="1"/>
  <c r="H899" i="1"/>
  <c r="I899" i="1"/>
  <c r="J899" i="1"/>
  <c r="K899" i="1"/>
  <c r="M899" i="1"/>
  <c r="P899" i="1"/>
  <c r="R899" i="1"/>
  <c r="S899" i="1"/>
  <c r="T899" i="1"/>
  <c r="U899" i="1"/>
  <c r="X899" i="1"/>
  <c r="Y899" i="1"/>
  <c r="Z899" i="1"/>
  <c r="AA899" i="1"/>
  <c r="AB899" i="1"/>
  <c r="AC899" i="1"/>
  <c r="AD899" i="1"/>
  <c r="AE899" i="1"/>
  <c r="AF899" i="1"/>
  <c r="AG899" i="1"/>
  <c r="AH899" i="1"/>
  <c r="AI899" i="1"/>
  <c r="AJ899" i="1"/>
  <c r="AK899" i="1"/>
  <c r="C900" i="1"/>
  <c r="H900" i="1"/>
  <c r="I900" i="1"/>
  <c r="J900" i="1"/>
  <c r="K900" i="1"/>
  <c r="M900" i="1"/>
  <c r="P900" i="1"/>
  <c r="R900" i="1"/>
  <c r="S900" i="1"/>
  <c r="T900" i="1"/>
  <c r="U900" i="1"/>
  <c r="X900" i="1"/>
  <c r="Y900" i="1"/>
  <c r="Z900" i="1"/>
  <c r="AA900" i="1"/>
  <c r="AB900" i="1"/>
  <c r="AC900" i="1"/>
  <c r="AD900" i="1"/>
  <c r="AE900" i="1"/>
  <c r="AF900" i="1"/>
  <c r="AG900" i="1"/>
  <c r="AH900" i="1"/>
  <c r="AI900" i="1"/>
  <c r="AJ900" i="1"/>
  <c r="AK900" i="1"/>
  <c r="C901" i="1"/>
  <c r="H901" i="1"/>
  <c r="I901" i="1"/>
  <c r="J901" i="1"/>
  <c r="K901" i="1"/>
  <c r="M901" i="1"/>
  <c r="P901" i="1"/>
  <c r="R901" i="1"/>
  <c r="S901" i="1"/>
  <c r="T901" i="1"/>
  <c r="U901" i="1"/>
  <c r="X901" i="1"/>
  <c r="Y901" i="1"/>
  <c r="Z901" i="1"/>
  <c r="AA901" i="1"/>
  <c r="AB901" i="1"/>
  <c r="AC901" i="1"/>
  <c r="AD901" i="1"/>
  <c r="AE901" i="1"/>
  <c r="AF901" i="1"/>
  <c r="AG901" i="1"/>
  <c r="AH901" i="1"/>
  <c r="AI901" i="1"/>
  <c r="AJ901" i="1"/>
  <c r="AK901" i="1"/>
  <c r="C882" i="1"/>
  <c r="H882" i="1"/>
  <c r="I882" i="1"/>
  <c r="J882" i="1"/>
  <c r="K882" i="1"/>
  <c r="M882" i="1"/>
  <c r="P882" i="1"/>
  <c r="R882" i="1"/>
  <c r="S882" i="1"/>
  <c r="T882" i="1"/>
  <c r="U882" i="1"/>
  <c r="X882" i="1"/>
  <c r="Y882" i="1"/>
  <c r="Z882" i="1"/>
  <c r="AA882" i="1"/>
  <c r="AB882" i="1"/>
  <c r="AC882" i="1"/>
  <c r="AD882" i="1"/>
  <c r="AE882" i="1"/>
  <c r="AF882" i="1"/>
  <c r="AG882" i="1"/>
  <c r="AH882" i="1"/>
  <c r="AI882" i="1"/>
  <c r="AJ882" i="1"/>
  <c r="AK882" i="1"/>
  <c r="C883" i="1"/>
  <c r="H883" i="1"/>
  <c r="I883" i="1"/>
  <c r="J883" i="1"/>
  <c r="K883" i="1"/>
  <c r="M883" i="1"/>
  <c r="P883" i="1"/>
  <c r="R883" i="1"/>
  <c r="S883" i="1"/>
  <c r="T883" i="1"/>
  <c r="U883" i="1"/>
  <c r="X883" i="1"/>
  <c r="Y883" i="1"/>
  <c r="Z883" i="1"/>
  <c r="AA883" i="1"/>
  <c r="AB883" i="1"/>
  <c r="AC883" i="1"/>
  <c r="AD883" i="1"/>
  <c r="AE883" i="1"/>
  <c r="AF883" i="1"/>
  <c r="AG883" i="1"/>
  <c r="AH883" i="1"/>
  <c r="AI883" i="1"/>
  <c r="AJ883" i="1"/>
  <c r="AK883" i="1"/>
  <c r="C884" i="1"/>
  <c r="H884" i="1"/>
  <c r="I884" i="1"/>
  <c r="J884" i="1"/>
  <c r="K884" i="1"/>
  <c r="M884" i="1"/>
  <c r="P884" i="1"/>
  <c r="R884" i="1"/>
  <c r="S884" i="1"/>
  <c r="T884" i="1"/>
  <c r="U884" i="1"/>
  <c r="X884" i="1"/>
  <c r="Y884" i="1"/>
  <c r="Z884" i="1"/>
  <c r="AA884" i="1"/>
  <c r="AB884" i="1"/>
  <c r="AC884" i="1"/>
  <c r="AD884" i="1"/>
  <c r="AE884" i="1"/>
  <c r="AF884" i="1"/>
  <c r="AG884" i="1"/>
  <c r="AH884" i="1"/>
  <c r="AI884" i="1"/>
  <c r="AJ884" i="1"/>
  <c r="AK884" i="1"/>
  <c r="C885" i="1"/>
  <c r="H885" i="1"/>
  <c r="I885" i="1"/>
  <c r="J885" i="1"/>
  <c r="K885" i="1"/>
  <c r="M885" i="1"/>
  <c r="P885" i="1"/>
  <c r="R885" i="1"/>
  <c r="S885" i="1"/>
  <c r="T885" i="1"/>
  <c r="U885" i="1"/>
  <c r="X885" i="1"/>
  <c r="Y885" i="1"/>
  <c r="Z885" i="1"/>
  <c r="AA885" i="1"/>
  <c r="AB885" i="1"/>
  <c r="AC885" i="1"/>
  <c r="AD885" i="1"/>
  <c r="AE885" i="1"/>
  <c r="AF885" i="1"/>
  <c r="AG885" i="1"/>
  <c r="AH885" i="1"/>
  <c r="AI885" i="1"/>
  <c r="AJ885" i="1"/>
  <c r="AK885" i="1"/>
  <c r="C886" i="1"/>
  <c r="H886" i="1"/>
  <c r="I886" i="1"/>
  <c r="J886" i="1"/>
  <c r="K886" i="1"/>
  <c r="M886" i="1"/>
  <c r="P886" i="1"/>
  <c r="R886" i="1"/>
  <c r="S886" i="1"/>
  <c r="T886" i="1"/>
  <c r="U886" i="1"/>
  <c r="X886" i="1"/>
  <c r="Y886" i="1"/>
  <c r="Z886" i="1"/>
  <c r="AA886" i="1"/>
  <c r="AB886" i="1"/>
  <c r="AC886" i="1"/>
  <c r="AD886" i="1"/>
  <c r="AE886" i="1"/>
  <c r="AF886" i="1"/>
  <c r="AG886" i="1"/>
  <c r="AH886" i="1"/>
  <c r="AI886" i="1"/>
  <c r="AJ886" i="1"/>
  <c r="AK886" i="1"/>
  <c r="C887" i="1"/>
  <c r="H887" i="1"/>
  <c r="I887" i="1"/>
  <c r="J887" i="1"/>
  <c r="K887" i="1"/>
  <c r="M887" i="1"/>
  <c r="P887" i="1"/>
  <c r="R887" i="1"/>
  <c r="S887" i="1"/>
  <c r="T887" i="1"/>
  <c r="U887" i="1"/>
  <c r="X887" i="1"/>
  <c r="Y887" i="1"/>
  <c r="Z887" i="1"/>
  <c r="AA887" i="1"/>
  <c r="AB887" i="1"/>
  <c r="AC887" i="1"/>
  <c r="AD887" i="1"/>
  <c r="AE887" i="1"/>
  <c r="AF887" i="1"/>
  <c r="AG887" i="1"/>
  <c r="AH887" i="1"/>
  <c r="AI887" i="1"/>
  <c r="AJ887" i="1"/>
  <c r="AK887" i="1"/>
  <c r="C888" i="1"/>
  <c r="H888" i="1"/>
  <c r="I888" i="1"/>
  <c r="J888" i="1"/>
  <c r="K888" i="1"/>
  <c r="M888" i="1"/>
  <c r="P888" i="1"/>
  <c r="R888" i="1"/>
  <c r="S888" i="1"/>
  <c r="T888" i="1"/>
  <c r="U888" i="1"/>
  <c r="X888" i="1"/>
  <c r="Y888" i="1"/>
  <c r="Z888" i="1"/>
  <c r="AA888" i="1"/>
  <c r="AB888" i="1"/>
  <c r="AC888" i="1"/>
  <c r="AD888" i="1"/>
  <c r="AE888" i="1"/>
  <c r="AF888" i="1"/>
  <c r="AG888" i="1"/>
  <c r="AH888" i="1"/>
  <c r="AI888" i="1"/>
  <c r="AJ888" i="1"/>
  <c r="AK888" i="1"/>
  <c r="C889" i="1"/>
  <c r="H889" i="1"/>
  <c r="I889" i="1"/>
  <c r="J889" i="1"/>
  <c r="K889" i="1"/>
  <c r="M889" i="1"/>
  <c r="P889" i="1"/>
  <c r="R889" i="1"/>
  <c r="S889" i="1"/>
  <c r="T889" i="1"/>
  <c r="U889" i="1"/>
  <c r="X889" i="1"/>
  <c r="Y889" i="1"/>
  <c r="Z889" i="1"/>
  <c r="AA889" i="1"/>
  <c r="AB889" i="1"/>
  <c r="AC889" i="1"/>
  <c r="AD889" i="1"/>
  <c r="AE889" i="1"/>
  <c r="AF889" i="1"/>
  <c r="AG889" i="1"/>
  <c r="AH889" i="1"/>
  <c r="AI889" i="1"/>
  <c r="AJ889" i="1"/>
  <c r="AK889" i="1"/>
  <c r="C890" i="1"/>
  <c r="H890" i="1"/>
  <c r="I890" i="1"/>
  <c r="J890" i="1"/>
  <c r="K890" i="1"/>
  <c r="M890" i="1"/>
  <c r="P890" i="1"/>
  <c r="R890" i="1"/>
  <c r="S890" i="1"/>
  <c r="T890" i="1"/>
  <c r="U890" i="1"/>
  <c r="X890" i="1"/>
  <c r="Y890" i="1"/>
  <c r="Z890" i="1"/>
  <c r="AA890" i="1"/>
  <c r="AB890" i="1"/>
  <c r="AC890" i="1"/>
  <c r="AD890" i="1"/>
  <c r="AE890" i="1"/>
  <c r="AF890" i="1"/>
  <c r="AG890" i="1"/>
  <c r="AH890" i="1"/>
  <c r="AI890" i="1"/>
  <c r="AJ890" i="1"/>
  <c r="AK890" i="1"/>
  <c r="C891" i="1"/>
  <c r="H891" i="1"/>
  <c r="I891" i="1"/>
  <c r="J891" i="1"/>
  <c r="K891" i="1"/>
  <c r="M891" i="1"/>
  <c r="P891" i="1"/>
  <c r="R891" i="1"/>
  <c r="S891" i="1"/>
  <c r="T891" i="1"/>
  <c r="U891" i="1"/>
  <c r="X891" i="1"/>
  <c r="Y891" i="1"/>
  <c r="Z891" i="1"/>
  <c r="AA891" i="1"/>
  <c r="AB891" i="1"/>
  <c r="AC891" i="1"/>
  <c r="AD891" i="1"/>
  <c r="AE891" i="1"/>
  <c r="AF891" i="1"/>
  <c r="AG891" i="1"/>
  <c r="AH891" i="1"/>
  <c r="AI891" i="1"/>
  <c r="AJ891" i="1"/>
  <c r="AK891" i="1"/>
  <c r="C872" i="1"/>
  <c r="H872" i="1"/>
  <c r="I872" i="1"/>
  <c r="J872" i="1"/>
  <c r="K872" i="1"/>
  <c r="M872" i="1"/>
  <c r="P872" i="1"/>
  <c r="R872" i="1"/>
  <c r="S872" i="1"/>
  <c r="T872" i="1"/>
  <c r="U872" i="1"/>
  <c r="X872" i="1"/>
  <c r="Y872" i="1"/>
  <c r="Z872" i="1"/>
  <c r="AA872" i="1"/>
  <c r="AB872" i="1"/>
  <c r="AC872" i="1"/>
  <c r="AD872" i="1"/>
  <c r="AE872" i="1"/>
  <c r="AF872" i="1"/>
  <c r="AG872" i="1"/>
  <c r="AH872" i="1"/>
  <c r="AI872" i="1"/>
  <c r="AJ872" i="1"/>
  <c r="AK872" i="1"/>
  <c r="C873" i="1"/>
  <c r="H873" i="1"/>
  <c r="I873" i="1"/>
  <c r="J873" i="1"/>
  <c r="K873" i="1"/>
  <c r="M873" i="1"/>
  <c r="P873" i="1"/>
  <c r="R873" i="1"/>
  <c r="S873" i="1"/>
  <c r="T873" i="1"/>
  <c r="U873" i="1"/>
  <c r="X873" i="1"/>
  <c r="Y873" i="1"/>
  <c r="Z873" i="1"/>
  <c r="AA873" i="1"/>
  <c r="AB873" i="1"/>
  <c r="AC873" i="1"/>
  <c r="AD873" i="1"/>
  <c r="AE873" i="1"/>
  <c r="AF873" i="1"/>
  <c r="AG873" i="1"/>
  <c r="AH873" i="1"/>
  <c r="AI873" i="1"/>
  <c r="AJ873" i="1"/>
  <c r="AK873" i="1"/>
  <c r="C874" i="1"/>
  <c r="H874" i="1"/>
  <c r="I874" i="1"/>
  <c r="J874" i="1"/>
  <c r="K874" i="1"/>
  <c r="M874" i="1"/>
  <c r="P874" i="1"/>
  <c r="R874" i="1"/>
  <c r="S874" i="1"/>
  <c r="T874" i="1"/>
  <c r="U874" i="1"/>
  <c r="X874" i="1"/>
  <c r="Y874" i="1"/>
  <c r="Z874" i="1"/>
  <c r="AA874" i="1"/>
  <c r="AB874" i="1"/>
  <c r="AC874" i="1"/>
  <c r="AD874" i="1"/>
  <c r="AE874" i="1"/>
  <c r="AF874" i="1"/>
  <c r="AG874" i="1"/>
  <c r="AH874" i="1"/>
  <c r="AI874" i="1"/>
  <c r="AJ874" i="1"/>
  <c r="AK874" i="1"/>
  <c r="C875" i="1"/>
  <c r="H875" i="1"/>
  <c r="I875" i="1"/>
  <c r="J875" i="1"/>
  <c r="K875" i="1"/>
  <c r="M875" i="1"/>
  <c r="P875" i="1"/>
  <c r="R875" i="1"/>
  <c r="S875" i="1"/>
  <c r="T875" i="1"/>
  <c r="U875" i="1"/>
  <c r="X875" i="1"/>
  <c r="Y875" i="1"/>
  <c r="Z875" i="1"/>
  <c r="AA875" i="1"/>
  <c r="AB875" i="1"/>
  <c r="AC875" i="1"/>
  <c r="AD875" i="1"/>
  <c r="AE875" i="1"/>
  <c r="AF875" i="1"/>
  <c r="AG875" i="1"/>
  <c r="AH875" i="1"/>
  <c r="AI875" i="1"/>
  <c r="AJ875" i="1"/>
  <c r="AK875" i="1"/>
  <c r="C876" i="1"/>
  <c r="H876" i="1"/>
  <c r="I876" i="1"/>
  <c r="J876" i="1"/>
  <c r="K876" i="1"/>
  <c r="M876" i="1"/>
  <c r="P876" i="1"/>
  <c r="R876" i="1"/>
  <c r="S876" i="1"/>
  <c r="T876" i="1"/>
  <c r="U876" i="1"/>
  <c r="X876" i="1"/>
  <c r="Y876" i="1"/>
  <c r="Z876" i="1"/>
  <c r="AA876" i="1"/>
  <c r="AB876" i="1"/>
  <c r="AC876" i="1"/>
  <c r="AD876" i="1"/>
  <c r="AE876" i="1"/>
  <c r="AF876" i="1"/>
  <c r="AG876" i="1"/>
  <c r="AH876" i="1"/>
  <c r="AI876" i="1"/>
  <c r="AJ876" i="1"/>
  <c r="AK876" i="1"/>
  <c r="C877" i="1"/>
  <c r="H877" i="1"/>
  <c r="I877" i="1"/>
  <c r="J877" i="1"/>
  <c r="K877" i="1"/>
  <c r="M877" i="1"/>
  <c r="P877" i="1"/>
  <c r="R877" i="1"/>
  <c r="S877" i="1"/>
  <c r="T877" i="1"/>
  <c r="U877" i="1"/>
  <c r="X877" i="1"/>
  <c r="Y877" i="1"/>
  <c r="Z877" i="1"/>
  <c r="AA877" i="1"/>
  <c r="AB877" i="1"/>
  <c r="AC877" i="1"/>
  <c r="AD877" i="1"/>
  <c r="AE877" i="1"/>
  <c r="AF877" i="1"/>
  <c r="AG877" i="1"/>
  <c r="AH877" i="1"/>
  <c r="AI877" i="1"/>
  <c r="AJ877" i="1"/>
  <c r="AK877" i="1"/>
  <c r="C878" i="1"/>
  <c r="H878" i="1"/>
  <c r="I878" i="1"/>
  <c r="J878" i="1"/>
  <c r="K878" i="1"/>
  <c r="M878" i="1"/>
  <c r="P878" i="1"/>
  <c r="R878" i="1"/>
  <c r="S878" i="1"/>
  <c r="T878" i="1"/>
  <c r="U878" i="1"/>
  <c r="X878" i="1"/>
  <c r="Y878" i="1"/>
  <c r="Z878" i="1"/>
  <c r="AA878" i="1"/>
  <c r="AB878" i="1"/>
  <c r="AC878" i="1"/>
  <c r="AD878" i="1"/>
  <c r="AE878" i="1"/>
  <c r="AF878" i="1"/>
  <c r="AG878" i="1"/>
  <c r="AH878" i="1"/>
  <c r="AI878" i="1"/>
  <c r="AJ878" i="1"/>
  <c r="AK878" i="1"/>
  <c r="C879" i="1"/>
  <c r="H879" i="1"/>
  <c r="I879" i="1"/>
  <c r="J879" i="1"/>
  <c r="K879" i="1"/>
  <c r="M879" i="1"/>
  <c r="P879" i="1"/>
  <c r="R879" i="1"/>
  <c r="S879" i="1"/>
  <c r="T879" i="1"/>
  <c r="U879" i="1"/>
  <c r="X879" i="1"/>
  <c r="Y879" i="1"/>
  <c r="Z879" i="1"/>
  <c r="AA879" i="1"/>
  <c r="AB879" i="1"/>
  <c r="AC879" i="1"/>
  <c r="AD879" i="1"/>
  <c r="AE879" i="1"/>
  <c r="AF879" i="1"/>
  <c r="AG879" i="1"/>
  <c r="AH879" i="1"/>
  <c r="AI879" i="1"/>
  <c r="AJ879" i="1"/>
  <c r="AK879" i="1"/>
  <c r="C880" i="1"/>
  <c r="H880" i="1"/>
  <c r="I880" i="1"/>
  <c r="J880" i="1"/>
  <c r="K880" i="1"/>
  <c r="M880" i="1"/>
  <c r="P880" i="1"/>
  <c r="R880" i="1"/>
  <c r="S880" i="1"/>
  <c r="T880" i="1"/>
  <c r="U880" i="1"/>
  <c r="X880" i="1"/>
  <c r="Y880" i="1"/>
  <c r="Z880" i="1"/>
  <c r="AA880" i="1"/>
  <c r="AB880" i="1"/>
  <c r="AC880" i="1"/>
  <c r="AD880" i="1"/>
  <c r="AE880" i="1"/>
  <c r="AF880" i="1"/>
  <c r="AG880" i="1"/>
  <c r="AH880" i="1"/>
  <c r="AI880" i="1"/>
  <c r="AJ880" i="1"/>
  <c r="AK880" i="1"/>
  <c r="C881" i="1"/>
  <c r="H881" i="1"/>
  <c r="I881" i="1"/>
  <c r="J881" i="1"/>
  <c r="K881" i="1"/>
  <c r="M881" i="1"/>
  <c r="P881" i="1"/>
  <c r="R881" i="1"/>
  <c r="S881" i="1"/>
  <c r="T881" i="1"/>
  <c r="U881" i="1"/>
  <c r="X881" i="1"/>
  <c r="Y881" i="1"/>
  <c r="Z881" i="1"/>
  <c r="AA881" i="1"/>
  <c r="AB881" i="1"/>
  <c r="AC881" i="1"/>
  <c r="AD881" i="1"/>
  <c r="AE881" i="1"/>
  <c r="AF881" i="1"/>
  <c r="AG881" i="1"/>
  <c r="AH881" i="1"/>
  <c r="AI881" i="1"/>
  <c r="AJ881" i="1"/>
  <c r="AK881" i="1"/>
  <c r="C862" i="1"/>
  <c r="H862" i="1"/>
  <c r="I862" i="1"/>
  <c r="J862" i="1"/>
  <c r="K862" i="1"/>
  <c r="M862" i="1"/>
  <c r="P862" i="1"/>
  <c r="R862" i="1"/>
  <c r="S862" i="1"/>
  <c r="T862" i="1"/>
  <c r="U862" i="1"/>
  <c r="X862" i="1"/>
  <c r="Y862" i="1"/>
  <c r="Z862" i="1"/>
  <c r="AA862" i="1"/>
  <c r="AB862" i="1"/>
  <c r="AC862" i="1"/>
  <c r="AD862" i="1"/>
  <c r="AE862" i="1"/>
  <c r="AF862" i="1"/>
  <c r="AG862" i="1"/>
  <c r="AH862" i="1"/>
  <c r="AI862" i="1"/>
  <c r="AJ862" i="1"/>
  <c r="AK862" i="1"/>
  <c r="C863" i="1"/>
  <c r="H863" i="1"/>
  <c r="I863" i="1"/>
  <c r="J863" i="1"/>
  <c r="K863" i="1"/>
  <c r="M863" i="1"/>
  <c r="P863" i="1"/>
  <c r="R863" i="1"/>
  <c r="S863" i="1"/>
  <c r="T863" i="1"/>
  <c r="U863" i="1"/>
  <c r="X863" i="1"/>
  <c r="Y863" i="1"/>
  <c r="Z863" i="1"/>
  <c r="AA863" i="1"/>
  <c r="AB863" i="1"/>
  <c r="AC863" i="1"/>
  <c r="AD863" i="1"/>
  <c r="AE863" i="1"/>
  <c r="AF863" i="1"/>
  <c r="AG863" i="1"/>
  <c r="AH863" i="1"/>
  <c r="AI863" i="1"/>
  <c r="AJ863" i="1"/>
  <c r="AK863" i="1"/>
  <c r="C864" i="1"/>
  <c r="H864" i="1"/>
  <c r="I864" i="1"/>
  <c r="J864" i="1"/>
  <c r="K864" i="1"/>
  <c r="M864" i="1"/>
  <c r="P864" i="1"/>
  <c r="R864" i="1"/>
  <c r="S864" i="1"/>
  <c r="T864" i="1"/>
  <c r="U864" i="1"/>
  <c r="X864" i="1"/>
  <c r="Y864" i="1"/>
  <c r="Z864" i="1"/>
  <c r="AA864" i="1"/>
  <c r="AB864" i="1"/>
  <c r="AC864" i="1"/>
  <c r="AD864" i="1"/>
  <c r="AE864" i="1"/>
  <c r="AF864" i="1"/>
  <c r="AG864" i="1"/>
  <c r="AH864" i="1"/>
  <c r="AI864" i="1"/>
  <c r="AJ864" i="1"/>
  <c r="AK864" i="1"/>
  <c r="C865" i="1"/>
  <c r="H865" i="1"/>
  <c r="I865" i="1"/>
  <c r="J865" i="1"/>
  <c r="K865" i="1"/>
  <c r="M865" i="1"/>
  <c r="P865" i="1"/>
  <c r="R865" i="1"/>
  <c r="S865" i="1"/>
  <c r="T865" i="1"/>
  <c r="U865" i="1"/>
  <c r="X865" i="1"/>
  <c r="Y865" i="1"/>
  <c r="Z865" i="1"/>
  <c r="AA865" i="1"/>
  <c r="AB865" i="1"/>
  <c r="AC865" i="1"/>
  <c r="AD865" i="1"/>
  <c r="AE865" i="1"/>
  <c r="AF865" i="1"/>
  <c r="AG865" i="1"/>
  <c r="AH865" i="1"/>
  <c r="AI865" i="1"/>
  <c r="AJ865" i="1"/>
  <c r="AK865" i="1"/>
  <c r="C866" i="1"/>
  <c r="H866" i="1"/>
  <c r="I866" i="1"/>
  <c r="J866" i="1"/>
  <c r="K866" i="1"/>
  <c r="M866" i="1"/>
  <c r="P866" i="1"/>
  <c r="R866" i="1"/>
  <c r="S866" i="1"/>
  <c r="T866" i="1"/>
  <c r="U866" i="1"/>
  <c r="X866" i="1"/>
  <c r="Y866" i="1"/>
  <c r="Z866" i="1"/>
  <c r="AA866" i="1"/>
  <c r="AB866" i="1"/>
  <c r="AC866" i="1"/>
  <c r="AD866" i="1"/>
  <c r="AE866" i="1"/>
  <c r="AF866" i="1"/>
  <c r="AG866" i="1"/>
  <c r="AH866" i="1"/>
  <c r="AI866" i="1"/>
  <c r="AJ866" i="1"/>
  <c r="AK866" i="1"/>
  <c r="C867" i="1"/>
  <c r="H867" i="1"/>
  <c r="I867" i="1"/>
  <c r="J867" i="1"/>
  <c r="K867" i="1"/>
  <c r="M867" i="1"/>
  <c r="P867" i="1"/>
  <c r="R867" i="1"/>
  <c r="S867" i="1"/>
  <c r="T867" i="1"/>
  <c r="U867" i="1"/>
  <c r="X867" i="1"/>
  <c r="Y867" i="1"/>
  <c r="Z867" i="1"/>
  <c r="AA867" i="1"/>
  <c r="AB867" i="1"/>
  <c r="AC867" i="1"/>
  <c r="AD867" i="1"/>
  <c r="AE867" i="1"/>
  <c r="AF867" i="1"/>
  <c r="AG867" i="1"/>
  <c r="AH867" i="1"/>
  <c r="AI867" i="1"/>
  <c r="AJ867" i="1"/>
  <c r="AK867" i="1"/>
  <c r="C868" i="1"/>
  <c r="H868" i="1"/>
  <c r="I868" i="1"/>
  <c r="J868" i="1"/>
  <c r="K868" i="1"/>
  <c r="M868" i="1"/>
  <c r="P868" i="1"/>
  <c r="R868" i="1"/>
  <c r="S868" i="1"/>
  <c r="T868" i="1"/>
  <c r="U868" i="1"/>
  <c r="X868" i="1"/>
  <c r="Y868" i="1"/>
  <c r="Z868" i="1"/>
  <c r="AA868" i="1"/>
  <c r="AB868" i="1"/>
  <c r="AC868" i="1"/>
  <c r="AD868" i="1"/>
  <c r="AE868" i="1"/>
  <c r="AF868" i="1"/>
  <c r="AG868" i="1"/>
  <c r="AH868" i="1"/>
  <c r="AI868" i="1"/>
  <c r="AJ868" i="1"/>
  <c r="AK868" i="1"/>
  <c r="C869" i="1"/>
  <c r="H869" i="1"/>
  <c r="I869" i="1"/>
  <c r="J869" i="1"/>
  <c r="K869" i="1"/>
  <c r="M869" i="1"/>
  <c r="P869" i="1"/>
  <c r="R869" i="1"/>
  <c r="S869" i="1"/>
  <c r="T869" i="1"/>
  <c r="U869" i="1"/>
  <c r="X869" i="1"/>
  <c r="Y869" i="1"/>
  <c r="Z869" i="1"/>
  <c r="AA869" i="1"/>
  <c r="AB869" i="1"/>
  <c r="AC869" i="1"/>
  <c r="AD869" i="1"/>
  <c r="AE869" i="1"/>
  <c r="AF869" i="1"/>
  <c r="AG869" i="1"/>
  <c r="AH869" i="1"/>
  <c r="AI869" i="1"/>
  <c r="AJ869" i="1"/>
  <c r="AK869" i="1"/>
  <c r="C870" i="1"/>
  <c r="H870" i="1"/>
  <c r="I870" i="1"/>
  <c r="J870" i="1"/>
  <c r="K870" i="1"/>
  <c r="M870" i="1"/>
  <c r="P870" i="1"/>
  <c r="R870" i="1"/>
  <c r="S870" i="1"/>
  <c r="T870" i="1"/>
  <c r="U870" i="1"/>
  <c r="X870" i="1"/>
  <c r="Y870" i="1"/>
  <c r="Z870" i="1"/>
  <c r="AA870" i="1"/>
  <c r="AB870" i="1"/>
  <c r="AC870" i="1"/>
  <c r="AD870" i="1"/>
  <c r="AE870" i="1"/>
  <c r="AF870" i="1"/>
  <c r="AG870" i="1"/>
  <c r="AH870" i="1"/>
  <c r="AI870" i="1"/>
  <c r="AJ870" i="1"/>
  <c r="AK870" i="1"/>
  <c r="C871" i="1"/>
  <c r="H871" i="1"/>
  <c r="I871" i="1"/>
  <c r="J871" i="1"/>
  <c r="K871" i="1"/>
  <c r="M871" i="1"/>
  <c r="P871" i="1"/>
  <c r="R871" i="1"/>
  <c r="S871" i="1"/>
  <c r="T871" i="1"/>
  <c r="U871" i="1"/>
  <c r="X871" i="1"/>
  <c r="Y871" i="1"/>
  <c r="Z871" i="1"/>
  <c r="AA871" i="1"/>
  <c r="AB871" i="1"/>
  <c r="AC871" i="1"/>
  <c r="AD871" i="1"/>
  <c r="AE871" i="1"/>
  <c r="AF871" i="1"/>
  <c r="AG871" i="1"/>
  <c r="AH871" i="1"/>
  <c r="AI871" i="1"/>
  <c r="AJ871" i="1"/>
  <c r="AK871" i="1"/>
  <c r="C852" i="1"/>
  <c r="H852" i="1"/>
  <c r="I852" i="1"/>
  <c r="J852" i="1"/>
  <c r="K852" i="1"/>
  <c r="M852" i="1"/>
  <c r="P852" i="1"/>
  <c r="R852" i="1"/>
  <c r="S852" i="1"/>
  <c r="T852" i="1"/>
  <c r="U852" i="1"/>
  <c r="X852" i="1"/>
  <c r="Y852" i="1"/>
  <c r="Z852" i="1"/>
  <c r="AA852" i="1"/>
  <c r="AB852" i="1"/>
  <c r="AC852" i="1"/>
  <c r="AD852" i="1"/>
  <c r="AE852" i="1"/>
  <c r="AF852" i="1"/>
  <c r="AG852" i="1"/>
  <c r="AH852" i="1"/>
  <c r="AI852" i="1"/>
  <c r="AJ852" i="1"/>
  <c r="AK852" i="1"/>
  <c r="C853" i="1"/>
  <c r="H853" i="1"/>
  <c r="I853" i="1"/>
  <c r="J853" i="1"/>
  <c r="K853" i="1"/>
  <c r="M853" i="1"/>
  <c r="P853" i="1"/>
  <c r="R853" i="1"/>
  <c r="S853" i="1"/>
  <c r="T853" i="1"/>
  <c r="U853" i="1"/>
  <c r="X853" i="1"/>
  <c r="Y853" i="1"/>
  <c r="Z853" i="1"/>
  <c r="AA853" i="1"/>
  <c r="AB853" i="1"/>
  <c r="AC853" i="1"/>
  <c r="AD853" i="1"/>
  <c r="AE853" i="1"/>
  <c r="AF853" i="1"/>
  <c r="AG853" i="1"/>
  <c r="AH853" i="1"/>
  <c r="AI853" i="1"/>
  <c r="AJ853" i="1"/>
  <c r="AK853" i="1"/>
  <c r="C854" i="1"/>
  <c r="H854" i="1"/>
  <c r="I854" i="1"/>
  <c r="J854" i="1"/>
  <c r="K854" i="1"/>
  <c r="M854" i="1"/>
  <c r="P854" i="1"/>
  <c r="R854" i="1"/>
  <c r="S854" i="1"/>
  <c r="T854" i="1"/>
  <c r="U854" i="1"/>
  <c r="X854" i="1"/>
  <c r="Y854" i="1"/>
  <c r="Z854" i="1"/>
  <c r="AA854" i="1"/>
  <c r="AB854" i="1"/>
  <c r="AC854" i="1"/>
  <c r="AD854" i="1"/>
  <c r="AE854" i="1"/>
  <c r="AF854" i="1"/>
  <c r="AG854" i="1"/>
  <c r="AH854" i="1"/>
  <c r="AI854" i="1"/>
  <c r="AJ854" i="1"/>
  <c r="AK854" i="1"/>
  <c r="C855" i="1"/>
  <c r="H855" i="1"/>
  <c r="I855" i="1"/>
  <c r="J855" i="1"/>
  <c r="K855" i="1"/>
  <c r="M855" i="1"/>
  <c r="P855" i="1"/>
  <c r="R855" i="1"/>
  <c r="S855" i="1"/>
  <c r="T855" i="1"/>
  <c r="U855" i="1"/>
  <c r="X855" i="1"/>
  <c r="Y855" i="1"/>
  <c r="Z855" i="1"/>
  <c r="AA855" i="1"/>
  <c r="AB855" i="1"/>
  <c r="AC855" i="1"/>
  <c r="AD855" i="1"/>
  <c r="AE855" i="1"/>
  <c r="AF855" i="1"/>
  <c r="AG855" i="1"/>
  <c r="AH855" i="1"/>
  <c r="AI855" i="1"/>
  <c r="AJ855" i="1"/>
  <c r="AK855" i="1"/>
  <c r="C856" i="1"/>
  <c r="H856" i="1"/>
  <c r="I856" i="1"/>
  <c r="J856" i="1"/>
  <c r="K856" i="1"/>
  <c r="M856" i="1"/>
  <c r="P856" i="1"/>
  <c r="R856" i="1"/>
  <c r="S856" i="1"/>
  <c r="T856" i="1"/>
  <c r="U856" i="1"/>
  <c r="X856" i="1"/>
  <c r="Y856" i="1"/>
  <c r="Z856" i="1"/>
  <c r="AA856" i="1"/>
  <c r="AB856" i="1"/>
  <c r="AC856" i="1"/>
  <c r="AD856" i="1"/>
  <c r="AE856" i="1"/>
  <c r="AF856" i="1"/>
  <c r="AG856" i="1"/>
  <c r="AH856" i="1"/>
  <c r="AI856" i="1"/>
  <c r="AJ856" i="1"/>
  <c r="AK856" i="1"/>
  <c r="C857" i="1"/>
  <c r="H857" i="1"/>
  <c r="I857" i="1"/>
  <c r="J857" i="1"/>
  <c r="K857" i="1"/>
  <c r="M857" i="1"/>
  <c r="P857" i="1"/>
  <c r="R857" i="1"/>
  <c r="S857" i="1"/>
  <c r="T857" i="1"/>
  <c r="U857" i="1"/>
  <c r="X857" i="1"/>
  <c r="Y857" i="1"/>
  <c r="Z857" i="1"/>
  <c r="AA857" i="1"/>
  <c r="AB857" i="1"/>
  <c r="AC857" i="1"/>
  <c r="AD857" i="1"/>
  <c r="AE857" i="1"/>
  <c r="AF857" i="1"/>
  <c r="AG857" i="1"/>
  <c r="AH857" i="1"/>
  <c r="AI857" i="1"/>
  <c r="AJ857" i="1"/>
  <c r="AK857" i="1"/>
  <c r="C858" i="1"/>
  <c r="H858" i="1"/>
  <c r="I858" i="1"/>
  <c r="J858" i="1"/>
  <c r="K858" i="1"/>
  <c r="M858" i="1"/>
  <c r="P858" i="1"/>
  <c r="R858" i="1"/>
  <c r="S858" i="1"/>
  <c r="T858" i="1"/>
  <c r="U858" i="1"/>
  <c r="X858" i="1"/>
  <c r="Y858" i="1"/>
  <c r="Z858" i="1"/>
  <c r="AA858" i="1"/>
  <c r="AB858" i="1"/>
  <c r="AC858" i="1"/>
  <c r="AD858" i="1"/>
  <c r="AE858" i="1"/>
  <c r="AF858" i="1"/>
  <c r="AG858" i="1"/>
  <c r="AH858" i="1"/>
  <c r="AI858" i="1"/>
  <c r="AJ858" i="1"/>
  <c r="AK858" i="1"/>
  <c r="C859" i="1"/>
  <c r="H859" i="1"/>
  <c r="I859" i="1"/>
  <c r="J859" i="1"/>
  <c r="K859" i="1"/>
  <c r="M859" i="1"/>
  <c r="P859" i="1"/>
  <c r="R859" i="1"/>
  <c r="S859" i="1"/>
  <c r="T859" i="1"/>
  <c r="U859" i="1"/>
  <c r="X859" i="1"/>
  <c r="Y859" i="1"/>
  <c r="Z859" i="1"/>
  <c r="AA859" i="1"/>
  <c r="AB859" i="1"/>
  <c r="AC859" i="1"/>
  <c r="AD859" i="1"/>
  <c r="AE859" i="1"/>
  <c r="AF859" i="1"/>
  <c r="AG859" i="1"/>
  <c r="AH859" i="1"/>
  <c r="AI859" i="1"/>
  <c r="AJ859" i="1"/>
  <c r="AK859" i="1"/>
  <c r="C860" i="1"/>
  <c r="H860" i="1"/>
  <c r="I860" i="1"/>
  <c r="J860" i="1"/>
  <c r="K860" i="1"/>
  <c r="M860" i="1"/>
  <c r="P860" i="1"/>
  <c r="R860" i="1"/>
  <c r="S860" i="1"/>
  <c r="T860" i="1"/>
  <c r="U860" i="1"/>
  <c r="X860" i="1"/>
  <c r="Y860" i="1"/>
  <c r="Z860" i="1"/>
  <c r="AA860" i="1"/>
  <c r="AB860" i="1"/>
  <c r="AC860" i="1"/>
  <c r="AD860" i="1"/>
  <c r="AE860" i="1"/>
  <c r="AF860" i="1"/>
  <c r="AG860" i="1"/>
  <c r="AH860" i="1"/>
  <c r="AI860" i="1"/>
  <c r="AJ860" i="1"/>
  <c r="AK860" i="1"/>
  <c r="C861" i="1"/>
  <c r="H861" i="1"/>
  <c r="I861" i="1"/>
  <c r="J861" i="1"/>
  <c r="K861" i="1"/>
  <c r="M861" i="1"/>
  <c r="P861" i="1"/>
  <c r="R861" i="1"/>
  <c r="S861" i="1"/>
  <c r="T861" i="1"/>
  <c r="U861" i="1"/>
  <c r="X861" i="1"/>
  <c r="Y861" i="1"/>
  <c r="Z861" i="1"/>
  <c r="AA861" i="1"/>
  <c r="AB861" i="1"/>
  <c r="AC861" i="1"/>
  <c r="AD861" i="1"/>
  <c r="AE861" i="1"/>
  <c r="AF861" i="1"/>
  <c r="AG861" i="1"/>
  <c r="AH861" i="1"/>
  <c r="AI861" i="1"/>
  <c r="AJ861" i="1"/>
  <c r="AK861" i="1"/>
  <c r="C842" i="1"/>
  <c r="H842" i="1"/>
  <c r="I842" i="1"/>
  <c r="J842" i="1"/>
  <c r="K842" i="1"/>
  <c r="M842" i="1"/>
  <c r="P842" i="1"/>
  <c r="R842" i="1"/>
  <c r="S842" i="1"/>
  <c r="T842" i="1"/>
  <c r="U842" i="1"/>
  <c r="X842" i="1"/>
  <c r="Y842" i="1"/>
  <c r="Z842" i="1"/>
  <c r="AA842" i="1"/>
  <c r="AB842" i="1"/>
  <c r="AC842" i="1"/>
  <c r="AD842" i="1"/>
  <c r="AE842" i="1"/>
  <c r="AF842" i="1"/>
  <c r="AG842" i="1"/>
  <c r="AH842" i="1"/>
  <c r="AI842" i="1"/>
  <c r="AJ842" i="1"/>
  <c r="AK842" i="1"/>
  <c r="C843" i="1"/>
  <c r="H843" i="1"/>
  <c r="I843" i="1"/>
  <c r="J843" i="1"/>
  <c r="K843" i="1"/>
  <c r="M843" i="1"/>
  <c r="P843" i="1"/>
  <c r="R843" i="1"/>
  <c r="S843" i="1"/>
  <c r="T843" i="1"/>
  <c r="U843" i="1"/>
  <c r="X843" i="1"/>
  <c r="Y843" i="1"/>
  <c r="Z843" i="1"/>
  <c r="AA843" i="1"/>
  <c r="AB843" i="1"/>
  <c r="AC843" i="1"/>
  <c r="AD843" i="1"/>
  <c r="AE843" i="1"/>
  <c r="AF843" i="1"/>
  <c r="AG843" i="1"/>
  <c r="AH843" i="1"/>
  <c r="AI843" i="1"/>
  <c r="AJ843" i="1"/>
  <c r="AK843" i="1"/>
  <c r="C844" i="1"/>
  <c r="H844" i="1"/>
  <c r="I844" i="1"/>
  <c r="J844" i="1"/>
  <c r="K844" i="1"/>
  <c r="M844" i="1"/>
  <c r="P844" i="1"/>
  <c r="R844" i="1"/>
  <c r="S844" i="1"/>
  <c r="T844" i="1"/>
  <c r="U844" i="1"/>
  <c r="X844" i="1"/>
  <c r="Y844" i="1"/>
  <c r="Z844" i="1"/>
  <c r="AA844" i="1"/>
  <c r="AB844" i="1"/>
  <c r="AC844" i="1"/>
  <c r="AD844" i="1"/>
  <c r="AE844" i="1"/>
  <c r="AF844" i="1"/>
  <c r="AG844" i="1"/>
  <c r="AH844" i="1"/>
  <c r="AI844" i="1"/>
  <c r="AJ844" i="1"/>
  <c r="AK844" i="1"/>
  <c r="C845" i="1"/>
  <c r="H845" i="1"/>
  <c r="I845" i="1"/>
  <c r="J845" i="1"/>
  <c r="K845" i="1"/>
  <c r="M845" i="1"/>
  <c r="P845" i="1"/>
  <c r="R845" i="1"/>
  <c r="S845" i="1"/>
  <c r="T845" i="1"/>
  <c r="U845" i="1"/>
  <c r="X845" i="1"/>
  <c r="Y845" i="1"/>
  <c r="Z845" i="1"/>
  <c r="AA845" i="1"/>
  <c r="AB845" i="1"/>
  <c r="AC845" i="1"/>
  <c r="AD845" i="1"/>
  <c r="AE845" i="1"/>
  <c r="AF845" i="1"/>
  <c r="AG845" i="1"/>
  <c r="AH845" i="1"/>
  <c r="AI845" i="1"/>
  <c r="AJ845" i="1"/>
  <c r="AK845" i="1"/>
  <c r="C846" i="1"/>
  <c r="H846" i="1"/>
  <c r="I846" i="1"/>
  <c r="J846" i="1"/>
  <c r="K846" i="1"/>
  <c r="M846" i="1"/>
  <c r="P846" i="1"/>
  <c r="R846" i="1"/>
  <c r="S846" i="1"/>
  <c r="T846" i="1"/>
  <c r="U846" i="1"/>
  <c r="X846" i="1"/>
  <c r="Y846" i="1"/>
  <c r="Z846" i="1"/>
  <c r="AA846" i="1"/>
  <c r="AB846" i="1"/>
  <c r="AC846" i="1"/>
  <c r="AD846" i="1"/>
  <c r="AE846" i="1"/>
  <c r="AF846" i="1"/>
  <c r="AG846" i="1"/>
  <c r="AH846" i="1"/>
  <c r="AI846" i="1"/>
  <c r="AJ846" i="1"/>
  <c r="AK846" i="1"/>
  <c r="C847" i="1"/>
  <c r="H847" i="1"/>
  <c r="I847" i="1"/>
  <c r="J847" i="1"/>
  <c r="K847" i="1"/>
  <c r="M847" i="1"/>
  <c r="P847" i="1"/>
  <c r="R847" i="1"/>
  <c r="S847" i="1"/>
  <c r="T847" i="1"/>
  <c r="U847" i="1"/>
  <c r="X847" i="1"/>
  <c r="Y847" i="1"/>
  <c r="Z847" i="1"/>
  <c r="AA847" i="1"/>
  <c r="AB847" i="1"/>
  <c r="AC847" i="1"/>
  <c r="AD847" i="1"/>
  <c r="AE847" i="1"/>
  <c r="AF847" i="1"/>
  <c r="AG847" i="1"/>
  <c r="AH847" i="1"/>
  <c r="AI847" i="1"/>
  <c r="AJ847" i="1"/>
  <c r="AK847" i="1"/>
  <c r="C848" i="1"/>
  <c r="H848" i="1"/>
  <c r="I848" i="1"/>
  <c r="J848" i="1"/>
  <c r="K848" i="1"/>
  <c r="M848" i="1"/>
  <c r="P848" i="1"/>
  <c r="R848" i="1"/>
  <c r="S848" i="1"/>
  <c r="T848" i="1"/>
  <c r="U848" i="1"/>
  <c r="X848" i="1"/>
  <c r="Y848" i="1"/>
  <c r="Z848" i="1"/>
  <c r="AA848" i="1"/>
  <c r="AB848" i="1"/>
  <c r="AC848" i="1"/>
  <c r="AD848" i="1"/>
  <c r="AE848" i="1"/>
  <c r="AF848" i="1"/>
  <c r="AG848" i="1"/>
  <c r="AH848" i="1"/>
  <c r="AI848" i="1"/>
  <c r="AJ848" i="1"/>
  <c r="AK848" i="1"/>
  <c r="C849" i="1"/>
  <c r="H849" i="1"/>
  <c r="I849" i="1"/>
  <c r="J849" i="1"/>
  <c r="K849" i="1"/>
  <c r="M849" i="1"/>
  <c r="P849" i="1"/>
  <c r="R849" i="1"/>
  <c r="S849" i="1"/>
  <c r="T849" i="1"/>
  <c r="U849" i="1"/>
  <c r="X849" i="1"/>
  <c r="Y849" i="1"/>
  <c r="Z849" i="1"/>
  <c r="AA849" i="1"/>
  <c r="AB849" i="1"/>
  <c r="AC849" i="1"/>
  <c r="AD849" i="1"/>
  <c r="AE849" i="1"/>
  <c r="AF849" i="1"/>
  <c r="AG849" i="1"/>
  <c r="AH849" i="1"/>
  <c r="AI849" i="1"/>
  <c r="AJ849" i="1"/>
  <c r="AK849" i="1"/>
  <c r="C850" i="1"/>
  <c r="H850" i="1"/>
  <c r="I850" i="1"/>
  <c r="J850" i="1"/>
  <c r="K850" i="1"/>
  <c r="M850" i="1"/>
  <c r="P850" i="1"/>
  <c r="R850" i="1"/>
  <c r="S850" i="1"/>
  <c r="T850" i="1"/>
  <c r="U850" i="1"/>
  <c r="X850" i="1"/>
  <c r="Y850" i="1"/>
  <c r="Z850" i="1"/>
  <c r="AA850" i="1"/>
  <c r="AB850" i="1"/>
  <c r="AC850" i="1"/>
  <c r="AD850" i="1"/>
  <c r="AE850" i="1"/>
  <c r="AF850" i="1"/>
  <c r="AG850" i="1"/>
  <c r="AH850" i="1"/>
  <c r="AI850" i="1"/>
  <c r="AJ850" i="1"/>
  <c r="AK850" i="1"/>
  <c r="C851" i="1"/>
  <c r="H851" i="1"/>
  <c r="I851" i="1"/>
  <c r="J851" i="1"/>
  <c r="K851" i="1"/>
  <c r="M851" i="1"/>
  <c r="P851" i="1"/>
  <c r="R851" i="1"/>
  <c r="S851" i="1"/>
  <c r="T851" i="1"/>
  <c r="U851" i="1"/>
  <c r="X851" i="1"/>
  <c r="Y851" i="1"/>
  <c r="Z851" i="1"/>
  <c r="AA851" i="1"/>
  <c r="AB851" i="1"/>
  <c r="AC851" i="1"/>
  <c r="AD851" i="1"/>
  <c r="AE851" i="1"/>
  <c r="AF851" i="1"/>
  <c r="AG851" i="1"/>
  <c r="AH851" i="1"/>
  <c r="AI851" i="1"/>
  <c r="AJ851" i="1"/>
  <c r="AK851" i="1"/>
  <c r="C832" i="1"/>
  <c r="H832" i="1"/>
  <c r="I832" i="1"/>
  <c r="J832" i="1"/>
  <c r="K832" i="1"/>
  <c r="M832" i="1"/>
  <c r="P832" i="1"/>
  <c r="R832" i="1"/>
  <c r="S832" i="1"/>
  <c r="T832" i="1"/>
  <c r="U832" i="1"/>
  <c r="X832" i="1"/>
  <c r="Y832" i="1"/>
  <c r="Z832" i="1"/>
  <c r="AA832" i="1"/>
  <c r="AB832" i="1"/>
  <c r="AC832" i="1"/>
  <c r="AD832" i="1"/>
  <c r="AE832" i="1"/>
  <c r="AF832" i="1"/>
  <c r="AG832" i="1"/>
  <c r="AH832" i="1"/>
  <c r="AI832" i="1"/>
  <c r="AJ832" i="1"/>
  <c r="AK832" i="1"/>
  <c r="C833" i="1"/>
  <c r="H833" i="1"/>
  <c r="I833" i="1"/>
  <c r="J833" i="1"/>
  <c r="K833" i="1"/>
  <c r="M833" i="1"/>
  <c r="P833" i="1"/>
  <c r="R833" i="1"/>
  <c r="S833" i="1"/>
  <c r="T833" i="1"/>
  <c r="U833" i="1"/>
  <c r="X833" i="1"/>
  <c r="Y833" i="1"/>
  <c r="Z833" i="1"/>
  <c r="AA833" i="1"/>
  <c r="AB833" i="1"/>
  <c r="AC833" i="1"/>
  <c r="AD833" i="1"/>
  <c r="AE833" i="1"/>
  <c r="AF833" i="1"/>
  <c r="AG833" i="1"/>
  <c r="AH833" i="1"/>
  <c r="AI833" i="1"/>
  <c r="AJ833" i="1"/>
  <c r="AK833" i="1"/>
  <c r="C834" i="1"/>
  <c r="H834" i="1"/>
  <c r="I834" i="1"/>
  <c r="J834" i="1"/>
  <c r="K834" i="1"/>
  <c r="M834" i="1"/>
  <c r="P834" i="1"/>
  <c r="R834" i="1"/>
  <c r="S834" i="1"/>
  <c r="T834" i="1"/>
  <c r="U834" i="1"/>
  <c r="X834" i="1"/>
  <c r="Y834" i="1"/>
  <c r="Z834" i="1"/>
  <c r="AA834" i="1"/>
  <c r="AB834" i="1"/>
  <c r="AC834" i="1"/>
  <c r="AD834" i="1"/>
  <c r="AE834" i="1"/>
  <c r="AF834" i="1"/>
  <c r="AG834" i="1"/>
  <c r="AH834" i="1"/>
  <c r="AI834" i="1"/>
  <c r="AJ834" i="1"/>
  <c r="AK834" i="1"/>
  <c r="C835" i="1"/>
  <c r="H835" i="1"/>
  <c r="I835" i="1"/>
  <c r="J835" i="1"/>
  <c r="K835" i="1"/>
  <c r="M835" i="1"/>
  <c r="P835" i="1"/>
  <c r="R835" i="1"/>
  <c r="S835" i="1"/>
  <c r="T835" i="1"/>
  <c r="U835" i="1"/>
  <c r="X835" i="1"/>
  <c r="Y835" i="1"/>
  <c r="Z835" i="1"/>
  <c r="AA835" i="1"/>
  <c r="AB835" i="1"/>
  <c r="AC835" i="1"/>
  <c r="AD835" i="1"/>
  <c r="AE835" i="1"/>
  <c r="AF835" i="1"/>
  <c r="AG835" i="1"/>
  <c r="AH835" i="1"/>
  <c r="AI835" i="1"/>
  <c r="AJ835" i="1"/>
  <c r="AK835" i="1"/>
  <c r="C836" i="1"/>
  <c r="H836" i="1"/>
  <c r="I836" i="1"/>
  <c r="J836" i="1"/>
  <c r="K836" i="1"/>
  <c r="M836" i="1"/>
  <c r="P836" i="1"/>
  <c r="R836" i="1"/>
  <c r="S836" i="1"/>
  <c r="T836" i="1"/>
  <c r="U836" i="1"/>
  <c r="X836" i="1"/>
  <c r="Y836" i="1"/>
  <c r="Z836" i="1"/>
  <c r="AA836" i="1"/>
  <c r="AB836" i="1"/>
  <c r="AC836" i="1"/>
  <c r="AD836" i="1"/>
  <c r="AE836" i="1"/>
  <c r="AF836" i="1"/>
  <c r="AG836" i="1"/>
  <c r="AH836" i="1"/>
  <c r="AI836" i="1"/>
  <c r="AJ836" i="1"/>
  <c r="AK836" i="1"/>
  <c r="C837" i="1"/>
  <c r="H837" i="1"/>
  <c r="I837" i="1"/>
  <c r="J837" i="1"/>
  <c r="K837" i="1"/>
  <c r="M837" i="1"/>
  <c r="P837" i="1"/>
  <c r="R837" i="1"/>
  <c r="S837" i="1"/>
  <c r="T837" i="1"/>
  <c r="U837" i="1"/>
  <c r="X837" i="1"/>
  <c r="Y837" i="1"/>
  <c r="Z837" i="1"/>
  <c r="AA837" i="1"/>
  <c r="AB837" i="1"/>
  <c r="AC837" i="1"/>
  <c r="AD837" i="1"/>
  <c r="AE837" i="1"/>
  <c r="AF837" i="1"/>
  <c r="AG837" i="1"/>
  <c r="AH837" i="1"/>
  <c r="AI837" i="1"/>
  <c r="AJ837" i="1"/>
  <c r="AK837" i="1"/>
  <c r="C838" i="1"/>
  <c r="H838" i="1"/>
  <c r="I838" i="1"/>
  <c r="J838" i="1"/>
  <c r="K838" i="1"/>
  <c r="M838" i="1"/>
  <c r="P838" i="1"/>
  <c r="R838" i="1"/>
  <c r="S838" i="1"/>
  <c r="T838" i="1"/>
  <c r="U838" i="1"/>
  <c r="X838" i="1"/>
  <c r="Y838" i="1"/>
  <c r="Z838" i="1"/>
  <c r="AA838" i="1"/>
  <c r="AB838" i="1"/>
  <c r="AC838" i="1"/>
  <c r="AD838" i="1"/>
  <c r="AE838" i="1"/>
  <c r="AF838" i="1"/>
  <c r="AG838" i="1"/>
  <c r="AH838" i="1"/>
  <c r="AI838" i="1"/>
  <c r="AJ838" i="1"/>
  <c r="AK838" i="1"/>
  <c r="C839" i="1"/>
  <c r="H839" i="1"/>
  <c r="I839" i="1"/>
  <c r="J839" i="1"/>
  <c r="K839" i="1"/>
  <c r="M839" i="1"/>
  <c r="P839" i="1"/>
  <c r="R839" i="1"/>
  <c r="S839" i="1"/>
  <c r="T839" i="1"/>
  <c r="U839" i="1"/>
  <c r="X839" i="1"/>
  <c r="Y839" i="1"/>
  <c r="Z839" i="1"/>
  <c r="AA839" i="1"/>
  <c r="AB839" i="1"/>
  <c r="AC839" i="1"/>
  <c r="AD839" i="1"/>
  <c r="AE839" i="1"/>
  <c r="AF839" i="1"/>
  <c r="AG839" i="1"/>
  <c r="AH839" i="1"/>
  <c r="AI839" i="1"/>
  <c r="AJ839" i="1"/>
  <c r="AK839" i="1"/>
  <c r="C840" i="1"/>
  <c r="H840" i="1"/>
  <c r="I840" i="1"/>
  <c r="J840" i="1"/>
  <c r="K840" i="1"/>
  <c r="M840" i="1"/>
  <c r="P840" i="1"/>
  <c r="R840" i="1"/>
  <c r="S840" i="1"/>
  <c r="T840" i="1"/>
  <c r="U840" i="1"/>
  <c r="X840" i="1"/>
  <c r="Y840" i="1"/>
  <c r="Z840" i="1"/>
  <c r="AA840" i="1"/>
  <c r="AB840" i="1"/>
  <c r="AC840" i="1"/>
  <c r="AD840" i="1"/>
  <c r="AE840" i="1"/>
  <c r="AF840" i="1"/>
  <c r="AG840" i="1"/>
  <c r="AH840" i="1"/>
  <c r="AI840" i="1"/>
  <c r="AJ840" i="1"/>
  <c r="AK840" i="1"/>
  <c r="C841" i="1"/>
  <c r="H841" i="1"/>
  <c r="I841" i="1"/>
  <c r="J841" i="1"/>
  <c r="K841" i="1"/>
  <c r="M841" i="1"/>
  <c r="P841" i="1"/>
  <c r="R841" i="1"/>
  <c r="S841" i="1"/>
  <c r="T841" i="1"/>
  <c r="U841" i="1"/>
  <c r="X841" i="1"/>
  <c r="Y841" i="1"/>
  <c r="Z841" i="1"/>
  <c r="AA841" i="1"/>
  <c r="AB841" i="1"/>
  <c r="AC841" i="1"/>
  <c r="AD841" i="1"/>
  <c r="AE841" i="1"/>
  <c r="AF841" i="1"/>
  <c r="AG841" i="1"/>
  <c r="AH841" i="1"/>
  <c r="AI841" i="1"/>
  <c r="AJ841" i="1"/>
  <c r="AK841" i="1"/>
  <c r="C822" i="1"/>
  <c r="H822" i="1"/>
  <c r="I822" i="1"/>
  <c r="J822" i="1"/>
  <c r="K822" i="1"/>
  <c r="M822" i="1"/>
  <c r="P822" i="1"/>
  <c r="R822" i="1"/>
  <c r="S822" i="1"/>
  <c r="T822" i="1"/>
  <c r="U822" i="1"/>
  <c r="X822" i="1"/>
  <c r="Y822" i="1"/>
  <c r="Z822" i="1"/>
  <c r="AA822" i="1"/>
  <c r="AB822" i="1"/>
  <c r="AC822" i="1"/>
  <c r="AD822" i="1"/>
  <c r="AE822" i="1"/>
  <c r="AF822" i="1"/>
  <c r="AG822" i="1"/>
  <c r="AH822" i="1"/>
  <c r="AI822" i="1"/>
  <c r="AJ822" i="1"/>
  <c r="AK822" i="1"/>
  <c r="C823" i="1"/>
  <c r="H823" i="1"/>
  <c r="I823" i="1"/>
  <c r="J823" i="1"/>
  <c r="K823" i="1"/>
  <c r="M823" i="1"/>
  <c r="P823" i="1"/>
  <c r="R823" i="1"/>
  <c r="S823" i="1"/>
  <c r="T823" i="1"/>
  <c r="U823" i="1"/>
  <c r="X823" i="1"/>
  <c r="Y823" i="1"/>
  <c r="Z823" i="1"/>
  <c r="AA823" i="1"/>
  <c r="AB823" i="1"/>
  <c r="AC823" i="1"/>
  <c r="AD823" i="1"/>
  <c r="AE823" i="1"/>
  <c r="AF823" i="1"/>
  <c r="AG823" i="1"/>
  <c r="AH823" i="1"/>
  <c r="AI823" i="1"/>
  <c r="AJ823" i="1"/>
  <c r="AK823" i="1"/>
  <c r="C824" i="1"/>
  <c r="H824" i="1"/>
  <c r="I824" i="1"/>
  <c r="J824" i="1"/>
  <c r="K824" i="1"/>
  <c r="M824" i="1"/>
  <c r="P824" i="1"/>
  <c r="R824" i="1"/>
  <c r="S824" i="1"/>
  <c r="T824" i="1"/>
  <c r="U824" i="1"/>
  <c r="X824" i="1"/>
  <c r="Y824" i="1"/>
  <c r="Z824" i="1"/>
  <c r="AA824" i="1"/>
  <c r="AB824" i="1"/>
  <c r="AC824" i="1"/>
  <c r="AD824" i="1"/>
  <c r="AE824" i="1"/>
  <c r="AF824" i="1"/>
  <c r="AG824" i="1"/>
  <c r="AH824" i="1"/>
  <c r="AI824" i="1"/>
  <c r="AJ824" i="1"/>
  <c r="AK824" i="1"/>
  <c r="C825" i="1"/>
  <c r="H825" i="1"/>
  <c r="I825" i="1"/>
  <c r="J825" i="1"/>
  <c r="K825" i="1"/>
  <c r="M825" i="1"/>
  <c r="P825" i="1"/>
  <c r="R825" i="1"/>
  <c r="S825" i="1"/>
  <c r="T825" i="1"/>
  <c r="U825" i="1"/>
  <c r="X825" i="1"/>
  <c r="Y825" i="1"/>
  <c r="Z825" i="1"/>
  <c r="AA825" i="1"/>
  <c r="AB825" i="1"/>
  <c r="AC825" i="1"/>
  <c r="AD825" i="1"/>
  <c r="AE825" i="1"/>
  <c r="AF825" i="1"/>
  <c r="AG825" i="1"/>
  <c r="AH825" i="1"/>
  <c r="AI825" i="1"/>
  <c r="AJ825" i="1"/>
  <c r="AK825" i="1"/>
  <c r="C826" i="1"/>
  <c r="H826" i="1"/>
  <c r="I826" i="1"/>
  <c r="J826" i="1"/>
  <c r="K826" i="1"/>
  <c r="M826" i="1"/>
  <c r="P826" i="1"/>
  <c r="R826" i="1"/>
  <c r="S826" i="1"/>
  <c r="T826" i="1"/>
  <c r="U826" i="1"/>
  <c r="X826" i="1"/>
  <c r="Y826" i="1"/>
  <c r="Z826" i="1"/>
  <c r="AA826" i="1"/>
  <c r="AB826" i="1"/>
  <c r="AC826" i="1"/>
  <c r="AD826" i="1"/>
  <c r="AE826" i="1"/>
  <c r="AF826" i="1"/>
  <c r="AG826" i="1"/>
  <c r="AH826" i="1"/>
  <c r="AI826" i="1"/>
  <c r="AJ826" i="1"/>
  <c r="AK826" i="1"/>
  <c r="C827" i="1"/>
  <c r="H827" i="1"/>
  <c r="I827" i="1"/>
  <c r="J827" i="1"/>
  <c r="K827" i="1"/>
  <c r="M827" i="1"/>
  <c r="P827" i="1"/>
  <c r="R827" i="1"/>
  <c r="S827" i="1"/>
  <c r="T827" i="1"/>
  <c r="U827" i="1"/>
  <c r="X827" i="1"/>
  <c r="Y827" i="1"/>
  <c r="Z827" i="1"/>
  <c r="AA827" i="1"/>
  <c r="AB827" i="1"/>
  <c r="AC827" i="1"/>
  <c r="AD827" i="1"/>
  <c r="AE827" i="1"/>
  <c r="AF827" i="1"/>
  <c r="AG827" i="1"/>
  <c r="AH827" i="1"/>
  <c r="AI827" i="1"/>
  <c r="AJ827" i="1"/>
  <c r="AK827" i="1"/>
  <c r="C828" i="1"/>
  <c r="H828" i="1"/>
  <c r="I828" i="1"/>
  <c r="J828" i="1"/>
  <c r="K828" i="1"/>
  <c r="M828" i="1"/>
  <c r="P828" i="1"/>
  <c r="R828" i="1"/>
  <c r="S828" i="1"/>
  <c r="T828" i="1"/>
  <c r="U828" i="1"/>
  <c r="X828" i="1"/>
  <c r="Y828" i="1"/>
  <c r="Z828" i="1"/>
  <c r="AA828" i="1"/>
  <c r="AB828" i="1"/>
  <c r="AC828" i="1"/>
  <c r="AD828" i="1"/>
  <c r="AE828" i="1"/>
  <c r="AF828" i="1"/>
  <c r="AG828" i="1"/>
  <c r="AH828" i="1"/>
  <c r="AI828" i="1"/>
  <c r="AJ828" i="1"/>
  <c r="AK828" i="1"/>
  <c r="C829" i="1"/>
  <c r="H829" i="1"/>
  <c r="I829" i="1"/>
  <c r="J829" i="1"/>
  <c r="K829" i="1"/>
  <c r="M829" i="1"/>
  <c r="P829" i="1"/>
  <c r="R829" i="1"/>
  <c r="S829" i="1"/>
  <c r="T829" i="1"/>
  <c r="U829" i="1"/>
  <c r="X829" i="1"/>
  <c r="Y829" i="1"/>
  <c r="Z829" i="1"/>
  <c r="AA829" i="1"/>
  <c r="AB829" i="1"/>
  <c r="AC829" i="1"/>
  <c r="AD829" i="1"/>
  <c r="AE829" i="1"/>
  <c r="AF829" i="1"/>
  <c r="AG829" i="1"/>
  <c r="AH829" i="1"/>
  <c r="AI829" i="1"/>
  <c r="AJ829" i="1"/>
  <c r="AK829" i="1"/>
  <c r="C830" i="1"/>
  <c r="H830" i="1"/>
  <c r="I830" i="1"/>
  <c r="J830" i="1"/>
  <c r="K830" i="1"/>
  <c r="M830" i="1"/>
  <c r="P830" i="1"/>
  <c r="R830" i="1"/>
  <c r="S830" i="1"/>
  <c r="T830" i="1"/>
  <c r="U830" i="1"/>
  <c r="X830" i="1"/>
  <c r="Y830" i="1"/>
  <c r="Z830" i="1"/>
  <c r="AA830" i="1"/>
  <c r="AB830" i="1"/>
  <c r="AC830" i="1"/>
  <c r="AD830" i="1"/>
  <c r="AE830" i="1"/>
  <c r="AF830" i="1"/>
  <c r="AG830" i="1"/>
  <c r="AH830" i="1"/>
  <c r="AI830" i="1"/>
  <c r="AJ830" i="1"/>
  <c r="AK830" i="1"/>
  <c r="C831" i="1"/>
  <c r="H831" i="1"/>
  <c r="I831" i="1"/>
  <c r="J831" i="1"/>
  <c r="K831" i="1"/>
  <c r="M831" i="1"/>
  <c r="P831" i="1"/>
  <c r="R831" i="1"/>
  <c r="S831" i="1"/>
  <c r="T831" i="1"/>
  <c r="U831" i="1"/>
  <c r="X831" i="1"/>
  <c r="Y831" i="1"/>
  <c r="Z831" i="1"/>
  <c r="AA831" i="1"/>
  <c r="AB831" i="1"/>
  <c r="AC831" i="1"/>
  <c r="AD831" i="1"/>
  <c r="AE831" i="1"/>
  <c r="AF831" i="1"/>
  <c r="AG831" i="1"/>
  <c r="AH831" i="1"/>
  <c r="AI831" i="1"/>
  <c r="AJ831" i="1"/>
  <c r="AK831" i="1"/>
  <c r="C812" i="1"/>
  <c r="H812" i="1"/>
  <c r="I812" i="1"/>
  <c r="J812" i="1"/>
  <c r="K812" i="1"/>
  <c r="M812" i="1"/>
  <c r="P812" i="1"/>
  <c r="R812" i="1"/>
  <c r="S812" i="1"/>
  <c r="T812" i="1"/>
  <c r="U812" i="1"/>
  <c r="X812" i="1"/>
  <c r="Y812" i="1"/>
  <c r="Z812" i="1"/>
  <c r="AA812" i="1"/>
  <c r="AB812" i="1"/>
  <c r="AC812" i="1"/>
  <c r="AD812" i="1"/>
  <c r="AE812" i="1"/>
  <c r="AF812" i="1"/>
  <c r="AG812" i="1"/>
  <c r="AH812" i="1"/>
  <c r="AI812" i="1"/>
  <c r="AJ812" i="1"/>
  <c r="AK812" i="1"/>
  <c r="C813" i="1"/>
  <c r="H813" i="1"/>
  <c r="I813" i="1"/>
  <c r="J813" i="1"/>
  <c r="K813" i="1"/>
  <c r="M813" i="1"/>
  <c r="P813" i="1"/>
  <c r="R813" i="1"/>
  <c r="S813" i="1"/>
  <c r="T813" i="1"/>
  <c r="U813" i="1"/>
  <c r="X813" i="1"/>
  <c r="Y813" i="1"/>
  <c r="Z813" i="1"/>
  <c r="AA813" i="1"/>
  <c r="AB813" i="1"/>
  <c r="AC813" i="1"/>
  <c r="AD813" i="1"/>
  <c r="AE813" i="1"/>
  <c r="AF813" i="1"/>
  <c r="AG813" i="1"/>
  <c r="AH813" i="1"/>
  <c r="AI813" i="1"/>
  <c r="AJ813" i="1"/>
  <c r="AK813" i="1"/>
  <c r="C814" i="1"/>
  <c r="H814" i="1"/>
  <c r="I814" i="1"/>
  <c r="J814" i="1"/>
  <c r="K814" i="1"/>
  <c r="M814" i="1"/>
  <c r="P814" i="1"/>
  <c r="R814" i="1"/>
  <c r="S814" i="1"/>
  <c r="T814" i="1"/>
  <c r="U814" i="1"/>
  <c r="X814" i="1"/>
  <c r="Y814" i="1"/>
  <c r="Z814" i="1"/>
  <c r="AA814" i="1"/>
  <c r="AB814" i="1"/>
  <c r="AC814" i="1"/>
  <c r="AD814" i="1"/>
  <c r="AE814" i="1"/>
  <c r="AF814" i="1"/>
  <c r="AG814" i="1"/>
  <c r="AH814" i="1"/>
  <c r="AI814" i="1"/>
  <c r="AJ814" i="1"/>
  <c r="AK814" i="1"/>
  <c r="C815" i="1"/>
  <c r="H815" i="1"/>
  <c r="I815" i="1"/>
  <c r="J815" i="1"/>
  <c r="K815" i="1"/>
  <c r="M815" i="1"/>
  <c r="P815" i="1"/>
  <c r="R815" i="1"/>
  <c r="S815" i="1"/>
  <c r="T815" i="1"/>
  <c r="U815" i="1"/>
  <c r="X815" i="1"/>
  <c r="Y815" i="1"/>
  <c r="Z815" i="1"/>
  <c r="AA815" i="1"/>
  <c r="AB815" i="1"/>
  <c r="AC815" i="1"/>
  <c r="AD815" i="1"/>
  <c r="AE815" i="1"/>
  <c r="AF815" i="1"/>
  <c r="AG815" i="1"/>
  <c r="AH815" i="1"/>
  <c r="AI815" i="1"/>
  <c r="AJ815" i="1"/>
  <c r="AK815" i="1"/>
  <c r="C816" i="1"/>
  <c r="H816" i="1"/>
  <c r="I816" i="1"/>
  <c r="J816" i="1"/>
  <c r="K816" i="1"/>
  <c r="M816" i="1"/>
  <c r="P816" i="1"/>
  <c r="R816" i="1"/>
  <c r="S816" i="1"/>
  <c r="T816" i="1"/>
  <c r="U816" i="1"/>
  <c r="X816" i="1"/>
  <c r="Y816" i="1"/>
  <c r="Z816" i="1"/>
  <c r="AA816" i="1"/>
  <c r="AB816" i="1"/>
  <c r="AC816" i="1"/>
  <c r="AD816" i="1"/>
  <c r="AE816" i="1"/>
  <c r="AF816" i="1"/>
  <c r="AG816" i="1"/>
  <c r="AH816" i="1"/>
  <c r="AI816" i="1"/>
  <c r="AJ816" i="1"/>
  <c r="AK816" i="1"/>
  <c r="C817" i="1"/>
  <c r="H817" i="1"/>
  <c r="I817" i="1"/>
  <c r="J817" i="1"/>
  <c r="K817" i="1"/>
  <c r="M817" i="1"/>
  <c r="P817" i="1"/>
  <c r="R817" i="1"/>
  <c r="S817" i="1"/>
  <c r="T817" i="1"/>
  <c r="U817" i="1"/>
  <c r="X817" i="1"/>
  <c r="Y817" i="1"/>
  <c r="Z817" i="1"/>
  <c r="AA817" i="1"/>
  <c r="AB817" i="1"/>
  <c r="AC817" i="1"/>
  <c r="AD817" i="1"/>
  <c r="AE817" i="1"/>
  <c r="AF817" i="1"/>
  <c r="AG817" i="1"/>
  <c r="AH817" i="1"/>
  <c r="AI817" i="1"/>
  <c r="AJ817" i="1"/>
  <c r="AK817" i="1"/>
  <c r="C818" i="1"/>
  <c r="H818" i="1"/>
  <c r="I818" i="1"/>
  <c r="J818" i="1"/>
  <c r="K818" i="1"/>
  <c r="M818" i="1"/>
  <c r="P818" i="1"/>
  <c r="R818" i="1"/>
  <c r="S818" i="1"/>
  <c r="T818" i="1"/>
  <c r="U818" i="1"/>
  <c r="X818" i="1"/>
  <c r="Y818" i="1"/>
  <c r="Z818" i="1"/>
  <c r="AA818" i="1"/>
  <c r="AB818" i="1"/>
  <c r="AC818" i="1"/>
  <c r="AD818" i="1"/>
  <c r="AE818" i="1"/>
  <c r="AF818" i="1"/>
  <c r="AG818" i="1"/>
  <c r="AH818" i="1"/>
  <c r="AI818" i="1"/>
  <c r="AJ818" i="1"/>
  <c r="AK818" i="1"/>
  <c r="C819" i="1"/>
  <c r="H819" i="1"/>
  <c r="I819" i="1"/>
  <c r="J819" i="1"/>
  <c r="K819" i="1"/>
  <c r="M819" i="1"/>
  <c r="P819" i="1"/>
  <c r="R819" i="1"/>
  <c r="S819" i="1"/>
  <c r="T819" i="1"/>
  <c r="U819" i="1"/>
  <c r="X819" i="1"/>
  <c r="Y819" i="1"/>
  <c r="Z819" i="1"/>
  <c r="AA819" i="1"/>
  <c r="AB819" i="1"/>
  <c r="AC819" i="1"/>
  <c r="AD819" i="1"/>
  <c r="AE819" i="1"/>
  <c r="AF819" i="1"/>
  <c r="AG819" i="1"/>
  <c r="AH819" i="1"/>
  <c r="AI819" i="1"/>
  <c r="AJ819" i="1"/>
  <c r="AK819" i="1"/>
  <c r="C820" i="1"/>
  <c r="H820" i="1"/>
  <c r="I820" i="1"/>
  <c r="J820" i="1"/>
  <c r="K820" i="1"/>
  <c r="M820" i="1"/>
  <c r="P820" i="1"/>
  <c r="R820" i="1"/>
  <c r="S820" i="1"/>
  <c r="T820" i="1"/>
  <c r="U820" i="1"/>
  <c r="X820" i="1"/>
  <c r="Y820" i="1"/>
  <c r="Z820" i="1"/>
  <c r="AA820" i="1"/>
  <c r="AB820" i="1"/>
  <c r="AC820" i="1"/>
  <c r="AD820" i="1"/>
  <c r="AE820" i="1"/>
  <c r="AF820" i="1"/>
  <c r="AG820" i="1"/>
  <c r="AH820" i="1"/>
  <c r="AI820" i="1"/>
  <c r="AJ820" i="1"/>
  <c r="AK820" i="1"/>
  <c r="C821" i="1"/>
  <c r="H821" i="1"/>
  <c r="I821" i="1"/>
  <c r="J821" i="1"/>
  <c r="K821" i="1"/>
  <c r="M821" i="1"/>
  <c r="P821" i="1"/>
  <c r="R821" i="1"/>
  <c r="S821" i="1"/>
  <c r="T821" i="1"/>
  <c r="U821" i="1"/>
  <c r="X821" i="1"/>
  <c r="Y821" i="1"/>
  <c r="Z821" i="1"/>
  <c r="AA821" i="1"/>
  <c r="AB821" i="1"/>
  <c r="AC821" i="1"/>
  <c r="AD821" i="1"/>
  <c r="AE821" i="1"/>
  <c r="AF821" i="1"/>
  <c r="AG821" i="1"/>
  <c r="AH821" i="1"/>
  <c r="AI821" i="1"/>
  <c r="AJ821" i="1"/>
  <c r="AK821" i="1"/>
  <c r="C802" i="1"/>
  <c r="H802" i="1"/>
  <c r="I802" i="1"/>
  <c r="J802" i="1"/>
  <c r="K802" i="1"/>
  <c r="M802" i="1"/>
  <c r="P802" i="1"/>
  <c r="R802" i="1"/>
  <c r="S802" i="1"/>
  <c r="T802" i="1"/>
  <c r="U802" i="1"/>
  <c r="X802" i="1"/>
  <c r="Y802" i="1"/>
  <c r="Z802" i="1"/>
  <c r="AA802" i="1"/>
  <c r="AB802" i="1"/>
  <c r="AC802" i="1"/>
  <c r="AD802" i="1"/>
  <c r="AE802" i="1"/>
  <c r="AF802" i="1"/>
  <c r="AG802" i="1"/>
  <c r="AH802" i="1"/>
  <c r="AI802" i="1"/>
  <c r="AJ802" i="1"/>
  <c r="AK802" i="1"/>
  <c r="C803" i="1"/>
  <c r="H803" i="1"/>
  <c r="I803" i="1"/>
  <c r="J803" i="1"/>
  <c r="K803" i="1"/>
  <c r="M803" i="1"/>
  <c r="P803" i="1"/>
  <c r="R803" i="1"/>
  <c r="S803" i="1"/>
  <c r="T803" i="1"/>
  <c r="U803" i="1"/>
  <c r="X803" i="1"/>
  <c r="Y803" i="1"/>
  <c r="Z803" i="1"/>
  <c r="AA803" i="1"/>
  <c r="AB803" i="1"/>
  <c r="AC803" i="1"/>
  <c r="AD803" i="1"/>
  <c r="AE803" i="1"/>
  <c r="AF803" i="1"/>
  <c r="AG803" i="1"/>
  <c r="AH803" i="1"/>
  <c r="AI803" i="1"/>
  <c r="AJ803" i="1"/>
  <c r="AK803" i="1"/>
  <c r="C804" i="1"/>
  <c r="H804" i="1"/>
  <c r="I804" i="1"/>
  <c r="J804" i="1"/>
  <c r="K804" i="1"/>
  <c r="M804" i="1"/>
  <c r="P804" i="1"/>
  <c r="R804" i="1"/>
  <c r="S804" i="1"/>
  <c r="T804" i="1"/>
  <c r="U804" i="1"/>
  <c r="X804" i="1"/>
  <c r="Y804" i="1"/>
  <c r="Z804" i="1"/>
  <c r="AA804" i="1"/>
  <c r="AB804" i="1"/>
  <c r="AC804" i="1"/>
  <c r="AD804" i="1"/>
  <c r="AE804" i="1"/>
  <c r="AF804" i="1"/>
  <c r="AG804" i="1"/>
  <c r="AH804" i="1"/>
  <c r="AI804" i="1"/>
  <c r="AJ804" i="1"/>
  <c r="AK804" i="1"/>
  <c r="C805" i="1"/>
  <c r="H805" i="1"/>
  <c r="I805" i="1"/>
  <c r="J805" i="1"/>
  <c r="K805" i="1"/>
  <c r="M805" i="1"/>
  <c r="P805" i="1"/>
  <c r="R805" i="1"/>
  <c r="S805" i="1"/>
  <c r="T805" i="1"/>
  <c r="U805" i="1"/>
  <c r="X805" i="1"/>
  <c r="Y805" i="1"/>
  <c r="Z805" i="1"/>
  <c r="AA805" i="1"/>
  <c r="AB805" i="1"/>
  <c r="AC805" i="1"/>
  <c r="AD805" i="1"/>
  <c r="AE805" i="1"/>
  <c r="AF805" i="1"/>
  <c r="AG805" i="1"/>
  <c r="AH805" i="1"/>
  <c r="AI805" i="1"/>
  <c r="AJ805" i="1"/>
  <c r="AK805" i="1"/>
  <c r="C806" i="1"/>
  <c r="H806" i="1"/>
  <c r="I806" i="1"/>
  <c r="J806" i="1"/>
  <c r="K806" i="1"/>
  <c r="M806" i="1"/>
  <c r="P806" i="1"/>
  <c r="R806" i="1"/>
  <c r="S806" i="1"/>
  <c r="T806" i="1"/>
  <c r="U806" i="1"/>
  <c r="X806" i="1"/>
  <c r="Y806" i="1"/>
  <c r="Z806" i="1"/>
  <c r="AA806" i="1"/>
  <c r="AB806" i="1"/>
  <c r="AC806" i="1"/>
  <c r="AD806" i="1"/>
  <c r="AE806" i="1"/>
  <c r="AF806" i="1"/>
  <c r="AG806" i="1"/>
  <c r="AH806" i="1"/>
  <c r="AI806" i="1"/>
  <c r="AJ806" i="1"/>
  <c r="AK806" i="1"/>
  <c r="C807" i="1"/>
  <c r="H807" i="1"/>
  <c r="I807" i="1"/>
  <c r="J807" i="1"/>
  <c r="K807" i="1"/>
  <c r="M807" i="1"/>
  <c r="P807" i="1"/>
  <c r="R807" i="1"/>
  <c r="S807" i="1"/>
  <c r="T807" i="1"/>
  <c r="U807" i="1"/>
  <c r="X807" i="1"/>
  <c r="Y807" i="1"/>
  <c r="Z807" i="1"/>
  <c r="AA807" i="1"/>
  <c r="AB807" i="1"/>
  <c r="AC807" i="1"/>
  <c r="AD807" i="1"/>
  <c r="AE807" i="1"/>
  <c r="AF807" i="1"/>
  <c r="AG807" i="1"/>
  <c r="AH807" i="1"/>
  <c r="AI807" i="1"/>
  <c r="AJ807" i="1"/>
  <c r="AK807" i="1"/>
  <c r="C808" i="1"/>
  <c r="H808" i="1"/>
  <c r="I808" i="1"/>
  <c r="J808" i="1"/>
  <c r="K808" i="1"/>
  <c r="M808" i="1"/>
  <c r="P808" i="1"/>
  <c r="R808" i="1"/>
  <c r="S808" i="1"/>
  <c r="T808" i="1"/>
  <c r="U808" i="1"/>
  <c r="X808" i="1"/>
  <c r="Y808" i="1"/>
  <c r="Z808" i="1"/>
  <c r="AA808" i="1"/>
  <c r="AB808" i="1"/>
  <c r="AC808" i="1"/>
  <c r="AD808" i="1"/>
  <c r="AE808" i="1"/>
  <c r="AF808" i="1"/>
  <c r="AG808" i="1"/>
  <c r="AH808" i="1"/>
  <c r="AI808" i="1"/>
  <c r="AJ808" i="1"/>
  <c r="AK808" i="1"/>
  <c r="C809" i="1"/>
  <c r="H809" i="1"/>
  <c r="I809" i="1"/>
  <c r="J809" i="1"/>
  <c r="K809" i="1"/>
  <c r="M809" i="1"/>
  <c r="P809" i="1"/>
  <c r="R809" i="1"/>
  <c r="S809" i="1"/>
  <c r="T809" i="1"/>
  <c r="U809" i="1"/>
  <c r="X809" i="1"/>
  <c r="Y809" i="1"/>
  <c r="Z809" i="1"/>
  <c r="AA809" i="1"/>
  <c r="AB809" i="1"/>
  <c r="AC809" i="1"/>
  <c r="AD809" i="1"/>
  <c r="AE809" i="1"/>
  <c r="AF809" i="1"/>
  <c r="AG809" i="1"/>
  <c r="AH809" i="1"/>
  <c r="AI809" i="1"/>
  <c r="AJ809" i="1"/>
  <c r="AK809" i="1"/>
  <c r="C810" i="1"/>
  <c r="H810" i="1"/>
  <c r="I810" i="1"/>
  <c r="J810" i="1"/>
  <c r="K810" i="1"/>
  <c r="M810" i="1"/>
  <c r="P810" i="1"/>
  <c r="R810" i="1"/>
  <c r="S810" i="1"/>
  <c r="T810" i="1"/>
  <c r="U810" i="1"/>
  <c r="X810" i="1"/>
  <c r="Y810" i="1"/>
  <c r="Z810" i="1"/>
  <c r="AA810" i="1"/>
  <c r="AB810" i="1"/>
  <c r="AC810" i="1"/>
  <c r="AD810" i="1"/>
  <c r="AE810" i="1"/>
  <c r="AF810" i="1"/>
  <c r="AG810" i="1"/>
  <c r="AH810" i="1"/>
  <c r="AI810" i="1"/>
  <c r="AJ810" i="1"/>
  <c r="AK810" i="1"/>
  <c r="C811" i="1"/>
  <c r="H811" i="1"/>
  <c r="I811" i="1"/>
  <c r="J811" i="1"/>
  <c r="K811" i="1"/>
  <c r="M811" i="1"/>
  <c r="P811" i="1"/>
  <c r="R811" i="1"/>
  <c r="S811" i="1"/>
  <c r="T811" i="1"/>
  <c r="U811" i="1"/>
  <c r="X811" i="1"/>
  <c r="Y811" i="1"/>
  <c r="Z811" i="1"/>
  <c r="AA811" i="1"/>
  <c r="AB811" i="1"/>
  <c r="AC811" i="1"/>
  <c r="AD811" i="1"/>
  <c r="AE811" i="1"/>
  <c r="AF811" i="1"/>
  <c r="AG811" i="1"/>
  <c r="AH811" i="1"/>
  <c r="AI811" i="1"/>
  <c r="AJ811" i="1"/>
  <c r="AK811" i="1"/>
  <c r="C792" i="1"/>
  <c r="H792" i="1"/>
  <c r="I792" i="1"/>
  <c r="J792" i="1"/>
  <c r="K792" i="1"/>
  <c r="M792" i="1"/>
  <c r="P792" i="1"/>
  <c r="R792" i="1"/>
  <c r="S792" i="1"/>
  <c r="T792" i="1"/>
  <c r="U792" i="1"/>
  <c r="X792" i="1"/>
  <c r="Y792" i="1"/>
  <c r="Z792" i="1"/>
  <c r="AA792" i="1"/>
  <c r="AB792" i="1"/>
  <c r="AC792" i="1"/>
  <c r="AD792" i="1"/>
  <c r="AE792" i="1"/>
  <c r="AF792" i="1"/>
  <c r="AG792" i="1"/>
  <c r="AH792" i="1"/>
  <c r="AI792" i="1"/>
  <c r="AJ792" i="1"/>
  <c r="AK792" i="1"/>
  <c r="C793" i="1"/>
  <c r="H793" i="1"/>
  <c r="I793" i="1"/>
  <c r="J793" i="1"/>
  <c r="K793" i="1"/>
  <c r="M793" i="1"/>
  <c r="P793" i="1"/>
  <c r="R793" i="1"/>
  <c r="S793" i="1"/>
  <c r="T793" i="1"/>
  <c r="U793" i="1"/>
  <c r="X793" i="1"/>
  <c r="Y793" i="1"/>
  <c r="Z793" i="1"/>
  <c r="AA793" i="1"/>
  <c r="AB793" i="1"/>
  <c r="AC793" i="1"/>
  <c r="AD793" i="1"/>
  <c r="AE793" i="1"/>
  <c r="AF793" i="1"/>
  <c r="AG793" i="1"/>
  <c r="AH793" i="1"/>
  <c r="AI793" i="1"/>
  <c r="AJ793" i="1"/>
  <c r="AK793" i="1"/>
  <c r="C794" i="1"/>
  <c r="H794" i="1"/>
  <c r="I794" i="1"/>
  <c r="J794" i="1"/>
  <c r="K794" i="1"/>
  <c r="M794" i="1"/>
  <c r="P794" i="1"/>
  <c r="R794" i="1"/>
  <c r="S794" i="1"/>
  <c r="T794" i="1"/>
  <c r="U794" i="1"/>
  <c r="X794" i="1"/>
  <c r="Y794" i="1"/>
  <c r="Z794" i="1"/>
  <c r="AA794" i="1"/>
  <c r="AB794" i="1"/>
  <c r="AC794" i="1"/>
  <c r="AD794" i="1"/>
  <c r="AE794" i="1"/>
  <c r="AF794" i="1"/>
  <c r="AG794" i="1"/>
  <c r="AH794" i="1"/>
  <c r="AI794" i="1"/>
  <c r="AJ794" i="1"/>
  <c r="AK794" i="1"/>
  <c r="C795" i="1"/>
  <c r="H795" i="1"/>
  <c r="I795" i="1"/>
  <c r="J795" i="1"/>
  <c r="K795" i="1"/>
  <c r="M795" i="1"/>
  <c r="P795" i="1"/>
  <c r="R795" i="1"/>
  <c r="S795" i="1"/>
  <c r="T795" i="1"/>
  <c r="U795" i="1"/>
  <c r="X795" i="1"/>
  <c r="Y795" i="1"/>
  <c r="Z795" i="1"/>
  <c r="AA795" i="1"/>
  <c r="AB795" i="1"/>
  <c r="AC795" i="1"/>
  <c r="AD795" i="1"/>
  <c r="AE795" i="1"/>
  <c r="AF795" i="1"/>
  <c r="AG795" i="1"/>
  <c r="AH795" i="1"/>
  <c r="AI795" i="1"/>
  <c r="AJ795" i="1"/>
  <c r="AK795" i="1"/>
  <c r="C796" i="1"/>
  <c r="H796" i="1"/>
  <c r="I796" i="1"/>
  <c r="J796" i="1"/>
  <c r="K796" i="1"/>
  <c r="M796" i="1"/>
  <c r="P796" i="1"/>
  <c r="R796" i="1"/>
  <c r="S796" i="1"/>
  <c r="T796" i="1"/>
  <c r="U796" i="1"/>
  <c r="X796" i="1"/>
  <c r="Y796" i="1"/>
  <c r="Z796" i="1"/>
  <c r="AA796" i="1"/>
  <c r="AB796" i="1"/>
  <c r="AC796" i="1"/>
  <c r="AD796" i="1"/>
  <c r="AE796" i="1"/>
  <c r="AF796" i="1"/>
  <c r="AG796" i="1"/>
  <c r="AH796" i="1"/>
  <c r="AI796" i="1"/>
  <c r="AJ796" i="1"/>
  <c r="AK796" i="1"/>
  <c r="C797" i="1"/>
  <c r="H797" i="1"/>
  <c r="I797" i="1"/>
  <c r="J797" i="1"/>
  <c r="K797" i="1"/>
  <c r="M797" i="1"/>
  <c r="P797" i="1"/>
  <c r="R797" i="1"/>
  <c r="S797" i="1"/>
  <c r="T797" i="1"/>
  <c r="U797" i="1"/>
  <c r="X797" i="1"/>
  <c r="Y797" i="1"/>
  <c r="Z797" i="1"/>
  <c r="AA797" i="1"/>
  <c r="AB797" i="1"/>
  <c r="AC797" i="1"/>
  <c r="AD797" i="1"/>
  <c r="AE797" i="1"/>
  <c r="AF797" i="1"/>
  <c r="AG797" i="1"/>
  <c r="AH797" i="1"/>
  <c r="AI797" i="1"/>
  <c r="AJ797" i="1"/>
  <c r="AK797" i="1"/>
  <c r="C798" i="1"/>
  <c r="H798" i="1"/>
  <c r="I798" i="1"/>
  <c r="J798" i="1"/>
  <c r="K798" i="1"/>
  <c r="M798" i="1"/>
  <c r="P798" i="1"/>
  <c r="R798" i="1"/>
  <c r="S798" i="1"/>
  <c r="T798" i="1"/>
  <c r="U798" i="1"/>
  <c r="X798" i="1"/>
  <c r="Y798" i="1"/>
  <c r="Z798" i="1"/>
  <c r="AA798" i="1"/>
  <c r="AB798" i="1"/>
  <c r="AC798" i="1"/>
  <c r="AD798" i="1"/>
  <c r="AE798" i="1"/>
  <c r="AF798" i="1"/>
  <c r="AG798" i="1"/>
  <c r="AH798" i="1"/>
  <c r="AI798" i="1"/>
  <c r="AJ798" i="1"/>
  <c r="AK798" i="1"/>
  <c r="C799" i="1"/>
  <c r="H799" i="1"/>
  <c r="I799" i="1"/>
  <c r="J799" i="1"/>
  <c r="K799" i="1"/>
  <c r="M799" i="1"/>
  <c r="P799" i="1"/>
  <c r="R799" i="1"/>
  <c r="S799" i="1"/>
  <c r="T799" i="1"/>
  <c r="U799" i="1"/>
  <c r="X799" i="1"/>
  <c r="Y799" i="1"/>
  <c r="Z799" i="1"/>
  <c r="AA799" i="1"/>
  <c r="AB799" i="1"/>
  <c r="AC799" i="1"/>
  <c r="AD799" i="1"/>
  <c r="AE799" i="1"/>
  <c r="AF799" i="1"/>
  <c r="AG799" i="1"/>
  <c r="AH799" i="1"/>
  <c r="AI799" i="1"/>
  <c r="AJ799" i="1"/>
  <c r="AK799" i="1"/>
  <c r="C800" i="1"/>
  <c r="H800" i="1"/>
  <c r="I800" i="1"/>
  <c r="J800" i="1"/>
  <c r="K800" i="1"/>
  <c r="M800" i="1"/>
  <c r="P800" i="1"/>
  <c r="R800" i="1"/>
  <c r="S800" i="1"/>
  <c r="T800" i="1"/>
  <c r="U800" i="1"/>
  <c r="X800" i="1"/>
  <c r="Y800" i="1"/>
  <c r="Z800" i="1"/>
  <c r="AA800" i="1"/>
  <c r="AB800" i="1"/>
  <c r="AC800" i="1"/>
  <c r="AD800" i="1"/>
  <c r="AE800" i="1"/>
  <c r="AF800" i="1"/>
  <c r="AG800" i="1"/>
  <c r="AH800" i="1"/>
  <c r="AI800" i="1"/>
  <c r="AJ800" i="1"/>
  <c r="AK800" i="1"/>
  <c r="C801" i="1"/>
  <c r="H801" i="1"/>
  <c r="I801" i="1"/>
  <c r="J801" i="1"/>
  <c r="K801" i="1"/>
  <c r="M801" i="1"/>
  <c r="P801" i="1"/>
  <c r="R801" i="1"/>
  <c r="S801" i="1"/>
  <c r="T801" i="1"/>
  <c r="U801" i="1"/>
  <c r="X801" i="1"/>
  <c r="Y801" i="1"/>
  <c r="Z801" i="1"/>
  <c r="AA801" i="1"/>
  <c r="AB801" i="1"/>
  <c r="AC801" i="1"/>
  <c r="AD801" i="1"/>
  <c r="AE801" i="1"/>
  <c r="AF801" i="1"/>
  <c r="AG801" i="1"/>
  <c r="AH801" i="1"/>
  <c r="AI801" i="1"/>
  <c r="AJ801" i="1"/>
  <c r="AK801" i="1"/>
  <c r="C782" i="1"/>
  <c r="H782" i="1"/>
  <c r="I782" i="1"/>
  <c r="J782" i="1"/>
  <c r="K782" i="1"/>
  <c r="M782" i="1"/>
  <c r="P782" i="1"/>
  <c r="R782" i="1"/>
  <c r="S782" i="1"/>
  <c r="T782" i="1"/>
  <c r="U782" i="1"/>
  <c r="X782" i="1"/>
  <c r="Y782" i="1"/>
  <c r="Z782" i="1"/>
  <c r="AA782" i="1"/>
  <c r="AB782" i="1"/>
  <c r="AC782" i="1"/>
  <c r="AD782" i="1"/>
  <c r="AE782" i="1"/>
  <c r="AF782" i="1"/>
  <c r="AG782" i="1"/>
  <c r="AH782" i="1"/>
  <c r="AI782" i="1"/>
  <c r="AJ782" i="1"/>
  <c r="AK782" i="1"/>
  <c r="C783" i="1"/>
  <c r="H783" i="1"/>
  <c r="I783" i="1"/>
  <c r="J783" i="1"/>
  <c r="K783" i="1"/>
  <c r="M783" i="1"/>
  <c r="P783" i="1"/>
  <c r="R783" i="1"/>
  <c r="S783" i="1"/>
  <c r="T783" i="1"/>
  <c r="U783" i="1"/>
  <c r="X783" i="1"/>
  <c r="Y783" i="1"/>
  <c r="Z783" i="1"/>
  <c r="AA783" i="1"/>
  <c r="AB783" i="1"/>
  <c r="AC783" i="1"/>
  <c r="AD783" i="1"/>
  <c r="AE783" i="1"/>
  <c r="AF783" i="1"/>
  <c r="AG783" i="1"/>
  <c r="AH783" i="1"/>
  <c r="AI783" i="1"/>
  <c r="AJ783" i="1"/>
  <c r="AK783" i="1"/>
  <c r="C784" i="1"/>
  <c r="H784" i="1"/>
  <c r="I784" i="1"/>
  <c r="J784" i="1"/>
  <c r="K784" i="1"/>
  <c r="M784" i="1"/>
  <c r="P784" i="1"/>
  <c r="R784" i="1"/>
  <c r="S784" i="1"/>
  <c r="T784" i="1"/>
  <c r="U784" i="1"/>
  <c r="X784" i="1"/>
  <c r="Y784" i="1"/>
  <c r="Z784" i="1"/>
  <c r="AA784" i="1"/>
  <c r="AB784" i="1"/>
  <c r="AC784" i="1"/>
  <c r="AD784" i="1"/>
  <c r="AE784" i="1"/>
  <c r="AF784" i="1"/>
  <c r="AG784" i="1"/>
  <c r="AH784" i="1"/>
  <c r="AI784" i="1"/>
  <c r="AJ784" i="1"/>
  <c r="AK784" i="1"/>
  <c r="C785" i="1"/>
  <c r="H785" i="1"/>
  <c r="I785" i="1"/>
  <c r="J785" i="1"/>
  <c r="K785" i="1"/>
  <c r="M785" i="1"/>
  <c r="P785" i="1"/>
  <c r="R785" i="1"/>
  <c r="S785" i="1"/>
  <c r="T785" i="1"/>
  <c r="U785" i="1"/>
  <c r="X785" i="1"/>
  <c r="Y785" i="1"/>
  <c r="Z785" i="1"/>
  <c r="AA785" i="1"/>
  <c r="AB785" i="1"/>
  <c r="AC785" i="1"/>
  <c r="AD785" i="1"/>
  <c r="AE785" i="1"/>
  <c r="AF785" i="1"/>
  <c r="AG785" i="1"/>
  <c r="AH785" i="1"/>
  <c r="AI785" i="1"/>
  <c r="AJ785" i="1"/>
  <c r="AK785" i="1"/>
  <c r="C786" i="1"/>
  <c r="H786" i="1"/>
  <c r="I786" i="1"/>
  <c r="J786" i="1"/>
  <c r="K786" i="1"/>
  <c r="M786" i="1"/>
  <c r="P786" i="1"/>
  <c r="R786" i="1"/>
  <c r="S786" i="1"/>
  <c r="T786" i="1"/>
  <c r="U786" i="1"/>
  <c r="X786" i="1"/>
  <c r="Y786" i="1"/>
  <c r="Z786" i="1"/>
  <c r="AA786" i="1"/>
  <c r="AB786" i="1"/>
  <c r="AC786" i="1"/>
  <c r="AD786" i="1"/>
  <c r="AE786" i="1"/>
  <c r="AF786" i="1"/>
  <c r="AG786" i="1"/>
  <c r="AH786" i="1"/>
  <c r="AI786" i="1"/>
  <c r="AJ786" i="1"/>
  <c r="AK786" i="1"/>
  <c r="C787" i="1"/>
  <c r="H787" i="1"/>
  <c r="I787" i="1"/>
  <c r="J787" i="1"/>
  <c r="K787" i="1"/>
  <c r="M787" i="1"/>
  <c r="P787" i="1"/>
  <c r="R787" i="1"/>
  <c r="S787" i="1"/>
  <c r="T787" i="1"/>
  <c r="U787" i="1"/>
  <c r="X787" i="1"/>
  <c r="Y787" i="1"/>
  <c r="Z787" i="1"/>
  <c r="AA787" i="1"/>
  <c r="AB787" i="1"/>
  <c r="AC787" i="1"/>
  <c r="AD787" i="1"/>
  <c r="AE787" i="1"/>
  <c r="AF787" i="1"/>
  <c r="AG787" i="1"/>
  <c r="AH787" i="1"/>
  <c r="AI787" i="1"/>
  <c r="AJ787" i="1"/>
  <c r="AK787" i="1"/>
  <c r="C788" i="1"/>
  <c r="H788" i="1"/>
  <c r="I788" i="1"/>
  <c r="J788" i="1"/>
  <c r="K788" i="1"/>
  <c r="M788" i="1"/>
  <c r="P788" i="1"/>
  <c r="R788" i="1"/>
  <c r="S788" i="1"/>
  <c r="T788" i="1"/>
  <c r="U788" i="1"/>
  <c r="X788" i="1"/>
  <c r="Y788" i="1"/>
  <c r="Z788" i="1"/>
  <c r="AA788" i="1"/>
  <c r="AB788" i="1"/>
  <c r="AC788" i="1"/>
  <c r="AD788" i="1"/>
  <c r="AE788" i="1"/>
  <c r="AF788" i="1"/>
  <c r="AG788" i="1"/>
  <c r="AH788" i="1"/>
  <c r="AI788" i="1"/>
  <c r="AJ788" i="1"/>
  <c r="AK788" i="1"/>
  <c r="C789" i="1"/>
  <c r="H789" i="1"/>
  <c r="I789" i="1"/>
  <c r="J789" i="1"/>
  <c r="K789" i="1"/>
  <c r="M789" i="1"/>
  <c r="P789" i="1"/>
  <c r="R789" i="1"/>
  <c r="S789" i="1"/>
  <c r="T789" i="1"/>
  <c r="U789" i="1"/>
  <c r="X789" i="1"/>
  <c r="Y789" i="1"/>
  <c r="Z789" i="1"/>
  <c r="AA789" i="1"/>
  <c r="AB789" i="1"/>
  <c r="AC789" i="1"/>
  <c r="AD789" i="1"/>
  <c r="AE789" i="1"/>
  <c r="AF789" i="1"/>
  <c r="AG789" i="1"/>
  <c r="AH789" i="1"/>
  <c r="AI789" i="1"/>
  <c r="AJ789" i="1"/>
  <c r="AK789" i="1"/>
  <c r="C790" i="1"/>
  <c r="H790" i="1"/>
  <c r="I790" i="1"/>
  <c r="J790" i="1"/>
  <c r="K790" i="1"/>
  <c r="M790" i="1"/>
  <c r="P790" i="1"/>
  <c r="R790" i="1"/>
  <c r="S790" i="1"/>
  <c r="T790" i="1"/>
  <c r="U790" i="1"/>
  <c r="X790" i="1"/>
  <c r="Y790" i="1"/>
  <c r="Z790" i="1"/>
  <c r="AA790" i="1"/>
  <c r="AB790" i="1"/>
  <c r="AC790" i="1"/>
  <c r="AD790" i="1"/>
  <c r="AE790" i="1"/>
  <c r="AF790" i="1"/>
  <c r="AG790" i="1"/>
  <c r="AH790" i="1"/>
  <c r="AI790" i="1"/>
  <c r="AJ790" i="1"/>
  <c r="AK790" i="1"/>
  <c r="C791" i="1"/>
  <c r="H791" i="1"/>
  <c r="I791" i="1"/>
  <c r="J791" i="1"/>
  <c r="K791" i="1"/>
  <c r="M791" i="1"/>
  <c r="P791" i="1"/>
  <c r="R791" i="1"/>
  <c r="S791" i="1"/>
  <c r="T791" i="1"/>
  <c r="U791" i="1"/>
  <c r="X791" i="1"/>
  <c r="Y791" i="1"/>
  <c r="Z791" i="1"/>
  <c r="AA791" i="1"/>
  <c r="AB791" i="1"/>
  <c r="AC791" i="1"/>
  <c r="AD791" i="1"/>
  <c r="AE791" i="1"/>
  <c r="AF791" i="1"/>
  <c r="AG791" i="1"/>
  <c r="AH791" i="1"/>
  <c r="AI791" i="1"/>
  <c r="AJ791" i="1"/>
  <c r="AK791" i="1"/>
  <c r="C772" i="1"/>
  <c r="H772" i="1"/>
  <c r="I772" i="1"/>
  <c r="J772" i="1"/>
  <c r="K772" i="1"/>
  <c r="M772" i="1"/>
  <c r="P772" i="1"/>
  <c r="R772" i="1"/>
  <c r="S772" i="1"/>
  <c r="T772" i="1"/>
  <c r="U772" i="1"/>
  <c r="X772" i="1"/>
  <c r="Y772" i="1"/>
  <c r="Z772" i="1"/>
  <c r="AA772" i="1"/>
  <c r="AB772" i="1"/>
  <c r="AC772" i="1"/>
  <c r="AD772" i="1"/>
  <c r="AE772" i="1"/>
  <c r="AF772" i="1"/>
  <c r="AG772" i="1"/>
  <c r="AH772" i="1"/>
  <c r="AI772" i="1"/>
  <c r="AJ772" i="1"/>
  <c r="AK772" i="1"/>
  <c r="C773" i="1"/>
  <c r="H773" i="1"/>
  <c r="I773" i="1"/>
  <c r="J773" i="1"/>
  <c r="K773" i="1"/>
  <c r="M773" i="1"/>
  <c r="P773" i="1"/>
  <c r="R773" i="1"/>
  <c r="S773" i="1"/>
  <c r="T773" i="1"/>
  <c r="U773" i="1"/>
  <c r="X773" i="1"/>
  <c r="Y773" i="1"/>
  <c r="Z773" i="1"/>
  <c r="AA773" i="1"/>
  <c r="AB773" i="1"/>
  <c r="AC773" i="1"/>
  <c r="AD773" i="1"/>
  <c r="AE773" i="1"/>
  <c r="AF773" i="1"/>
  <c r="AG773" i="1"/>
  <c r="AH773" i="1"/>
  <c r="AI773" i="1"/>
  <c r="AJ773" i="1"/>
  <c r="AK773" i="1"/>
  <c r="C774" i="1"/>
  <c r="H774" i="1"/>
  <c r="I774" i="1"/>
  <c r="J774" i="1"/>
  <c r="K774" i="1"/>
  <c r="M774" i="1"/>
  <c r="P774" i="1"/>
  <c r="R774" i="1"/>
  <c r="S774" i="1"/>
  <c r="T774" i="1"/>
  <c r="U774" i="1"/>
  <c r="X774" i="1"/>
  <c r="Y774" i="1"/>
  <c r="Z774" i="1"/>
  <c r="AA774" i="1"/>
  <c r="AB774" i="1"/>
  <c r="AC774" i="1"/>
  <c r="AD774" i="1"/>
  <c r="AE774" i="1"/>
  <c r="AF774" i="1"/>
  <c r="AG774" i="1"/>
  <c r="AH774" i="1"/>
  <c r="AI774" i="1"/>
  <c r="AJ774" i="1"/>
  <c r="AK774" i="1"/>
  <c r="C775" i="1"/>
  <c r="H775" i="1"/>
  <c r="I775" i="1"/>
  <c r="J775" i="1"/>
  <c r="K775" i="1"/>
  <c r="M775" i="1"/>
  <c r="P775" i="1"/>
  <c r="R775" i="1"/>
  <c r="S775" i="1"/>
  <c r="T775" i="1"/>
  <c r="U775" i="1"/>
  <c r="X775" i="1"/>
  <c r="Y775" i="1"/>
  <c r="Z775" i="1"/>
  <c r="AA775" i="1"/>
  <c r="AB775" i="1"/>
  <c r="AC775" i="1"/>
  <c r="AD775" i="1"/>
  <c r="AE775" i="1"/>
  <c r="AF775" i="1"/>
  <c r="AG775" i="1"/>
  <c r="AH775" i="1"/>
  <c r="AI775" i="1"/>
  <c r="AJ775" i="1"/>
  <c r="AK775" i="1"/>
  <c r="C776" i="1"/>
  <c r="H776" i="1"/>
  <c r="I776" i="1"/>
  <c r="J776" i="1"/>
  <c r="K776" i="1"/>
  <c r="M776" i="1"/>
  <c r="P776" i="1"/>
  <c r="R776" i="1"/>
  <c r="S776" i="1"/>
  <c r="T776" i="1"/>
  <c r="U776" i="1"/>
  <c r="X776" i="1"/>
  <c r="Y776" i="1"/>
  <c r="Z776" i="1"/>
  <c r="AA776" i="1"/>
  <c r="AB776" i="1"/>
  <c r="AC776" i="1"/>
  <c r="AD776" i="1"/>
  <c r="AE776" i="1"/>
  <c r="AF776" i="1"/>
  <c r="AG776" i="1"/>
  <c r="AH776" i="1"/>
  <c r="AI776" i="1"/>
  <c r="AJ776" i="1"/>
  <c r="AK776" i="1"/>
  <c r="C777" i="1"/>
  <c r="H777" i="1"/>
  <c r="I777" i="1"/>
  <c r="J777" i="1"/>
  <c r="K777" i="1"/>
  <c r="M777" i="1"/>
  <c r="P777" i="1"/>
  <c r="R777" i="1"/>
  <c r="S777" i="1"/>
  <c r="T777" i="1"/>
  <c r="U777" i="1"/>
  <c r="X777" i="1"/>
  <c r="Y777" i="1"/>
  <c r="Z777" i="1"/>
  <c r="AA777" i="1"/>
  <c r="AB777" i="1"/>
  <c r="AC777" i="1"/>
  <c r="AD777" i="1"/>
  <c r="AE777" i="1"/>
  <c r="AF777" i="1"/>
  <c r="AG777" i="1"/>
  <c r="AH777" i="1"/>
  <c r="AI777" i="1"/>
  <c r="AJ777" i="1"/>
  <c r="AK777" i="1"/>
  <c r="C778" i="1"/>
  <c r="H778" i="1"/>
  <c r="I778" i="1"/>
  <c r="J778" i="1"/>
  <c r="K778" i="1"/>
  <c r="M778" i="1"/>
  <c r="P778" i="1"/>
  <c r="R778" i="1"/>
  <c r="S778" i="1"/>
  <c r="T778" i="1"/>
  <c r="U778" i="1"/>
  <c r="X778" i="1"/>
  <c r="Y778" i="1"/>
  <c r="Z778" i="1"/>
  <c r="AA778" i="1"/>
  <c r="AB778" i="1"/>
  <c r="AC778" i="1"/>
  <c r="AD778" i="1"/>
  <c r="AE778" i="1"/>
  <c r="AF778" i="1"/>
  <c r="AG778" i="1"/>
  <c r="AH778" i="1"/>
  <c r="AI778" i="1"/>
  <c r="AJ778" i="1"/>
  <c r="AK778" i="1"/>
  <c r="C779" i="1"/>
  <c r="H779" i="1"/>
  <c r="I779" i="1"/>
  <c r="J779" i="1"/>
  <c r="K779" i="1"/>
  <c r="M779" i="1"/>
  <c r="P779" i="1"/>
  <c r="R779" i="1"/>
  <c r="S779" i="1"/>
  <c r="T779" i="1"/>
  <c r="U779" i="1"/>
  <c r="X779" i="1"/>
  <c r="Y779" i="1"/>
  <c r="Z779" i="1"/>
  <c r="AA779" i="1"/>
  <c r="AB779" i="1"/>
  <c r="AC779" i="1"/>
  <c r="AD779" i="1"/>
  <c r="AE779" i="1"/>
  <c r="AF779" i="1"/>
  <c r="AG779" i="1"/>
  <c r="AH779" i="1"/>
  <c r="AI779" i="1"/>
  <c r="AJ779" i="1"/>
  <c r="AK779" i="1"/>
  <c r="C780" i="1"/>
  <c r="H780" i="1"/>
  <c r="I780" i="1"/>
  <c r="J780" i="1"/>
  <c r="K780" i="1"/>
  <c r="M780" i="1"/>
  <c r="P780" i="1"/>
  <c r="R780" i="1"/>
  <c r="S780" i="1"/>
  <c r="T780" i="1"/>
  <c r="U780" i="1"/>
  <c r="X780" i="1"/>
  <c r="Y780" i="1"/>
  <c r="Z780" i="1"/>
  <c r="AA780" i="1"/>
  <c r="AB780" i="1"/>
  <c r="AC780" i="1"/>
  <c r="AD780" i="1"/>
  <c r="AE780" i="1"/>
  <c r="AF780" i="1"/>
  <c r="AG780" i="1"/>
  <c r="AH780" i="1"/>
  <c r="AI780" i="1"/>
  <c r="AJ780" i="1"/>
  <c r="AK780" i="1"/>
  <c r="C781" i="1"/>
  <c r="H781" i="1"/>
  <c r="I781" i="1"/>
  <c r="J781" i="1"/>
  <c r="K781" i="1"/>
  <c r="M781" i="1"/>
  <c r="P781" i="1"/>
  <c r="R781" i="1"/>
  <c r="S781" i="1"/>
  <c r="T781" i="1"/>
  <c r="U781" i="1"/>
  <c r="X781" i="1"/>
  <c r="Y781" i="1"/>
  <c r="Z781" i="1"/>
  <c r="AA781" i="1"/>
  <c r="AB781" i="1"/>
  <c r="AC781" i="1"/>
  <c r="AD781" i="1"/>
  <c r="AE781" i="1"/>
  <c r="AF781" i="1"/>
  <c r="AG781" i="1"/>
  <c r="AH781" i="1"/>
  <c r="AI781" i="1"/>
  <c r="AJ781" i="1"/>
  <c r="AK781" i="1"/>
  <c r="C762" i="1"/>
  <c r="H762" i="1"/>
  <c r="I762" i="1"/>
  <c r="J762" i="1"/>
  <c r="K762" i="1"/>
  <c r="M762" i="1"/>
  <c r="P762" i="1"/>
  <c r="R762" i="1"/>
  <c r="S762" i="1"/>
  <c r="T762" i="1"/>
  <c r="U762" i="1"/>
  <c r="X762" i="1"/>
  <c r="Y762" i="1"/>
  <c r="Z762" i="1"/>
  <c r="AA762" i="1"/>
  <c r="AB762" i="1"/>
  <c r="AC762" i="1"/>
  <c r="AD762" i="1"/>
  <c r="AE762" i="1"/>
  <c r="AF762" i="1"/>
  <c r="AG762" i="1"/>
  <c r="AH762" i="1"/>
  <c r="AI762" i="1"/>
  <c r="AJ762" i="1"/>
  <c r="AK762" i="1"/>
  <c r="C763" i="1"/>
  <c r="H763" i="1"/>
  <c r="I763" i="1"/>
  <c r="J763" i="1"/>
  <c r="K763" i="1"/>
  <c r="M763" i="1"/>
  <c r="P763" i="1"/>
  <c r="R763" i="1"/>
  <c r="S763" i="1"/>
  <c r="T763" i="1"/>
  <c r="U763" i="1"/>
  <c r="X763" i="1"/>
  <c r="Y763" i="1"/>
  <c r="Z763" i="1"/>
  <c r="AA763" i="1"/>
  <c r="AB763" i="1"/>
  <c r="AC763" i="1"/>
  <c r="AD763" i="1"/>
  <c r="AE763" i="1"/>
  <c r="AF763" i="1"/>
  <c r="AG763" i="1"/>
  <c r="AH763" i="1"/>
  <c r="AI763" i="1"/>
  <c r="AJ763" i="1"/>
  <c r="AK763" i="1"/>
  <c r="C764" i="1"/>
  <c r="H764" i="1"/>
  <c r="I764" i="1"/>
  <c r="J764" i="1"/>
  <c r="K764" i="1"/>
  <c r="M764" i="1"/>
  <c r="P764" i="1"/>
  <c r="R764" i="1"/>
  <c r="S764" i="1"/>
  <c r="T764" i="1"/>
  <c r="U764" i="1"/>
  <c r="X764" i="1"/>
  <c r="Y764" i="1"/>
  <c r="Z764" i="1"/>
  <c r="AA764" i="1"/>
  <c r="AB764" i="1"/>
  <c r="AC764" i="1"/>
  <c r="AD764" i="1"/>
  <c r="AE764" i="1"/>
  <c r="AF764" i="1"/>
  <c r="AG764" i="1"/>
  <c r="AH764" i="1"/>
  <c r="AI764" i="1"/>
  <c r="AJ764" i="1"/>
  <c r="AK764" i="1"/>
  <c r="C765" i="1"/>
  <c r="H765" i="1"/>
  <c r="I765" i="1"/>
  <c r="J765" i="1"/>
  <c r="K765" i="1"/>
  <c r="M765" i="1"/>
  <c r="P765" i="1"/>
  <c r="R765" i="1"/>
  <c r="S765" i="1"/>
  <c r="T765" i="1"/>
  <c r="U765" i="1"/>
  <c r="X765" i="1"/>
  <c r="Y765" i="1"/>
  <c r="Z765" i="1"/>
  <c r="AA765" i="1"/>
  <c r="AB765" i="1"/>
  <c r="AC765" i="1"/>
  <c r="AD765" i="1"/>
  <c r="AE765" i="1"/>
  <c r="AF765" i="1"/>
  <c r="AG765" i="1"/>
  <c r="AH765" i="1"/>
  <c r="AI765" i="1"/>
  <c r="AJ765" i="1"/>
  <c r="AK765" i="1"/>
  <c r="C766" i="1"/>
  <c r="H766" i="1"/>
  <c r="I766" i="1"/>
  <c r="J766" i="1"/>
  <c r="K766" i="1"/>
  <c r="M766" i="1"/>
  <c r="P766" i="1"/>
  <c r="R766" i="1"/>
  <c r="S766" i="1"/>
  <c r="T766" i="1"/>
  <c r="U766" i="1"/>
  <c r="X766" i="1"/>
  <c r="Y766" i="1"/>
  <c r="Z766" i="1"/>
  <c r="AA766" i="1"/>
  <c r="AB766" i="1"/>
  <c r="AC766" i="1"/>
  <c r="AD766" i="1"/>
  <c r="AE766" i="1"/>
  <c r="AF766" i="1"/>
  <c r="AG766" i="1"/>
  <c r="AH766" i="1"/>
  <c r="AI766" i="1"/>
  <c r="AJ766" i="1"/>
  <c r="AK766" i="1"/>
  <c r="C767" i="1"/>
  <c r="H767" i="1"/>
  <c r="I767" i="1"/>
  <c r="J767" i="1"/>
  <c r="K767" i="1"/>
  <c r="M767" i="1"/>
  <c r="P767" i="1"/>
  <c r="R767" i="1"/>
  <c r="S767" i="1"/>
  <c r="T767" i="1"/>
  <c r="U767" i="1"/>
  <c r="X767" i="1"/>
  <c r="Y767" i="1"/>
  <c r="Z767" i="1"/>
  <c r="AA767" i="1"/>
  <c r="AB767" i="1"/>
  <c r="AC767" i="1"/>
  <c r="AD767" i="1"/>
  <c r="AE767" i="1"/>
  <c r="AF767" i="1"/>
  <c r="AG767" i="1"/>
  <c r="AH767" i="1"/>
  <c r="AI767" i="1"/>
  <c r="AJ767" i="1"/>
  <c r="AK767" i="1"/>
  <c r="C768" i="1"/>
  <c r="H768" i="1"/>
  <c r="I768" i="1"/>
  <c r="J768" i="1"/>
  <c r="K768" i="1"/>
  <c r="M768" i="1"/>
  <c r="P768" i="1"/>
  <c r="R768" i="1"/>
  <c r="S768" i="1"/>
  <c r="T768" i="1"/>
  <c r="U768" i="1"/>
  <c r="X768" i="1"/>
  <c r="Y768" i="1"/>
  <c r="Z768" i="1"/>
  <c r="AA768" i="1"/>
  <c r="AB768" i="1"/>
  <c r="AC768" i="1"/>
  <c r="AD768" i="1"/>
  <c r="AE768" i="1"/>
  <c r="AF768" i="1"/>
  <c r="AG768" i="1"/>
  <c r="AH768" i="1"/>
  <c r="AI768" i="1"/>
  <c r="AJ768" i="1"/>
  <c r="AK768" i="1"/>
  <c r="C769" i="1"/>
  <c r="H769" i="1"/>
  <c r="I769" i="1"/>
  <c r="J769" i="1"/>
  <c r="K769" i="1"/>
  <c r="M769" i="1"/>
  <c r="P769" i="1"/>
  <c r="R769" i="1"/>
  <c r="S769" i="1"/>
  <c r="T769" i="1"/>
  <c r="U769" i="1"/>
  <c r="X769" i="1"/>
  <c r="Y769" i="1"/>
  <c r="Z769" i="1"/>
  <c r="AA769" i="1"/>
  <c r="AB769" i="1"/>
  <c r="AC769" i="1"/>
  <c r="AD769" i="1"/>
  <c r="AE769" i="1"/>
  <c r="AF769" i="1"/>
  <c r="AG769" i="1"/>
  <c r="AH769" i="1"/>
  <c r="AI769" i="1"/>
  <c r="AJ769" i="1"/>
  <c r="AK769" i="1"/>
  <c r="C770" i="1"/>
  <c r="H770" i="1"/>
  <c r="I770" i="1"/>
  <c r="J770" i="1"/>
  <c r="K770" i="1"/>
  <c r="M770" i="1"/>
  <c r="P770" i="1"/>
  <c r="R770" i="1"/>
  <c r="S770" i="1"/>
  <c r="T770" i="1"/>
  <c r="U770" i="1"/>
  <c r="X770" i="1"/>
  <c r="Y770" i="1"/>
  <c r="Z770" i="1"/>
  <c r="AA770" i="1"/>
  <c r="AB770" i="1"/>
  <c r="AC770" i="1"/>
  <c r="AD770" i="1"/>
  <c r="AE770" i="1"/>
  <c r="AF770" i="1"/>
  <c r="AG770" i="1"/>
  <c r="AH770" i="1"/>
  <c r="AI770" i="1"/>
  <c r="AJ770" i="1"/>
  <c r="AK770" i="1"/>
  <c r="C771" i="1"/>
  <c r="H771" i="1"/>
  <c r="I771" i="1"/>
  <c r="J771" i="1"/>
  <c r="K771" i="1"/>
  <c r="M771" i="1"/>
  <c r="P771" i="1"/>
  <c r="R771" i="1"/>
  <c r="S771" i="1"/>
  <c r="T771" i="1"/>
  <c r="U771" i="1"/>
  <c r="X771" i="1"/>
  <c r="Y771" i="1"/>
  <c r="Z771" i="1"/>
  <c r="AA771" i="1"/>
  <c r="AB771" i="1"/>
  <c r="AC771" i="1"/>
  <c r="AD771" i="1"/>
  <c r="AE771" i="1"/>
  <c r="AF771" i="1"/>
  <c r="AG771" i="1"/>
  <c r="AH771" i="1"/>
  <c r="AI771" i="1"/>
  <c r="AJ771" i="1"/>
  <c r="AK771" i="1"/>
  <c r="C752" i="1"/>
  <c r="H752" i="1"/>
  <c r="I752" i="1"/>
  <c r="J752" i="1"/>
  <c r="K752" i="1"/>
  <c r="M752" i="1"/>
  <c r="P752" i="1"/>
  <c r="R752" i="1"/>
  <c r="S752" i="1"/>
  <c r="T752" i="1"/>
  <c r="U752" i="1"/>
  <c r="X752" i="1"/>
  <c r="Y752" i="1"/>
  <c r="Z752" i="1"/>
  <c r="AA752" i="1"/>
  <c r="AB752" i="1"/>
  <c r="AC752" i="1"/>
  <c r="AD752" i="1"/>
  <c r="AE752" i="1"/>
  <c r="AF752" i="1"/>
  <c r="AG752" i="1"/>
  <c r="AH752" i="1"/>
  <c r="AI752" i="1"/>
  <c r="AJ752" i="1"/>
  <c r="AK752" i="1"/>
  <c r="C753" i="1"/>
  <c r="H753" i="1"/>
  <c r="I753" i="1"/>
  <c r="J753" i="1"/>
  <c r="K753" i="1"/>
  <c r="M753" i="1"/>
  <c r="P753" i="1"/>
  <c r="R753" i="1"/>
  <c r="S753" i="1"/>
  <c r="T753" i="1"/>
  <c r="U753" i="1"/>
  <c r="X753" i="1"/>
  <c r="Y753" i="1"/>
  <c r="Z753" i="1"/>
  <c r="AA753" i="1"/>
  <c r="AB753" i="1"/>
  <c r="AC753" i="1"/>
  <c r="AD753" i="1"/>
  <c r="AE753" i="1"/>
  <c r="AF753" i="1"/>
  <c r="AG753" i="1"/>
  <c r="AH753" i="1"/>
  <c r="AI753" i="1"/>
  <c r="AJ753" i="1"/>
  <c r="AK753" i="1"/>
  <c r="C754" i="1"/>
  <c r="H754" i="1"/>
  <c r="I754" i="1"/>
  <c r="J754" i="1"/>
  <c r="K754" i="1"/>
  <c r="M754" i="1"/>
  <c r="P754" i="1"/>
  <c r="R754" i="1"/>
  <c r="S754" i="1"/>
  <c r="T754" i="1"/>
  <c r="U754" i="1"/>
  <c r="X754" i="1"/>
  <c r="Y754" i="1"/>
  <c r="Z754" i="1"/>
  <c r="AA754" i="1"/>
  <c r="AB754" i="1"/>
  <c r="AC754" i="1"/>
  <c r="AD754" i="1"/>
  <c r="AE754" i="1"/>
  <c r="AF754" i="1"/>
  <c r="AG754" i="1"/>
  <c r="AH754" i="1"/>
  <c r="AI754" i="1"/>
  <c r="AJ754" i="1"/>
  <c r="AK754" i="1"/>
  <c r="C755" i="1"/>
  <c r="H755" i="1"/>
  <c r="I755" i="1"/>
  <c r="J755" i="1"/>
  <c r="K755" i="1"/>
  <c r="M755" i="1"/>
  <c r="P755" i="1"/>
  <c r="R755" i="1"/>
  <c r="S755" i="1"/>
  <c r="T755" i="1"/>
  <c r="U755" i="1"/>
  <c r="X755" i="1"/>
  <c r="Y755" i="1"/>
  <c r="Z755" i="1"/>
  <c r="AA755" i="1"/>
  <c r="AB755" i="1"/>
  <c r="AC755" i="1"/>
  <c r="AD755" i="1"/>
  <c r="AE755" i="1"/>
  <c r="AF755" i="1"/>
  <c r="AG755" i="1"/>
  <c r="AH755" i="1"/>
  <c r="AI755" i="1"/>
  <c r="AJ755" i="1"/>
  <c r="AK755" i="1"/>
  <c r="C756" i="1"/>
  <c r="H756" i="1"/>
  <c r="I756" i="1"/>
  <c r="J756" i="1"/>
  <c r="K756" i="1"/>
  <c r="M756" i="1"/>
  <c r="P756" i="1"/>
  <c r="R756" i="1"/>
  <c r="S756" i="1"/>
  <c r="T756" i="1"/>
  <c r="U756" i="1"/>
  <c r="X756" i="1"/>
  <c r="Y756" i="1"/>
  <c r="Z756" i="1"/>
  <c r="AA756" i="1"/>
  <c r="AB756" i="1"/>
  <c r="AC756" i="1"/>
  <c r="AD756" i="1"/>
  <c r="AE756" i="1"/>
  <c r="AF756" i="1"/>
  <c r="AG756" i="1"/>
  <c r="AH756" i="1"/>
  <c r="AI756" i="1"/>
  <c r="AJ756" i="1"/>
  <c r="AK756" i="1"/>
  <c r="C757" i="1"/>
  <c r="H757" i="1"/>
  <c r="I757" i="1"/>
  <c r="J757" i="1"/>
  <c r="K757" i="1"/>
  <c r="M757" i="1"/>
  <c r="P757" i="1"/>
  <c r="R757" i="1"/>
  <c r="S757" i="1"/>
  <c r="T757" i="1"/>
  <c r="U757" i="1"/>
  <c r="X757" i="1"/>
  <c r="Y757" i="1"/>
  <c r="Z757" i="1"/>
  <c r="AA757" i="1"/>
  <c r="AB757" i="1"/>
  <c r="AC757" i="1"/>
  <c r="AD757" i="1"/>
  <c r="AE757" i="1"/>
  <c r="AF757" i="1"/>
  <c r="AG757" i="1"/>
  <c r="AH757" i="1"/>
  <c r="AI757" i="1"/>
  <c r="AJ757" i="1"/>
  <c r="AK757" i="1"/>
  <c r="C758" i="1"/>
  <c r="H758" i="1"/>
  <c r="I758" i="1"/>
  <c r="J758" i="1"/>
  <c r="K758" i="1"/>
  <c r="M758" i="1"/>
  <c r="P758" i="1"/>
  <c r="R758" i="1"/>
  <c r="S758" i="1"/>
  <c r="T758" i="1"/>
  <c r="U758" i="1"/>
  <c r="X758" i="1"/>
  <c r="Y758" i="1"/>
  <c r="Z758" i="1"/>
  <c r="AA758" i="1"/>
  <c r="AB758" i="1"/>
  <c r="AC758" i="1"/>
  <c r="AD758" i="1"/>
  <c r="AE758" i="1"/>
  <c r="AF758" i="1"/>
  <c r="AG758" i="1"/>
  <c r="AH758" i="1"/>
  <c r="AI758" i="1"/>
  <c r="AJ758" i="1"/>
  <c r="AK758" i="1"/>
  <c r="C759" i="1"/>
  <c r="H759" i="1"/>
  <c r="I759" i="1"/>
  <c r="J759" i="1"/>
  <c r="K759" i="1"/>
  <c r="M759" i="1"/>
  <c r="P759" i="1"/>
  <c r="R759" i="1"/>
  <c r="S759" i="1"/>
  <c r="T759" i="1"/>
  <c r="U759" i="1"/>
  <c r="X759" i="1"/>
  <c r="Y759" i="1"/>
  <c r="Z759" i="1"/>
  <c r="AA759" i="1"/>
  <c r="AB759" i="1"/>
  <c r="AC759" i="1"/>
  <c r="AD759" i="1"/>
  <c r="AE759" i="1"/>
  <c r="AF759" i="1"/>
  <c r="AG759" i="1"/>
  <c r="AH759" i="1"/>
  <c r="AI759" i="1"/>
  <c r="AJ759" i="1"/>
  <c r="AK759" i="1"/>
  <c r="C760" i="1"/>
  <c r="H760" i="1"/>
  <c r="I760" i="1"/>
  <c r="J760" i="1"/>
  <c r="K760" i="1"/>
  <c r="M760" i="1"/>
  <c r="P760" i="1"/>
  <c r="R760" i="1"/>
  <c r="S760" i="1"/>
  <c r="T760" i="1"/>
  <c r="U760" i="1"/>
  <c r="X760" i="1"/>
  <c r="Y760" i="1"/>
  <c r="Z760" i="1"/>
  <c r="AA760" i="1"/>
  <c r="AB760" i="1"/>
  <c r="AC760" i="1"/>
  <c r="AD760" i="1"/>
  <c r="AE760" i="1"/>
  <c r="AF760" i="1"/>
  <c r="AG760" i="1"/>
  <c r="AH760" i="1"/>
  <c r="AI760" i="1"/>
  <c r="AJ760" i="1"/>
  <c r="AK760" i="1"/>
  <c r="C761" i="1"/>
  <c r="H761" i="1"/>
  <c r="I761" i="1"/>
  <c r="J761" i="1"/>
  <c r="K761" i="1"/>
  <c r="M761" i="1"/>
  <c r="P761" i="1"/>
  <c r="R761" i="1"/>
  <c r="S761" i="1"/>
  <c r="T761" i="1"/>
  <c r="U761" i="1"/>
  <c r="X761" i="1"/>
  <c r="Y761" i="1"/>
  <c r="Z761" i="1"/>
  <c r="AA761" i="1"/>
  <c r="AB761" i="1"/>
  <c r="AC761" i="1"/>
  <c r="AD761" i="1"/>
  <c r="AE761" i="1"/>
  <c r="AF761" i="1"/>
  <c r="AG761" i="1"/>
  <c r="AH761" i="1"/>
  <c r="AI761" i="1"/>
  <c r="AJ761" i="1"/>
  <c r="AK761" i="1"/>
  <c r="C742" i="1"/>
  <c r="H742" i="1"/>
  <c r="I742" i="1"/>
  <c r="J742" i="1"/>
  <c r="K742" i="1"/>
  <c r="M742" i="1"/>
  <c r="P742" i="1"/>
  <c r="R742" i="1"/>
  <c r="S742" i="1"/>
  <c r="T742" i="1"/>
  <c r="U742" i="1"/>
  <c r="X742" i="1"/>
  <c r="Y742" i="1"/>
  <c r="Z742" i="1"/>
  <c r="AA742" i="1"/>
  <c r="AB742" i="1"/>
  <c r="AC742" i="1"/>
  <c r="AD742" i="1"/>
  <c r="AE742" i="1"/>
  <c r="AF742" i="1"/>
  <c r="AG742" i="1"/>
  <c r="AH742" i="1"/>
  <c r="AI742" i="1"/>
  <c r="AJ742" i="1"/>
  <c r="AK742" i="1"/>
  <c r="C743" i="1"/>
  <c r="H743" i="1"/>
  <c r="I743" i="1"/>
  <c r="J743" i="1"/>
  <c r="K743" i="1"/>
  <c r="M743" i="1"/>
  <c r="P743" i="1"/>
  <c r="R743" i="1"/>
  <c r="S743" i="1"/>
  <c r="T743" i="1"/>
  <c r="U743" i="1"/>
  <c r="X743" i="1"/>
  <c r="Y743" i="1"/>
  <c r="Z743" i="1"/>
  <c r="AA743" i="1"/>
  <c r="AB743" i="1"/>
  <c r="AC743" i="1"/>
  <c r="AD743" i="1"/>
  <c r="AE743" i="1"/>
  <c r="AF743" i="1"/>
  <c r="AG743" i="1"/>
  <c r="AH743" i="1"/>
  <c r="AI743" i="1"/>
  <c r="AJ743" i="1"/>
  <c r="AK743" i="1"/>
  <c r="C744" i="1"/>
  <c r="H744" i="1"/>
  <c r="I744" i="1"/>
  <c r="J744" i="1"/>
  <c r="K744" i="1"/>
  <c r="M744" i="1"/>
  <c r="P744" i="1"/>
  <c r="R744" i="1"/>
  <c r="S744" i="1"/>
  <c r="T744" i="1"/>
  <c r="U744" i="1"/>
  <c r="X744" i="1"/>
  <c r="Y744" i="1"/>
  <c r="Z744" i="1"/>
  <c r="AA744" i="1"/>
  <c r="AB744" i="1"/>
  <c r="AC744" i="1"/>
  <c r="AD744" i="1"/>
  <c r="AE744" i="1"/>
  <c r="AF744" i="1"/>
  <c r="AG744" i="1"/>
  <c r="AH744" i="1"/>
  <c r="AI744" i="1"/>
  <c r="AJ744" i="1"/>
  <c r="AK744" i="1"/>
  <c r="C745" i="1"/>
  <c r="H745" i="1"/>
  <c r="I745" i="1"/>
  <c r="J745" i="1"/>
  <c r="K745" i="1"/>
  <c r="M745" i="1"/>
  <c r="P745" i="1"/>
  <c r="R745" i="1"/>
  <c r="S745" i="1"/>
  <c r="T745" i="1"/>
  <c r="U745" i="1"/>
  <c r="X745" i="1"/>
  <c r="Y745" i="1"/>
  <c r="Z745" i="1"/>
  <c r="AA745" i="1"/>
  <c r="AB745" i="1"/>
  <c r="AC745" i="1"/>
  <c r="AD745" i="1"/>
  <c r="AE745" i="1"/>
  <c r="AF745" i="1"/>
  <c r="AG745" i="1"/>
  <c r="AH745" i="1"/>
  <c r="AI745" i="1"/>
  <c r="AJ745" i="1"/>
  <c r="AK745" i="1"/>
  <c r="C746" i="1"/>
  <c r="H746" i="1"/>
  <c r="I746" i="1"/>
  <c r="J746" i="1"/>
  <c r="K746" i="1"/>
  <c r="M746" i="1"/>
  <c r="P746" i="1"/>
  <c r="R746" i="1"/>
  <c r="S746" i="1"/>
  <c r="T746" i="1"/>
  <c r="U746" i="1"/>
  <c r="X746" i="1"/>
  <c r="Y746" i="1"/>
  <c r="Z746" i="1"/>
  <c r="AA746" i="1"/>
  <c r="AB746" i="1"/>
  <c r="AC746" i="1"/>
  <c r="AD746" i="1"/>
  <c r="AE746" i="1"/>
  <c r="AF746" i="1"/>
  <c r="AG746" i="1"/>
  <c r="AH746" i="1"/>
  <c r="AI746" i="1"/>
  <c r="AJ746" i="1"/>
  <c r="AK746" i="1"/>
  <c r="C747" i="1"/>
  <c r="H747" i="1"/>
  <c r="I747" i="1"/>
  <c r="J747" i="1"/>
  <c r="K747" i="1"/>
  <c r="M747" i="1"/>
  <c r="P747" i="1"/>
  <c r="R747" i="1"/>
  <c r="S747" i="1"/>
  <c r="T747" i="1"/>
  <c r="U747" i="1"/>
  <c r="X747" i="1"/>
  <c r="Y747" i="1"/>
  <c r="Z747" i="1"/>
  <c r="AA747" i="1"/>
  <c r="AB747" i="1"/>
  <c r="AC747" i="1"/>
  <c r="AD747" i="1"/>
  <c r="AE747" i="1"/>
  <c r="AF747" i="1"/>
  <c r="AG747" i="1"/>
  <c r="AH747" i="1"/>
  <c r="AI747" i="1"/>
  <c r="AJ747" i="1"/>
  <c r="AK747" i="1"/>
  <c r="C748" i="1"/>
  <c r="H748" i="1"/>
  <c r="I748" i="1"/>
  <c r="J748" i="1"/>
  <c r="K748" i="1"/>
  <c r="M748" i="1"/>
  <c r="P748" i="1"/>
  <c r="R748" i="1"/>
  <c r="S748" i="1"/>
  <c r="T748" i="1"/>
  <c r="U748" i="1"/>
  <c r="X748" i="1"/>
  <c r="Y748" i="1"/>
  <c r="Z748" i="1"/>
  <c r="AA748" i="1"/>
  <c r="AB748" i="1"/>
  <c r="AC748" i="1"/>
  <c r="AD748" i="1"/>
  <c r="AE748" i="1"/>
  <c r="AF748" i="1"/>
  <c r="AG748" i="1"/>
  <c r="AH748" i="1"/>
  <c r="AI748" i="1"/>
  <c r="AJ748" i="1"/>
  <c r="AK748" i="1"/>
  <c r="C749" i="1"/>
  <c r="H749" i="1"/>
  <c r="I749" i="1"/>
  <c r="J749" i="1"/>
  <c r="K749" i="1"/>
  <c r="M749" i="1"/>
  <c r="P749" i="1"/>
  <c r="R749" i="1"/>
  <c r="S749" i="1"/>
  <c r="T749" i="1"/>
  <c r="U749" i="1"/>
  <c r="X749" i="1"/>
  <c r="Y749" i="1"/>
  <c r="Z749" i="1"/>
  <c r="AA749" i="1"/>
  <c r="AB749" i="1"/>
  <c r="AC749" i="1"/>
  <c r="AD749" i="1"/>
  <c r="AE749" i="1"/>
  <c r="AF749" i="1"/>
  <c r="AG749" i="1"/>
  <c r="AH749" i="1"/>
  <c r="AI749" i="1"/>
  <c r="AJ749" i="1"/>
  <c r="AK749" i="1"/>
  <c r="C750" i="1"/>
  <c r="H750" i="1"/>
  <c r="I750" i="1"/>
  <c r="J750" i="1"/>
  <c r="K750" i="1"/>
  <c r="M750" i="1"/>
  <c r="P750" i="1"/>
  <c r="R750" i="1"/>
  <c r="S750" i="1"/>
  <c r="T750" i="1"/>
  <c r="U750" i="1"/>
  <c r="X750" i="1"/>
  <c r="Y750" i="1"/>
  <c r="Z750" i="1"/>
  <c r="AA750" i="1"/>
  <c r="AB750" i="1"/>
  <c r="AC750" i="1"/>
  <c r="AD750" i="1"/>
  <c r="AE750" i="1"/>
  <c r="AF750" i="1"/>
  <c r="AG750" i="1"/>
  <c r="AH750" i="1"/>
  <c r="AI750" i="1"/>
  <c r="AJ750" i="1"/>
  <c r="AK750" i="1"/>
  <c r="C751" i="1"/>
  <c r="H751" i="1"/>
  <c r="I751" i="1"/>
  <c r="J751" i="1"/>
  <c r="K751" i="1"/>
  <c r="M751" i="1"/>
  <c r="P751" i="1"/>
  <c r="R751" i="1"/>
  <c r="S751" i="1"/>
  <c r="T751" i="1"/>
  <c r="U751" i="1"/>
  <c r="X751" i="1"/>
  <c r="Y751" i="1"/>
  <c r="Z751" i="1"/>
  <c r="AA751" i="1"/>
  <c r="AB751" i="1"/>
  <c r="AC751" i="1"/>
  <c r="AD751" i="1"/>
  <c r="AE751" i="1"/>
  <c r="AF751" i="1"/>
  <c r="AG751" i="1"/>
  <c r="AH751" i="1"/>
  <c r="AI751" i="1"/>
  <c r="AJ751" i="1"/>
  <c r="AK751" i="1"/>
  <c r="C732" i="1"/>
  <c r="H732" i="1"/>
  <c r="I732" i="1"/>
  <c r="J732" i="1"/>
  <c r="K732" i="1"/>
  <c r="M732" i="1"/>
  <c r="P732" i="1"/>
  <c r="R732" i="1"/>
  <c r="S732" i="1"/>
  <c r="T732" i="1"/>
  <c r="U732" i="1"/>
  <c r="X732" i="1"/>
  <c r="Y732" i="1"/>
  <c r="Z732" i="1"/>
  <c r="AA732" i="1"/>
  <c r="AB732" i="1"/>
  <c r="AC732" i="1"/>
  <c r="AD732" i="1"/>
  <c r="AE732" i="1"/>
  <c r="AF732" i="1"/>
  <c r="AG732" i="1"/>
  <c r="AH732" i="1"/>
  <c r="AI732" i="1"/>
  <c r="AJ732" i="1"/>
  <c r="AK732" i="1"/>
  <c r="C733" i="1"/>
  <c r="H733" i="1"/>
  <c r="I733" i="1"/>
  <c r="J733" i="1"/>
  <c r="K733" i="1"/>
  <c r="M733" i="1"/>
  <c r="P733" i="1"/>
  <c r="R733" i="1"/>
  <c r="S733" i="1"/>
  <c r="T733" i="1"/>
  <c r="U733" i="1"/>
  <c r="X733" i="1"/>
  <c r="Y733" i="1"/>
  <c r="Z733" i="1"/>
  <c r="AA733" i="1"/>
  <c r="AB733" i="1"/>
  <c r="AC733" i="1"/>
  <c r="AD733" i="1"/>
  <c r="AE733" i="1"/>
  <c r="AF733" i="1"/>
  <c r="AG733" i="1"/>
  <c r="AH733" i="1"/>
  <c r="AI733" i="1"/>
  <c r="AJ733" i="1"/>
  <c r="AK733" i="1"/>
  <c r="C734" i="1"/>
  <c r="H734" i="1"/>
  <c r="I734" i="1"/>
  <c r="J734" i="1"/>
  <c r="K734" i="1"/>
  <c r="M734" i="1"/>
  <c r="P734" i="1"/>
  <c r="R734" i="1"/>
  <c r="S734" i="1"/>
  <c r="T734" i="1"/>
  <c r="U734" i="1"/>
  <c r="X734" i="1"/>
  <c r="Y734" i="1"/>
  <c r="Z734" i="1"/>
  <c r="AA734" i="1"/>
  <c r="AB734" i="1"/>
  <c r="AC734" i="1"/>
  <c r="AD734" i="1"/>
  <c r="AE734" i="1"/>
  <c r="AF734" i="1"/>
  <c r="AG734" i="1"/>
  <c r="AH734" i="1"/>
  <c r="AI734" i="1"/>
  <c r="AJ734" i="1"/>
  <c r="AK734" i="1"/>
  <c r="C735" i="1"/>
  <c r="H735" i="1"/>
  <c r="I735" i="1"/>
  <c r="J735" i="1"/>
  <c r="K735" i="1"/>
  <c r="M735" i="1"/>
  <c r="P735" i="1"/>
  <c r="R735" i="1"/>
  <c r="S735" i="1"/>
  <c r="T735" i="1"/>
  <c r="U735" i="1"/>
  <c r="X735" i="1"/>
  <c r="Y735" i="1"/>
  <c r="Z735" i="1"/>
  <c r="AA735" i="1"/>
  <c r="AB735" i="1"/>
  <c r="AC735" i="1"/>
  <c r="AD735" i="1"/>
  <c r="AE735" i="1"/>
  <c r="AF735" i="1"/>
  <c r="AG735" i="1"/>
  <c r="AH735" i="1"/>
  <c r="AI735" i="1"/>
  <c r="AJ735" i="1"/>
  <c r="AK735" i="1"/>
  <c r="C736" i="1"/>
  <c r="H736" i="1"/>
  <c r="I736" i="1"/>
  <c r="J736" i="1"/>
  <c r="K736" i="1"/>
  <c r="M736" i="1"/>
  <c r="P736" i="1"/>
  <c r="R736" i="1"/>
  <c r="S736" i="1"/>
  <c r="T736" i="1"/>
  <c r="U736" i="1"/>
  <c r="X736" i="1"/>
  <c r="Y736" i="1"/>
  <c r="Z736" i="1"/>
  <c r="AA736" i="1"/>
  <c r="AB736" i="1"/>
  <c r="AC736" i="1"/>
  <c r="AD736" i="1"/>
  <c r="AE736" i="1"/>
  <c r="AF736" i="1"/>
  <c r="AG736" i="1"/>
  <c r="AH736" i="1"/>
  <c r="AI736" i="1"/>
  <c r="AJ736" i="1"/>
  <c r="AK736" i="1"/>
  <c r="C737" i="1"/>
  <c r="H737" i="1"/>
  <c r="I737" i="1"/>
  <c r="J737" i="1"/>
  <c r="K737" i="1"/>
  <c r="M737" i="1"/>
  <c r="P737" i="1"/>
  <c r="R737" i="1"/>
  <c r="S737" i="1"/>
  <c r="T737" i="1"/>
  <c r="U737" i="1"/>
  <c r="X737" i="1"/>
  <c r="Y737" i="1"/>
  <c r="Z737" i="1"/>
  <c r="AA737" i="1"/>
  <c r="AB737" i="1"/>
  <c r="AC737" i="1"/>
  <c r="AD737" i="1"/>
  <c r="AE737" i="1"/>
  <c r="AF737" i="1"/>
  <c r="AG737" i="1"/>
  <c r="AH737" i="1"/>
  <c r="AI737" i="1"/>
  <c r="AJ737" i="1"/>
  <c r="AK737" i="1"/>
  <c r="C738" i="1"/>
  <c r="H738" i="1"/>
  <c r="I738" i="1"/>
  <c r="J738" i="1"/>
  <c r="K738" i="1"/>
  <c r="M738" i="1"/>
  <c r="P738" i="1"/>
  <c r="R738" i="1"/>
  <c r="S738" i="1"/>
  <c r="T738" i="1"/>
  <c r="U738" i="1"/>
  <c r="X738" i="1"/>
  <c r="Y738" i="1"/>
  <c r="Z738" i="1"/>
  <c r="AA738" i="1"/>
  <c r="AB738" i="1"/>
  <c r="AC738" i="1"/>
  <c r="AD738" i="1"/>
  <c r="AE738" i="1"/>
  <c r="AF738" i="1"/>
  <c r="AG738" i="1"/>
  <c r="AH738" i="1"/>
  <c r="AI738" i="1"/>
  <c r="AJ738" i="1"/>
  <c r="AK738" i="1"/>
  <c r="C739" i="1"/>
  <c r="H739" i="1"/>
  <c r="I739" i="1"/>
  <c r="J739" i="1"/>
  <c r="K739" i="1"/>
  <c r="M739" i="1"/>
  <c r="P739" i="1"/>
  <c r="R739" i="1"/>
  <c r="S739" i="1"/>
  <c r="T739" i="1"/>
  <c r="U739" i="1"/>
  <c r="X739" i="1"/>
  <c r="Y739" i="1"/>
  <c r="Z739" i="1"/>
  <c r="AA739" i="1"/>
  <c r="AB739" i="1"/>
  <c r="AC739" i="1"/>
  <c r="AD739" i="1"/>
  <c r="AE739" i="1"/>
  <c r="AF739" i="1"/>
  <c r="AG739" i="1"/>
  <c r="AH739" i="1"/>
  <c r="AI739" i="1"/>
  <c r="AJ739" i="1"/>
  <c r="AK739" i="1"/>
  <c r="C740" i="1"/>
  <c r="H740" i="1"/>
  <c r="I740" i="1"/>
  <c r="J740" i="1"/>
  <c r="K740" i="1"/>
  <c r="M740" i="1"/>
  <c r="P740" i="1"/>
  <c r="R740" i="1"/>
  <c r="S740" i="1"/>
  <c r="T740" i="1"/>
  <c r="U740" i="1"/>
  <c r="X740" i="1"/>
  <c r="Y740" i="1"/>
  <c r="Z740" i="1"/>
  <c r="AA740" i="1"/>
  <c r="AB740" i="1"/>
  <c r="AC740" i="1"/>
  <c r="AD740" i="1"/>
  <c r="AE740" i="1"/>
  <c r="AF740" i="1"/>
  <c r="AG740" i="1"/>
  <c r="AH740" i="1"/>
  <c r="AI740" i="1"/>
  <c r="AJ740" i="1"/>
  <c r="AK740" i="1"/>
  <c r="C741" i="1"/>
  <c r="H741" i="1"/>
  <c r="I741" i="1"/>
  <c r="J741" i="1"/>
  <c r="K741" i="1"/>
  <c r="M741" i="1"/>
  <c r="P741" i="1"/>
  <c r="R741" i="1"/>
  <c r="S741" i="1"/>
  <c r="T741" i="1"/>
  <c r="U741" i="1"/>
  <c r="X741" i="1"/>
  <c r="Y741" i="1"/>
  <c r="Z741" i="1"/>
  <c r="AA741" i="1"/>
  <c r="AB741" i="1"/>
  <c r="AC741" i="1"/>
  <c r="AD741" i="1"/>
  <c r="AE741" i="1"/>
  <c r="AF741" i="1"/>
  <c r="AG741" i="1"/>
  <c r="AH741" i="1"/>
  <c r="AI741" i="1"/>
  <c r="AJ741" i="1"/>
  <c r="AK741" i="1"/>
  <c r="C722" i="1"/>
  <c r="H722" i="1"/>
  <c r="I722" i="1"/>
  <c r="J722" i="1"/>
  <c r="K722" i="1"/>
  <c r="M722" i="1"/>
  <c r="P722" i="1"/>
  <c r="R722" i="1"/>
  <c r="S722" i="1"/>
  <c r="T722" i="1"/>
  <c r="U722" i="1"/>
  <c r="X722" i="1"/>
  <c r="Y722" i="1"/>
  <c r="Z722" i="1"/>
  <c r="AA722" i="1"/>
  <c r="AB722" i="1"/>
  <c r="AC722" i="1"/>
  <c r="AD722" i="1"/>
  <c r="AE722" i="1"/>
  <c r="AF722" i="1"/>
  <c r="AG722" i="1"/>
  <c r="AH722" i="1"/>
  <c r="AI722" i="1"/>
  <c r="AJ722" i="1"/>
  <c r="AK722" i="1"/>
  <c r="C723" i="1"/>
  <c r="H723" i="1"/>
  <c r="I723" i="1"/>
  <c r="J723" i="1"/>
  <c r="K723" i="1"/>
  <c r="M723" i="1"/>
  <c r="P723" i="1"/>
  <c r="R723" i="1"/>
  <c r="S723" i="1"/>
  <c r="T723" i="1"/>
  <c r="U723" i="1"/>
  <c r="X723" i="1"/>
  <c r="Y723" i="1"/>
  <c r="Z723" i="1"/>
  <c r="AA723" i="1"/>
  <c r="AB723" i="1"/>
  <c r="AC723" i="1"/>
  <c r="AD723" i="1"/>
  <c r="AE723" i="1"/>
  <c r="AF723" i="1"/>
  <c r="AG723" i="1"/>
  <c r="AH723" i="1"/>
  <c r="AI723" i="1"/>
  <c r="AJ723" i="1"/>
  <c r="AK723" i="1"/>
  <c r="C724" i="1"/>
  <c r="H724" i="1"/>
  <c r="I724" i="1"/>
  <c r="J724" i="1"/>
  <c r="K724" i="1"/>
  <c r="M724" i="1"/>
  <c r="P724" i="1"/>
  <c r="R724" i="1"/>
  <c r="S724" i="1"/>
  <c r="T724" i="1"/>
  <c r="U724" i="1"/>
  <c r="X724" i="1"/>
  <c r="Y724" i="1"/>
  <c r="Z724" i="1"/>
  <c r="AA724" i="1"/>
  <c r="AB724" i="1"/>
  <c r="AC724" i="1"/>
  <c r="AD724" i="1"/>
  <c r="AE724" i="1"/>
  <c r="AF724" i="1"/>
  <c r="AG724" i="1"/>
  <c r="AH724" i="1"/>
  <c r="AI724" i="1"/>
  <c r="AJ724" i="1"/>
  <c r="AK724" i="1"/>
  <c r="C725" i="1"/>
  <c r="H725" i="1"/>
  <c r="I725" i="1"/>
  <c r="J725" i="1"/>
  <c r="K725" i="1"/>
  <c r="M725" i="1"/>
  <c r="P725" i="1"/>
  <c r="R725" i="1"/>
  <c r="S725" i="1"/>
  <c r="T725" i="1"/>
  <c r="U725" i="1"/>
  <c r="X725" i="1"/>
  <c r="Y725" i="1"/>
  <c r="Z725" i="1"/>
  <c r="AA725" i="1"/>
  <c r="AB725" i="1"/>
  <c r="AC725" i="1"/>
  <c r="AD725" i="1"/>
  <c r="AE725" i="1"/>
  <c r="AF725" i="1"/>
  <c r="AG725" i="1"/>
  <c r="AH725" i="1"/>
  <c r="AI725" i="1"/>
  <c r="AJ725" i="1"/>
  <c r="AK725" i="1"/>
  <c r="C726" i="1"/>
  <c r="H726" i="1"/>
  <c r="I726" i="1"/>
  <c r="J726" i="1"/>
  <c r="K726" i="1"/>
  <c r="M726" i="1"/>
  <c r="P726" i="1"/>
  <c r="R726" i="1"/>
  <c r="S726" i="1"/>
  <c r="T726" i="1"/>
  <c r="U726" i="1"/>
  <c r="X726" i="1"/>
  <c r="Y726" i="1"/>
  <c r="Z726" i="1"/>
  <c r="AA726" i="1"/>
  <c r="AB726" i="1"/>
  <c r="AC726" i="1"/>
  <c r="AD726" i="1"/>
  <c r="AE726" i="1"/>
  <c r="AF726" i="1"/>
  <c r="AG726" i="1"/>
  <c r="AH726" i="1"/>
  <c r="AI726" i="1"/>
  <c r="AJ726" i="1"/>
  <c r="AK726" i="1"/>
  <c r="C727" i="1"/>
  <c r="H727" i="1"/>
  <c r="I727" i="1"/>
  <c r="J727" i="1"/>
  <c r="K727" i="1"/>
  <c r="M727" i="1"/>
  <c r="P727" i="1"/>
  <c r="R727" i="1"/>
  <c r="S727" i="1"/>
  <c r="T727" i="1"/>
  <c r="U727" i="1"/>
  <c r="X727" i="1"/>
  <c r="Y727" i="1"/>
  <c r="Z727" i="1"/>
  <c r="AA727" i="1"/>
  <c r="AB727" i="1"/>
  <c r="AC727" i="1"/>
  <c r="AD727" i="1"/>
  <c r="AE727" i="1"/>
  <c r="AF727" i="1"/>
  <c r="AG727" i="1"/>
  <c r="AH727" i="1"/>
  <c r="AI727" i="1"/>
  <c r="AJ727" i="1"/>
  <c r="AK727" i="1"/>
  <c r="C728" i="1"/>
  <c r="H728" i="1"/>
  <c r="I728" i="1"/>
  <c r="J728" i="1"/>
  <c r="K728" i="1"/>
  <c r="M728" i="1"/>
  <c r="P728" i="1"/>
  <c r="R728" i="1"/>
  <c r="S728" i="1"/>
  <c r="T728" i="1"/>
  <c r="U728" i="1"/>
  <c r="X728" i="1"/>
  <c r="Y728" i="1"/>
  <c r="Z728" i="1"/>
  <c r="AA728" i="1"/>
  <c r="AB728" i="1"/>
  <c r="AC728" i="1"/>
  <c r="AD728" i="1"/>
  <c r="AE728" i="1"/>
  <c r="AF728" i="1"/>
  <c r="AG728" i="1"/>
  <c r="AH728" i="1"/>
  <c r="AI728" i="1"/>
  <c r="AJ728" i="1"/>
  <c r="AK728" i="1"/>
  <c r="C729" i="1"/>
  <c r="H729" i="1"/>
  <c r="I729" i="1"/>
  <c r="J729" i="1"/>
  <c r="K729" i="1"/>
  <c r="M729" i="1"/>
  <c r="P729" i="1"/>
  <c r="R729" i="1"/>
  <c r="S729" i="1"/>
  <c r="T729" i="1"/>
  <c r="U729" i="1"/>
  <c r="X729" i="1"/>
  <c r="Y729" i="1"/>
  <c r="Z729" i="1"/>
  <c r="AA729" i="1"/>
  <c r="AB729" i="1"/>
  <c r="AC729" i="1"/>
  <c r="AD729" i="1"/>
  <c r="AE729" i="1"/>
  <c r="AF729" i="1"/>
  <c r="AG729" i="1"/>
  <c r="AH729" i="1"/>
  <c r="AI729" i="1"/>
  <c r="AJ729" i="1"/>
  <c r="AK729" i="1"/>
  <c r="C730" i="1"/>
  <c r="H730" i="1"/>
  <c r="I730" i="1"/>
  <c r="J730" i="1"/>
  <c r="K730" i="1"/>
  <c r="M730" i="1"/>
  <c r="P730" i="1"/>
  <c r="R730" i="1"/>
  <c r="S730" i="1"/>
  <c r="T730" i="1"/>
  <c r="U730" i="1"/>
  <c r="X730" i="1"/>
  <c r="Y730" i="1"/>
  <c r="Z730" i="1"/>
  <c r="AA730" i="1"/>
  <c r="AB730" i="1"/>
  <c r="AC730" i="1"/>
  <c r="AD730" i="1"/>
  <c r="AE730" i="1"/>
  <c r="AF730" i="1"/>
  <c r="AG730" i="1"/>
  <c r="AH730" i="1"/>
  <c r="AI730" i="1"/>
  <c r="AJ730" i="1"/>
  <c r="AK730" i="1"/>
  <c r="C731" i="1"/>
  <c r="H731" i="1"/>
  <c r="I731" i="1"/>
  <c r="J731" i="1"/>
  <c r="K731" i="1"/>
  <c r="M731" i="1"/>
  <c r="P731" i="1"/>
  <c r="R731" i="1"/>
  <c r="S731" i="1"/>
  <c r="T731" i="1"/>
  <c r="U731" i="1"/>
  <c r="X731" i="1"/>
  <c r="Y731" i="1"/>
  <c r="Z731" i="1"/>
  <c r="AA731" i="1"/>
  <c r="AB731" i="1"/>
  <c r="AC731" i="1"/>
  <c r="AD731" i="1"/>
  <c r="AE731" i="1"/>
  <c r="AF731" i="1"/>
  <c r="AG731" i="1"/>
  <c r="AH731" i="1"/>
  <c r="AI731" i="1"/>
  <c r="AJ731" i="1"/>
  <c r="AK731" i="1"/>
  <c r="C712" i="1"/>
  <c r="H712" i="1"/>
  <c r="I712" i="1"/>
  <c r="J712" i="1"/>
  <c r="K712" i="1"/>
  <c r="M712" i="1"/>
  <c r="P712" i="1"/>
  <c r="R712" i="1"/>
  <c r="S712" i="1"/>
  <c r="T712" i="1"/>
  <c r="U712" i="1"/>
  <c r="X712" i="1"/>
  <c r="Y712" i="1"/>
  <c r="Z712" i="1"/>
  <c r="AA712" i="1"/>
  <c r="AB712" i="1"/>
  <c r="AC712" i="1"/>
  <c r="AD712" i="1"/>
  <c r="AE712" i="1"/>
  <c r="AF712" i="1"/>
  <c r="AG712" i="1"/>
  <c r="AH712" i="1"/>
  <c r="AI712" i="1"/>
  <c r="AJ712" i="1"/>
  <c r="AK712" i="1"/>
  <c r="C713" i="1"/>
  <c r="H713" i="1"/>
  <c r="I713" i="1"/>
  <c r="J713" i="1"/>
  <c r="K713" i="1"/>
  <c r="M713" i="1"/>
  <c r="P713" i="1"/>
  <c r="R713" i="1"/>
  <c r="S713" i="1"/>
  <c r="T713" i="1"/>
  <c r="U713" i="1"/>
  <c r="X713" i="1"/>
  <c r="Y713" i="1"/>
  <c r="Z713" i="1"/>
  <c r="AA713" i="1"/>
  <c r="AB713" i="1"/>
  <c r="AC713" i="1"/>
  <c r="AD713" i="1"/>
  <c r="AE713" i="1"/>
  <c r="AF713" i="1"/>
  <c r="AG713" i="1"/>
  <c r="AH713" i="1"/>
  <c r="AI713" i="1"/>
  <c r="AJ713" i="1"/>
  <c r="AK713" i="1"/>
  <c r="C714" i="1"/>
  <c r="H714" i="1"/>
  <c r="I714" i="1"/>
  <c r="J714" i="1"/>
  <c r="K714" i="1"/>
  <c r="M714" i="1"/>
  <c r="P714" i="1"/>
  <c r="R714" i="1"/>
  <c r="S714" i="1"/>
  <c r="T714" i="1"/>
  <c r="U714" i="1"/>
  <c r="X714" i="1"/>
  <c r="Y714" i="1"/>
  <c r="Z714" i="1"/>
  <c r="AA714" i="1"/>
  <c r="AB714" i="1"/>
  <c r="AC714" i="1"/>
  <c r="AD714" i="1"/>
  <c r="AE714" i="1"/>
  <c r="AF714" i="1"/>
  <c r="AG714" i="1"/>
  <c r="AH714" i="1"/>
  <c r="AI714" i="1"/>
  <c r="AJ714" i="1"/>
  <c r="AK714" i="1"/>
  <c r="C715" i="1"/>
  <c r="H715" i="1"/>
  <c r="I715" i="1"/>
  <c r="J715" i="1"/>
  <c r="K715" i="1"/>
  <c r="M715" i="1"/>
  <c r="P715" i="1"/>
  <c r="R715" i="1"/>
  <c r="S715" i="1"/>
  <c r="T715" i="1"/>
  <c r="U715" i="1"/>
  <c r="X715" i="1"/>
  <c r="Y715" i="1"/>
  <c r="Z715" i="1"/>
  <c r="AA715" i="1"/>
  <c r="AB715" i="1"/>
  <c r="AC715" i="1"/>
  <c r="AD715" i="1"/>
  <c r="AE715" i="1"/>
  <c r="AF715" i="1"/>
  <c r="AG715" i="1"/>
  <c r="AH715" i="1"/>
  <c r="AI715" i="1"/>
  <c r="AJ715" i="1"/>
  <c r="AK715" i="1"/>
  <c r="C716" i="1"/>
  <c r="H716" i="1"/>
  <c r="I716" i="1"/>
  <c r="J716" i="1"/>
  <c r="K716" i="1"/>
  <c r="M716" i="1"/>
  <c r="P716" i="1"/>
  <c r="R716" i="1"/>
  <c r="S716" i="1"/>
  <c r="T716" i="1"/>
  <c r="U716" i="1"/>
  <c r="X716" i="1"/>
  <c r="Y716" i="1"/>
  <c r="Z716" i="1"/>
  <c r="AA716" i="1"/>
  <c r="AB716" i="1"/>
  <c r="AC716" i="1"/>
  <c r="AD716" i="1"/>
  <c r="AE716" i="1"/>
  <c r="AF716" i="1"/>
  <c r="AG716" i="1"/>
  <c r="AH716" i="1"/>
  <c r="AI716" i="1"/>
  <c r="AJ716" i="1"/>
  <c r="AK716" i="1"/>
  <c r="C717" i="1"/>
  <c r="H717" i="1"/>
  <c r="I717" i="1"/>
  <c r="J717" i="1"/>
  <c r="K717" i="1"/>
  <c r="M717" i="1"/>
  <c r="P717" i="1"/>
  <c r="R717" i="1"/>
  <c r="S717" i="1"/>
  <c r="T717" i="1"/>
  <c r="U717" i="1"/>
  <c r="X717" i="1"/>
  <c r="Y717" i="1"/>
  <c r="Z717" i="1"/>
  <c r="AA717" i="1"/>
  <c r="AB717" i="1"/>
  <c r="AC717" i="1"/>
  <c r="AD717" i="1"/>
  <c r="AE717" i="1"/>
  <c r="AF717" i="1"/>
  <c r="AG717" i="1"/>
  <c r="AH717" i="1"/>
  <c r="AI717" i="1"/>
  <c r="AJ717" i="1"/>
  <c r="AK717" i="1"/>
  <c r="C718" i="1"/>
  <c r="H718" i="1"/>
  <c r="I718" i="1"/>
  <c r="J718" i="1"/>
  <c r="K718" i="1"/>
  <c r="M718" i="1"/>
  <c r="P718" i="1"/>
  <c r="R718" i="1"/>
  <c r="S718" i="1"/>
  <c r="T718" i="1"/>
  <c r="U718" i="1"/>
  <c r="X718" i="1"/>
  <c r="Y718" i="1"/>
  <c r="Z718" i="1"/>
  <c r="AA718" i="1"/>
  <c r="AB718" i="1"/>
  <c r="AC718" i="1"/>
  <c r="AD718" i="1"/>
  <c r="AE718" i="1"/>
  <c r="AF718" i="1"/>
  <c r="AG718" i="1"/>
  <c r="AH718" i="1"/>
  <c r="AI718" i="1"/>
  <c r="AJ718" i="1"/>
  <c r="AK718" i="1"/>
  <c r="C719" i="1"/>
  <c r="H719" i="1"/>
  <c r="I719" i="1"/>
  <c r="J719" i="1"/>
  <c r="K719" i="1"/>
  <c r="M719" i="1"/>
  <c r="P719" i="1"/>
  <c r="R719" i="1"/>
  <c r="S719" i="1"/>
  <c r="T719" i="1"/>
  <c r="U719" i="1"/>
  <c r="X719" i="1"/>
  <c r="Y719" i="1"/>
  <c r="Z719" i="1"/>
  <c r="AA719" i="1"/>
  <c r="AB719" i="1"/>
  <c r="AC719" i="1"/>
  <c r="AD719" i="1"/>
  <c r="AE719" i="1"/>
  <c r="AF719" i="1"/>
  <c r="AG719" i="1"/>
  <c r="AH719" i="1"/>
  <c r="AI719" i="1"/>
  <c r="AJ719" i="1"/>
  <c r="AK719" i="1"/>
  <c r="C720" i="1"/>
  <c r="H720" i="1"/>
  <c r="I720" i="1"/>
  <c r="J720" i="1"/>
  <c r="K720" i="1"/>
  <c r="M720" i="1"/>
  <c r="P720" i="1"/>
  <c r="R720" i="1"/>
  <c r="S720" i="1"/>
  <c r="T720" i="1"/>
  <c r="U720" i="1"/>
  <c r="X720" i="1"/>
  <c r="Y720" i="1"/>
  <c r="Z720" i="1"/>
  <c r="AA720" i="1"/>
  <c r="AB720" i="1"/>
  <c r="AC720" i="1"/>
  <c r="AD720" i="1"/>
  <c r="AE720" i="1"/>
  <c r="AF720" i="1"/>
  <c r="AG720" i="1"/>
  <c r="AH720" i="1"/>
  <c r="AI720" i="1"/>
  <c r="AJ720" i="1"/>
  <c r="AK720" i="1"/>
  <c r="C721" i="1"/>
  <c r="H721" i="1"/>
  <c r="I721" i="1"/>
  <c r="J721" i="1"/>
  <c r="K721" i="1"/>
  <c r="M721" i="1"/>
  <c r="P721" i="1"/>
  <c r="R721" i="1"/>
  <c r="S721" i="1"/>
  <c r="T721" i="1"/>
  <c r="U721" i="1"/>
  <c r="X721" i="1"/>
  <c r="Y721" i="1"/>
  <c r="Z721" i="1"/>
  <c r="AA721" i="1"/>
  <c r="AB721" i="1"/>
  <c r="AC721" i="1"/>
  <c r="AD721" i="1"/>
  <c r="AE721" i="1"/>
  <c r="AF721" i="1"/>
  <c r="AG721" i="1"/>
  <c r="AH721" i="1"/>
  <c r="AI721" i="1"/>
  <c r="AJ721" i="1"/>
  <c r="AK721" i="1"/>
  <c r="C702" i="1"/>
  <c r="H702" i="1"/>
  <c r="I702" i="1"/>
  <c r="J702" i="1"/>
  <c r="K702" i="1"/>
  <c r="M702" i="1"/>
  <c r="P702" i="1"/>
  <c r="R702" i="1"/>
  <c r="S702" i="1"/>
  <c r="T702" i="1"/>
  <c r="U702" i="1"/>
  <c r="X702" i="1"/>
  <c r="Y702" i="1"/>
  <c r="Z702" i="1"/>
  <c r="AA702" i="1"/>
  <c r="AB702" i="1"/>
  <c r="AC702" i="1"/>
  <c r="AD702" i="1"/>
  <c r="AE702" i="1"/>
  <c r="AF702" i="1"/>
  <c r="AG702" i="1"/>
  <c r="AH702" i="1"/>
  <c r="AI702" i="1"/>
  <c r="AJ702" i="1"/>
  <c r="AK702" i="1"/>
  <c r="C703" i="1"/>
  <c r="H703" i="1"/>
  <c r="I703" i="1"/>
  <c r="J703" i="1"/>
  <c r="K703" i="1"/>
  <c r="M703" i="1"/>
  <c r="P703" i="1"/>
  <c r="R703" i="1"/>
  <c r="S703" i="1"/>
  <c r="T703" i="1"/>
  <c r="U703" i="1"/>
  <c r="X703" i="1"/>
  <c r="Y703" i="1"/>
  <c r="Z703" i="1"/>
  <c r="AA703" i="1"/>
  <c r="AB703" i="1"/>
  <c r="AC703" i="1"/>
  <c r="AD703" i="1"/>
  <c r="AE703" i="1"/>
  <c r="AF703" i="1"/>
  <c r="AG703" i="1"/>
  <c r="AH703" i="1"/>
  <c r="AI703" i="1"/>
  <c r="AJ703" i="1"/>
  <c r="AK703" i="1"/>
  <c r="C704" i="1"/>
  <c r="H704" i="1"/>
  <c r="I704" i="1"/>
  <c r="J704" i="1"/>
  <c r="K704" i="1"/>
  <c r="M704" i="1"/>
  <c r="P704" i="1"/>
  <c r="R704" i="1"/>
  <c r="S704" i="1"/>
  <c r="T704" i="1"/>
  <c r="U704" i="1"/>
  <c r="X704" i="1"/>
  <c r="Y704" i="1"/>
  <c r="Z704" i="1"/>
  <c r="AA704" i="1"/>
  <c r="AB704" i="1"/>
  <c r="AC704" i="1"/>
  <c r="AD704" i="1"/>
  <c r="AE704" i="1"/>
  <c r="AF704" i="1"/>
  <c r="AG704" i="1"/>
  <c r="AH704" i="1"/>
  <c r="AI704" i="1"/>
  <c r="AJ704" i="1"/>
  <c r="AK704" i="1"/>
  <c r="C705" i="1"/>
  <c r="H705" i="1"/>
  <c r="I705" i="1"/>
  <c r="J705" i="1"/>
  <c r="K705" i="1"/>
  <c r="M705" i="1"/>
  <c r="P705" i="1"/>
  <c r="R705" i="1"/>
  <c r="S705" i="1"/>
  <c r="T705" i="1"/>
  <c r="U705" i="1"/>
  <c r="X705" i="1"/>
  <c r="Y705" i="1"/>
  <c r="Z705" i="1"/>
  <c r="AA705" i="1"/>
  <c r="AB705" i="1"/>
  <c r="AC705" i="1"/>
  <c r="AD705" i="1"/>
  <c r="AE705" i="1"/>
  <c r="AF705" i="1"/>
  <c r="AG705" i="1"/>
  <c r="AH705" i="1"/>
  <c r="AI705" i="1"/>
  <c r="AJ705" i="1"/>
  <c r="AK705" i="1"/>
  <c r="C706" i="1"/>
  <c r="H706" i="1"/>
  <c r="I706" i="1"/>
  <c r="J706" i="1"/>
  <c r="K706" i="1"/>
  <c r="M706" i="1"/>
  <c r="P706" i="1"/>
  <c r="R706" i="1"/>
  <c r="S706" i="1"/>
  <c r="T706" i="1"/>
  <c r="U706" i="1"/>
  <c r="X706" i="1"/>
  <c r="Y706" i="1"/>
  <c r="Z706" i="1"/>
  <c r="AA706" i="1"/>
  <c r="AB706" i="1"/>
  <c r="AC706" i="1"/>
  <c r="AD706" i="1"/>
  <c r="AE706" i="1"/>
  <c r="AF706" i="1"/>
  <c r="AG706" i="1"/>
  <c r="AH706" i="1"/>
  <c r="AI706" i="1"/>
  <c r="AJ706" i="1"/>
  <c r="AK706" i="1"/>
  <c r="C707" i="1"/>
  <c r="H707" i="1"/>
  <c r="I707" i="1"/>
  <c r="J707" i="1"/>
  <c r="K707" i="1"/>
  <c r="M707" i="1"/>
  <c r="P707" i="1"/>
  <c r="R707" i="1"/>
  <c r="S707" i="1"/>
  <c r="T707" i="1"/>
  <c r="U707" i="1"/>
  <c r="X707" i="1"/>
  <c r="Y707" i="1"/>
  <c r="Z707" i="1"/>
  <c r="AA707" i="1"/>
  <c r="AB707" i="1"/>
  <c r="AC707" i="1"/>
  <c r="AD707" i="1"/>
  <c r="AE707" i="1"/>
  <c r="AF707" i="1"/>
  <c r="AG707" i="1"/>
  <c r="AH707" i="1"/>
  <c r="AI707" i="1"/>
  <c r="AJ707" i="1"/>
  <c r="AK707" i="1"/>
  <c r="C708" i="1"/>
  <c r="H708" i="1"/>
  <c r="I708" i="1"/>
  <c r="J708" i="1"/>
  <c r="K708" i="1"/>
  <c r="M708" i="1"/>
  <c r="P708" i="1"/>
  <c r="R708" i="1"/>
  <c r="S708" i="1"/>
  <c r="T708" i="1"/>
  <c r="U708" i="1"/>
  <c r="X708" i="1"/>
  <c r="Y708" i="1"/>
  <c r="Z708" i="1"/>
  <c r="AA708" i="1"/>
  <c r="AB708" i="1"/>
  <c r="AC708" i="1"/>
  <c r="AD708" i="1"/>
  <c r="AE708" i="1"/>
  <c r="AF708" i="1"/>
  <c r="AG708" i="1"/>
  <c r="AH708" i="1"/>
  <c r="AI708" i="1"/>
  <c r="AJ708" i="1"/>
  <c r="AK708" i="1"/>
  <c r="C709" i="1"/>
  <c r="H709" i="1"/>
  <c r="I709" i="1"/>
  <c r="J709" i="1"/>
  <c r="K709" i="1"/>
  <c r="M709" i="1"/>
  <c r="P709" i="1"/>
  <c r="R709" i="1"/>
  <c r="S709" i="1"/>
  <c r="T709" i="1"/>
  <c r="U709" i="1"/>
  <c r="X709" i="1"/>
  <c r="Y709" i="1"/>
  <c r="Z709" i="1"/>
  <c r="AA709" i="1"/>
  <c r="AB709" i="1"/>
  <c r="AC709" i="1"/>
  <c r="AD709" i="1"/>
  <c r="AE709" i="1"/>
  <c r="AF709" i="1"/>
  <c r="AG709" i="1"/>
  <c r="AH709" i="1"/>
  <c r="AI709" i="1"/>
  <c r="AJ709" i="1"/>
  <c r="AK709" i="1"/>
  <c r="C710" i="1"/>
  <c r="H710" i="1"/>
  <c r="I710" i="1"/>
  <c r="J710" i="1"/>
  <c r="K710" i="1"/>
  <c r="M710" i="1"/>
  <c r="P710" i="1"/>
  <c r="R710" i="1"/>
  <c r="S710" i="1"/>
  <c r="T710" i="1"/>
  <c r="U710" i="1"/>
  <c r="X710" i="1"/>
  <c r="Y710" i="1"/>
  <c r="Z710" i="1"/>
  <c r="AA710" i="1"/>
  <c r="AB710" i="1"/>
  <c r="AC710" i="1"/>
  <c r="AD710" i="1"/>
  <c r="AE710" i="1"/>
  <c r="AF710" i="1"/>
  <c r="AG710" i="1"/>
  <c r="AH710" i="1"/>
  <c r="AI710" i="1"/>
  <c r="AJ710" i="1"/>
  <c r="AK710" i="1"/>
  <c r="C711" i="1"/>
  <c r="H711" i="1"/>
  <c r="I711" i="1"/>
  <c r="J711" i="1"/>
  <c r="K711" i="1"/>
  <c r="M711" i="1"/>
  <c r="P711" i="1"/>
  <c r="R711" i="1"/>
  <c r="S711" i="1"/>
  <c r="T711" i="1"/>
  <c r="U711" i="1"/>
  <c r="X711" i="1"/>
  <c r="Y711" i="1"/>
  <c r="Z711" i="1"/>
  <c r="AA711" i="1"/>
  <c r="AB711" i="1"/>
  <c r="AC711" i="1"/>
  <c r="AD711" i="1"/>
  <c r="AE711" i="1"/>
  <c r="AF711" i="1"/>
  <c r="AG711" i="1"/>
  <c r="AH711" i="1"/>
  <c r="AI711" i="1"/>
  <c r="AJ711" i="1"/>
  <c r="AK711" i="1"/>
  <c r="C692" i="1"/>
  <c r="H692" i="1"/>
  <c r="I692" i="1"/>
  <c r="J692" i="1"/>
  <c r="K692" i="1"/>
  <c r="M692" i="1"/>
  <c r="P692" i="1"/>
  <c r="R692" i="1"/>
  <c r="S692" i="1"/>
  <c r="T692" i="1"/>
  <c r="U692" i="1"/>
  <c r="X692" i="1"/>
  <c r="Y692" i="1"/>
  <c r="Z692" i="1"/>
  <c r="AA692" i="1"/>
  <c r="AB692" i="1"/>
  <c r="AC692" i="1"/>
  <c r="AD692" i="1"/>
  <c r="AE692" i="1"/>
  <c r="AF692" i="1"/>
  <c r="AG692" i="1"/>
  <c r="AH692" i="1"/>
  <c r="AI692" i="1"/>
  <c r="AJ692" i="1"/>
  <c r="AK692" i="1"/>
  <c r="C693" i="1"/>
  <c r="H693" i="1"/>
  <c r="I693" i="1"/>
  <c r="J693" i="1"/>
  <c r="K693" i="1"/>
  <c r="M693" i="1"/>
  <c r="P693" i="1"/>
  <c r="R693" i="1"/>
  <c r="S693" i="1"/>
  <c r="T693" i="1"/>
  <c r="U693" i="1"/>
  <c r="X693" i="1"/>
  <c r="Y693" i="1"/>
  <c r="Z693" i="1"/>
  <c r="AA693" i="1"/>
  <c r="AB693" i="1"/>
  <c r="AC693" i="1"/>
  <c r="AD693" i="1"/>
  <c r="AE693" i="1"/>
  <c r="AF693" i="1"/>
  <c r="AG693" i="1"/>
  <c r="AH693" i="1"/>
  <c r="AI693" i="1"/>
  <c r="AJ693" i="1"/>
  <c r="AK693" i="1"/>
  <c r="C694" i="1"/>
  <c r="H694" i="1"/>
  <c r="I694" i="1"/>
  <c r="J694" i="1"/>
  <c r="K694" i="1"/>
  <c r="M694" i="1"/>
  <c r="P694" i="1"/>
  <c r="R694" i="1"/>
  <c r="S694" i="1"/>
  <c r="T694" i="1"/>
  <c r="U694" i="1"/>
  <c r="X694" i="1"/>
  <c r="Y694" i="1"/>
  <c r="Z694" i="1"/>
  <c r="AA694" i="1"/>
  <c r="AB694" i="1"/>
  <c r="AC694" i="1"/>
  <c r="AD694" i="1"/>
  <c r="AE694" i="1"/>
  <c r="AF694" i="1"/>
  <c r="AG694" i="1"/>
  <c r="AH694" i="1"/>
  <c r="AI694" i="1"/>
  <c r="AJ694" i="1"/>
  <c r="AK694" i="1"/>
  <c r="C695" i="1"/>
  <c r="H695" i="1"/>
  <c r="I695" i="1"/>
  <c r="J695" i="1"/>
  <c r="K695" i="1"/>
  <c r="M695" i="1"/>
  <c r="P695" i="1"/>
  <c r="R695" i="1"/>
  <c r="S695" i="1"/>
  <c r="T695" i="1"/>
  <c r="U695" i="1"/>
  <c r="X695" i="1"/>
  <c r="Y695" i="1"/>
  <c r="Z695" i="1"/>
  <c r="AA695" i="1"/>
  <c r="AB695" i="1"/>
  <c r="AC695" i="1"/>
  <c r="AD695" i="1"/>
  <c r="AE695" i="1"/>
  <c r="AF695" i="1"/>
  <c r="AG695" i="1"/>
  <c r="AH695" i="1"/>
  <c r="AI695" i="1"/>
  <c r="AJ695" i="1"/>
  <c r="AK695" i="1"/>
  <c r="C696" i="1"/>
  <c r="H696" i="1"/>
  <c r="I696" i="1"/>
  <c r="J696" i="1"/>
  <c r="K696" i="1"/>
  <c r="M696" i="1"/>
  <c r="P696" i="1"/>
  <c r="R696" i="1"/>
  <c r="S696" i="1"/>
  <c r="T696" i="1"/>
  <c r="U696" i="1"/>
  <c r="X696" i="1"/>
  <c r="Y696" i="1"/>
  <c r="Z696" i="1"/>
  <c r="AA696" i="1"/>
  <c r="AB696" i="1"/>
  <c r="AC696" i="1"/>
  <c r="AD696" i="1"/>
  <c r="AE696" i="1"/>
  <c r="AF696" i="1"/>
  <c r="AG696" i="1"/>
  <c r="AH696" i="1"/>
  <c r="AI696" i="1"/>
  <c r="AJ696" i="1"/>
  <c r="AK696" i="1"/>
  <c r="C697" i="1"/>
  <c r="H697" i="1"/>
  <c r="I697" i="1"/>
  <c r="J697" i="1"/>
  <c r="K697" i="1"/>
  <c r="M697" i="1"/>
  <c r="P697" i="1"/>
  <c r="R697" i="1"/>
  <c r="S697" i="1"/>
  <c r="T697" i="1"/>
  <c r="U697" i="1"/>
  <c r="X697" i="1"/>
  <c r="Y697" i="1"/>
  <c r="Z697" i="1"/>
  <c r="AA697" i="1"/>
  <c r="AB697" i="1"/>
  <c r="AC697" i="1"/>
  <c r="AD697" i="1"/>
  <c r="AE697" i="1"/>
  <c r="AF697" i="1"/>
  <c r="AG697" i="1"/>
  <c r="AH697" i="1"/>
  <c r="AI697" i="1"/>
  <c r="AJ697" i="1"/>
  <c r="AK697" i="1"/>
  <c r="C698" i="1"/>
  <c r="H698" i="1"/>
  <c r="I698" i="1"/>
  <c r="J698" i="1"/>
  <c r="K698" i="1"/>
  <c r="M698" i="1"/>
  <c r="P698" i="1"/>
  <c r="R698" i="1"/>
  <c r="S698" i="1"/>
  <c r="T698" i="1"/>
  <c r="U698" i="1"/>
  <c r="X698" i="1"/>
  <c r="Y698" i="1"/>
  <c r="Z698" i="1"/>
  <c r="AA698" i="1"/>
  <c r="AB698" i="1"/>
  <c r="AC698" i="1"/>
  <c r="AD698" i="1"/>
  <c r="AE698" i="1"/>
  <c r="AF698" i="1"/>
  <c r="AG698" i="1"/>
  <c r="AH698" i="1"/>
  <c r="AI698" i="1"/>
  <c r="AJ698" i="1"/>
  <c r="AK698" i="1"/>
  <c r="C699" i="1"/>
  <c r="H699" i="1"/>
  <c r="I699" i="1"/>
  <c r="J699" i="1"/>
  <c r="K699" i="1"/>
  <c r="M699" i="1"/>
  <c r="P699" i="1"/>
  <c r="R699" i="1"/>
  <c r="S699" i="1"/>
  <c r="T699" i="1"/>
  <c r="U699" i="1"/>
  <c r="X699" i="1"/>
  <c r="Y699" i="1"/>
  <c r="Z699" i="1"/>
  <c r="AA699" i="1"/>
  <c r="AB699" i="1"/>
  <c r="AC699" i="1"/>
  <c r="AD699" i="1"/>
  <c r="AE699" i="1"/>
  <c r="AF699" i="1"/>
  <c r="AG699" i="1"/>
  <c r="AH699" i="1"/>
  <c r="AI699" i="1"/>
  <c r="AJ699" i="1"/>
  <c r="AK699" i="1"/>
  <c r="C700" i="1"/>
  <c r="H700" i="1"/>
  <c r="I700" i="1"/>
  <c r="J700" i="1"/>
  <c r="K700" i="1"/>
  <c r="M700" i="1"/>
  <c r="P700" i="1"/>
  <c r="R700" i="1"/>
  <c r="S700" i="1"/>
  <c r="T700" i="1"/>
  <c r="U700" i="1"/>
  <c r="X700" i="1"/>
  <c r="Y700" i="1"/>
  <c r="Z700" i="1"/>
  <c r="AA700" i="1"/>
  <c r="AB700" i="1"/>
  <c r="AC700" i="1"/>
  <c r="AD700" i="1"/>
  <c r="AE700" i="1"/>
  <c r="AF700" i="1"/>
  <c r="AG700" i="1"/>
  <c r="AH700" i="1"/>
  <c r="AI700" i="1"/>
  <c r="AJ700" i="1"/>
  <c r="AK700" i="1"/>
  <c r="C701" i="1"/>
  <c r="H701" i="1"/>
  <c r="I701" i="1"/>
  <c r="J701" i="1"/>
  <c r="K701" i="1"/>
  <c r="M701" i="1"/>
  <c r="P701" i="1"/>
  <c r="R701" i="1"/>
  <c r="S701" i="1"/>
  <c r="T701" i="1"/>
  <c r="U701" i="1"/>
  <c r="X701" i="1"/>
  <c r="Y701" i="1"/>
  <c r="Z701" i="1"/>
  <c r="AA701" i="1"/>
  <c r="AB701" i="1"/>
  <c r="AC701" i="1"/>
  <c r="AD701" i="1"/>
  <c r="AE701" i="1"/>
  <c r="AF701" i="1"/>
  <c r="AG701" i="1"/>
  <c r="AH701" i="1"/>
  <c r="AI701" i="1"/>
  <c r="AJ701" i="1"/>
  <c r="AK701" i="1"/>
  <c r="C682" i="1"/>
  <c r="H682" i="1"/>
  <c r="I682" i="1"/>
  <c r="J682" i="1"/>
  <c r="K682" i="1"/>
  <c r="M682" i="1"/>
  <c r="P682" i="1"/>
  <c r="R682" i="1"/>
  <c r="S682" i="1"/>
  <c r="T682" i="1"/>
  <c r="U682" i="1"/>
  <c r="X682" i="1"/>
  <c r="Y682" i="1"/>
  <c r="Z682" i="1"/>
  <c r="AA682" i="1"/>
  <c r="AB682" i="1"/>
  <c r="AC682" i="1"/>
  <c r="AD682" i="1"/>
  <c r="AE682" i="1"/>
  <c r="AF682" i="1"/>
  <c r="AG682" i="1"/>
  <c r="AH682" i="1"/>
  <c r="AI682" i="1"/>
  <c r="AJ682" i="1"/>
  <c r="AK682" i="1"/>
  <c r="C683" i="1"/>
  <c r="H683" i="1"/>
  <c r="I683" i="1"/>
  <c r="J683" i="1"/>
  <c r="K683" i="1"/>
  <c r="M683" i="1"/>
  <c r="P683" i="1"/>
  <c r="R683" i="1"/>
  <c r="S683" i="1"/>
  <c r="T683" i="1"/>
  <c r="U683" i="1"/>
  <c r="X683" i="1"/>
  <c r="Y683" i="1"/>
  <c r="Z683" i="1"/>
  <c r="AA683" i="1"/>
  <c r="AB683" i="1"/>
  <c r="AC683" i="1"/>
  <c r="AD683" i="1"/>
  <c r="AE683" i="1"/>
  <c r="AF683" i="1"/>
  <c r="AG683" i="1"/>
  <c r="AH683" i="1"/>
  <c r="AI683" i="1"/>
  <c r="AJ683" i="1"/>
  <c r="AK683" i="1"/>
  <c r="C684" i="1"/>
  <c r="H684" i="1"/>
  <c r="I684" i="1"/>
  <c r="J684" i="1"/>
  <c r="K684" i="1"/>
  <c r="M684" i="1"/>
  <c r="P684" i="1"/>
  <c r="R684" i="1"/>
  <c r="S684" i="1"/>
  <c r="T684" i="1"/>
  <c r="U684" i="1"/>
  <c r="X684" i="1"/>
  <c r="Y684" i="1"/>
  <c r="Z684" i="1"/>
  <c r="AA684" i="1"/>
  <c r="AB684" i="1"/>
  <c r="AC684" i="1"/>
  <c r="AD684" i="1"/>
  <c r="AE684" i="1"/>
  <c r="AF684" i="1"/>
  <c r="AG684" i="1"/>
  <c r="AH684" i="1"/>
  <c r="AI684" i="1"/>
  <c r="AJ684" i="1"/>
  <c r="AK684" i="1"/>
  <c r="C685" i="1"/>
  <c r="H685" i="1"/>
  <c r="I685" i="1"/>
  <c r="J685" i="1"/>
  <c r="K685" i="1"/>
  <c r="M685" i="1"/>
  <c r="P685" i="1"/>
  <c r="R685" i="1"/>
  <c r="S685" i="1"/>
  <c r="T685" i="1"/>
  <c r="U685" i="1"/>
  <c r="X685" i="1"/>
  <c r="Y685" i="1"/>
  <c r="Z685" i="1"/>
  <c r="AA685" i="1"/>
  <c r="AB685" i="1"/>
  <c r="AC685" i="1"/>
  <c r="AD685" i="1"/>
  <c r="AE685" i="1"/>
  <c r="AF685" i="1"/>
  <c r="AG685" i="1"/>
  <c r="AH685" i="1"/>
  <c r="AI685" i="1"/>
  <c r="AJ685" i="1"/>
  <c r="AK685" i="1"/>
  <c r="C686" i="1"/>
  <c r="H686" i="1"/>
  <c r="I686" i="1"/>
  <c r="J686" i="1"/>
  <c r="K686" i="1"/>
  <c r="M686" i="1"/>
  <c r="P686" i="1"/>
  <c r="R686" i="1"/>
  <c r="S686" i="1"/>
  <c r="T686" i="1"/>
  <c r="U686" i="1"/>
  <c r="X686" i="1"/>
  <c r="Y686" i="1"/>
  <c r="Z686" i="1"/>
  <c r="AA686" i="1"/>
  <c r="AB686" i="1"/>
  <c r="AC686" i="1"/>
  <c r="AD686" i="1"/>
  <c r="AE686" i="1"/>
  <c r="AF686" i="1"/>
  <c r="AG686" i="1"/>
  <c r="AH686" i="1"/>
  <c r="AI686" i="1"/>
  <c r="AJ686" i="1"/>
  <c r="AK686" i="1"/>
  <c r="C687" i="1"/>
  <c r="H687" i="1"/>
  <c r="I687" i="1"/>
  <c r="J687" i="1"/>
  <c r="K687" i="1"/>
  <c r="M687" i="1"/>
  <c r="P687" i="1"/>
  <c r="R687" i="1"/>
  <c r="S687" i="1"/>
  <c r="T687" i="1"/>
  <c r="U687" i="1"/>
  <c r="X687" i="1"/>
  <c r="Y687" i="1"/>
  <c r="Z687" i="1"/>
  <c r="AA687" i="1"/>
  <c r="AB687" i="1"/>
  <c r="AC687" i="1"/>
  <c r="AD687" i="1"/>
  <c r="AE687" i="1"/>
  <c r="AF687" i="1"/>
  <c r="AG687" i="1"/>
  <c r="AH687" i="1"/>
  <c r="AI687" i="1"/>
  <c r="AJ687" i="1"/>
  <c r="AK687" i="1"/>
  <c r="C688" i="1"/>
  <c r="H688" i="1"/>
  <c r="I688" i="1"/>
  <c r="J688" i="1"/>
  <c r="K688" i="1"/>
  <c r="M688" i="1"/>
  <c r="P688" i="1"/>
  <c r="R688" i="1"/>
  <c r="S688" i="1"/>
  <c r="T688" i="1"/>
  <c r="U688" i="1"/>
  <c r="X688" i="1"/>
  <c r="Y688" i="1"/>
  <c r="Z688" i="1"/>
  <c r="AA688" i="1"/>
  <c r="AB688" i="1"/>
  <c r="AC688" i="1"/>
  <c r="AD688" i="1"/>
  <c r="AE688" i="1"/>
  <c r="AF688" i="1"/>
  <c r="AG688" i="1"/>
  <c r="AH688" i="1"/>
  <c r="AI688" i="1"/>
  <c r="AJ688" i="1"/>
  <c r="AK688" i="1"/>
  <c r="C689" i="1"/>
  <c r="H689" i="1"/>
  <c r="I689" i="1"/>
  <c r="J689" i="1"/>
  <c r="K689" i="1"/>
  <c r="M689" i="1"/>
  <c r="P689" i="1"/>
  <c r="R689" i="1"/>
  <c r="S689" i="1"/>
  <c r="T689" i="1"/>
  <c r="U689" i="1"/>
  <c r="X689" i="1"/>
  <c r="Y689" i="1"/>
  <c r="Z689" i="1"/>
  <c r="AA689" i="1"/>
  <c r="AB689" i="1"/>
  <c r="AC689" i="1"/>
  <c r="AD689" i="1"/>
  <c r="AE689" i="1"/>
  <c r="AF689" i="1"/>
  <c r="AG689" i="1"/>
  <c r="AH689" i="1"/>
  <c r="AI689" i="1"/>
  <c r="AJ689" i="1"/>
  <c r="AK689" i="1"/>
  <c r="C690" i="1"/>
  <c r="H690" i="1"/>
  <c r="I690" i="1"/>
  <c r="J690" i="1"/>
  <c r="K690" i="1"/>
  <c r="M690" i="1"/>
  <c r="P690" i="1"/>
  <c r="R690" i="1"/>
  <c r="S690" i="1"/>
  <c r="T690" i="1"/>
  <c r="U690" i="1"/>
  <c r="X690" i="1"/>
  <c r="Y690" i="1"/>
  <c r="Z690" i="1"/>
  <c r="AA690" i="1"/>
  <c r="AB690" i="1"/>
  <c r="AC690" i="1"/>
  <c r="AD690" i="1"/>
  <c r="AE690" i="1"/>
  <c r="AF690" i="1"/>
  <c r="AG690" i="1"/>
  <c r="AH690" i="1"/>
  <c r="AI690" i="1"/>
  <c r="AJ690" i="1"/>
  <c r="AK690" i="1"/>
  <c r="C691" i="1"/>
  <c r="H691" i="1"/>
  <c r="I691" i="1"/>
  <c r="J691" i="1"/>
  <c r="K691" i="1"/>
  <c r="M691" i="1"/>
  <c r="P691" i="1"/>
  <c r="R691" i="1"/>
  <c r="S691" i="1"/>
  <c r="T691" i="1"/>
  <c r="U691" i="1"/>
  <c r="X691" i="1"/>
  <c r="Y691" i="1"/>
  <c r="Z691" i="1"/>
  <c r="AA691" i="1"/>
  <c r="AB691" i="1"/>
  <c r="AC691" i="1"/>
  <c r="AD691" i="1"/>
  <c r="AE691" i="1"/>
  <c r="AF691" i="1"/>
  <c r="AG691" i="1"/>
  <c r="AH691" i="1"/>
  <c r="AI691" i="1"/>
  <c r="AJ691" i="1"/>
  <c r="AK691" i="1"/>
  <c r="C672" i="1"/>
  <c r="H672" i="1"/>
  <c r="I672" i="1"/>
  <c r="J672" i="1"/>
  <c r="K672" i="1"/>
  <c r="M672" i="1"/>
  <c r="P672" i="1"/>
  <c r="R672" i="1"/>
  <c r="S672" i="1"/>
  <c r="T672" i="1"/>
  <c r="U672" i="1"/>
  <c r="X672" i="1"/>
  <c r="Y672" i="1"/>
  <c r="Z672" i="1"/>
  <c r="AA672" i="1"/>
  <c r="AB672" i="1"/>
  <c r="AC672" i="1"/>
  <c r="AD672" i="1"/>
  <c r="AE672" i="1"/>
  <c r="AF672" i="1"/>
  <c r="AG672" i="1"/>
  <c r="AH672" i="1"/>
  <c r="AI672" i="1"/>
  <c r="AJ672" i="1"/>
  <c r="AK672" i="1"/>
  <c r="C673" i="1"/>
  <c r="H673" i="1"/>
  <c r="I673" i="1"/>
  <c r="J673" i="1"/>
  <c r="K673" i="1"/>
  <c r="M673" i="1"/>
  <c r="P673" i="1"/>
  <c r="R673" i="1"/>
  <c r="S673" i="1"/>
  <c r="T673" i="1"/>
  <c r="U673" i="1"/>
  <c r="X673" i="1"/>
  <c r="Y673" i="1"/>
  <c r="Z673" i="1"/>
  <c r="AA673" i="1"/>
  <c r="AB673" i="1"/>
  <c r="AC673" i="1"/>
  <c r="AD673" i="1"/>
  <c r="AE673" i="1"/>
  <c r="AF673" i="1"/>
  <c r="AG673" i="1"/>
  <c r="AH673" i="1"/>
  <c r="AI673" i="1"/>
  <c r="AJ673" i="1"/>
  <c r="AK673" i="1"/>
  <c r="C674" i="1"/>
  <c r="H674" i="1"/>
  <c r="I674" i="1"/>
  <c r="J674" i="1"/>
  <c r="K674" i="1"/>
  <c r="M674" i="1"/>
  <c r="P674" i="1"/>
  <c r="R674" i="1"/>
  <c r="S674" i="1"/>
  <c r="T674" i="1"/>
  <c r="U674" i="1"/>
  <c r="X674" i="1"/>
  <c r="Y674" i="1"/>
  <c r="Z674" i="1"/>
  <c r="AA674" i="1"/>
  <c r="AB674" i="1"/>
  <c r="AC674" i="1"/>
  <c r="AD674" i="1"/>
  <c r="AE674" i="1"/>
  <c r="AF674" i="1"/>
  <c r="AG674" i="1"/>
  <c r="AH674" i="1"/>
  <c r="AI674" i="1"/>
  <c r="AJ674" i="1"/>
  <c r="AK674" i="1"/>
  <c r="C675" i="1"/>
  <c r="H675" i="1"/>
  <c r="I675" i="1"/>
  <c r="J675" i="1"/>
  <c r="K675" i="1"/>
  <c r="M675" i="1"/>
  <c r="P675" i="1"/>
  <c r="R675" i="1"/>
  <c r="S675" i="1"/>
  <c r="T675" i="1"/>
  <c r="U675" i="1"/>
  <c r="X675" i="1"/>
  <c r="Y675" i="1"/>
  <c r="Z675" i="1"/>
  <c r="AA675" i="1"/>
  <c r="AB675" i="1"/>
  <c r="AC675" i="1"/>
  <c r="AD675" i="1"/>
  <c r="AE675" i="1"/>
  <c r="AF675" i="1"/>
  <c r="AG675" i="1"/>
  <c r="AH675" i="1"/>
  <c r="AI675" i="1"/>
  <c r="AJ675" i="1"/>
  <c r="AK675" i="1"/>
  <c r="C676" i="1"/>
  <c r="H676" i="1"/>
  <c r="I676" i="1"/>
  <c r="J676" i="1"/>
  <c r="K676" i="1"/>
  <c r="M676" i="1"/>
  <c r="P676" i="1"/>
  <c r="R676" i="1"/>
  <c r="S676" i="1"/>
  <c r="T676" i="1"/>
  <c r="U676" i="1"/>
  <c r="X676" i="1"/>
  <c r="Y676" i="1"/>
  <c r="Z676" i="1"/>
  <c r="AA676" i="1"/>
  <c r="AB676" i="1"/>
  <c r="AC676" i="1"/>
  <c r="AD676" i="1"/>
  <c r="AE676" i="1"/>
  <c r="AF676" i="1"/>
  <c r="AG676" i="1"/>
  <c r="AH676" i="1"/>
  <c r="AI676" i="1"/>
  <c r="AJ676" i="1"/>
  <c r="AK676" i="1"/>
  <c r="C677" i="1"/>
  <c r="H677" i="1"/>
  <c r="I677" i="1"/>
  <c r="J677" i="1"/>
  <c r="K677" i="1"/>
  <c r="M677" i="1"/>
  <c r="P677" i="1"/>
  <c r="R677" i="1"/>
  <c r="S677" i="1"/>
  <c r="T677" i="1"/>
  <c r="U677" i="1"/>
  <c r="X677" i="1"/>
  <c r="Y677" i="1"/>
  <c r="Z677" i="1"/>
  <c r="AA677" i="1"/>
  <c r="AB677" i="1"/>
  <c r="AC677" i="1"/>
  <c r="AD677" i="1"/>
  <c r="AE677" i="1"/>
  <c r="AF677" i="1"/>
  <c r="AG677" i="1"/>
  <c r="AH677" i="1"/>
  <c r="AI677" i="1"/>
  <c r="AJ677" i="1"/>
  <c r="AK677" i="1"/>
  <c r="C678" i="1"/>
  <c r="H678" i="1"/>
  <c r="I678" i="1"/>
  <c r="J678" i="1"/>
  <c r="K678" i="1"/>
  <c r="M678" i="1"/>
  <c r="P678" i="1"/>
  <c r="R678" i="1"/>
  <c r="S678" i="1"/>
  <c r="T678" i="1"/>
  <c r="U678" i="1"/>
  <c r="X678" i="1"/>
  <c r="Y678" i="1"/>
  <c r="Z678" i="1"/>
  <c r="AA678" i="1"/>
  <c r="AB678" i="1"/>
  <c r="AC678" i="1"/>
  <c r="AD678" i="1"/>
  <c r="AE678" i="1"/>
  <c r="AF678" i="1"/>
  <c r="AG678" i="1"/>
  <c r="AH678" i="1"/>
  <c r="AI678" i="1"/>
  <c r="AJ678" i="1"/>
  <c r="AK678" i="1"/>
  <c r="C679" i="1"/>
  <c r="H679" i="1"/>
  <c r="I679" i="1"/>
  <c r="J679" i="1"/>
  <c r="K679" i="1"/>
  <c r="M679" i="1"/>
  <c r="P679" i="1"/>
  <c r="R679" i="1"/>
  <c r="S679" i="1"/>
  <c r="T679" i="1"/>
  <c r="U679" i="1"/>
  <c r="X679" i="1"/>
  <c r="Y679" i="1"/>
  <c r="Z679" i="1"/>
  <c r="AA679" i="1"/>
  <c r="AB679" i="1"/>
  <c r="AC679" i="1"/>
  <c r="AD679" i="1"/>
  <c r="AE679" i="1"/>
  <c r="AF679" i="1"/>
  <c r="AG679" i="1"/>
  <c r="AH679" i="1"/>
  <c r="AI679" i="1"/>
  <c r="AJ679" i="1"/>
  <c r="AK679" i="1"/>
  <c r="C680" i="1"/>
  <c r="H680" i="1"/>
  <c r="I680" i="1"/>
  <c r="J680" i="1"/>
  <c r="K680" i="1"/>
  <c r="M680" i="1"/>
  <c r="P680" i="1"/>
  <c r="R680" i="1"/>
  <c r="S680" i="1"/>
  <c r="T680" i="1"/>
  <c r="U680" i="1"/>
  <c r="X680" i="1"/>
  <c r="Y680" i="1"/>
  <c r="Z680" i="1"/>
  <c r="AA680" i="1"/>
  <c r="AB680" i="1"/>
  <c r="AC680" i="1"/>
  <c r="AD680" i="1"/>
  <c r="AE680" i="1"/>
  <c r="AF680" i="1"/>
  <c r="AG680" i="1"/>
  <c r="AH680" i="1"/>
  <c r="AI680" i="1"/>
  <c r="AJ680" i="1"/>
  <c r="AK680" i="1"/>
  <c r="C681" i="1"/>
  <c r="H681" i="1"/>
  <c r="I681" i="1"/>
  <c r="J681" i="1"/>
  <c r="K681" i="1"/>
  <c r="M681" i="1"/>
  <c r="P681" i="1"/>
  <c r="R681" i="1"/>
  <c r="S681" i="1"/>
  <c r="T681" i="1"/>
  <c r="U681" i="1"/>
  <c r="X681" i="1"/>
  <c r="Y681" i="1"/>
  <c r="Z681" i="1"/>
  <c r="AA681" i="1"/>
  <c r="AB681" i="1"/>
  <c r="AC681" i="1"/>
  <c r="AD681" i="1"/>
  <c r="AE681" i="1"/>
  <c r="AF681" i="1"/>
  <c r="AG681" i="1"/>
  <c r="AH681" i="1"/>
  <c r="AI681" i="1"/>
  <c r="AJ681" i="1"/>
  <c r="AK681" i="1"/>
  <c r="C662" i="1"/>
  <c r="H662" i="1"/>
  <c r="I662" i="1"/>
  <c r="J662" i="1"/>
  <c r="K662" i="1"/>
  <c r="M662" i="1"/>
  <c r="P662" i="1"/>
  <c r="R662" i="1"/>
  <c r="S662" i="1"/>
  <c r="T662" i="1"/>
  <c r="U662" i="1"/>
  <c r="X662" i="1"/>
  <c r="Y662" i="1"/>
  <c r="Z662" i="1"/>
  <c r="AA662" i="1"/>
  <c r="AB662" i="1"/>
  <c r="AC662" i="1"/>
  <c r="AD662" i="1"/>
  <c r="AE662" i="1"/>
  <c r="AF662" i="1"/>
  <c r="AG662" i="1"/>
  <c r="AH662" i="1"/>
  <c r="AI662" i="1"/>
  <c r="AJ662" i="1"/>
  <c r="AK662" i="1"/>
  <c r="C663" i="1"/>
  <c r="H663" i="1"/>
  <c r="I663" i="1"/>
  <c r="J663" i="1"/>
  <c r="K663" i="1"/>
  <c r="M663" i="1"/>
  <c r="P663" i="1"/>
  <c r="R663" i="1"/>
  <c r="S663" i="1"/>
  <c r="T663" i="1"/>
  <c r="U663" i="1"/>
  <c r="X663" i="1"/>
  <c r="Y663" i="1"/>
  <c r="Z663" i="1"/>
  <c r="AA663" i="1"/>
  <c r="AB663" i="1"/>
  <c r="AC663" i="1"/>
  <c r="AD663" i="1"/>
  <c r="AE663" i="1"/>
  <c r="AF663" i="1"/>
  <c r="AG663" i="1"/>
  <c r="AH663" i="1"/>
  <c r="AI663" i="1"/>
  <c r="AJ663" i="1"/>
  <c r="AK663" i="1"/>
  <c r="C664" i="1"/>
  <c r="H664" i="1"/>
  <c r="I664" i="1"/>
  <c r="J664" i="1"/>
  <c r="K664" i="1"/>
  <c r="M664" i="1"/>
  <c r="P664" i="1"/>
  <c r="R664" i="1"/>
  <c r="S664" i="1"/>
  <c r="T664" i="1"/>
  <c r="U664" i="1"/>
  <c r="X664" i="1"/>
  <c r="Y664" i="1"/>
  <c r="Z664" i="1"/>
  <c r="AA664" i="1"/>
  <c r="AB664" i="1"/>
  <c r="AC664" i="1"/>
  <c r="AD664" i="1"/>
  <c r="AE664" i="1"/>
  <c r="AF664" i="1"/>
  <c r="AG664" i="1"/>
  <c r="AH664" i="1"/>
  <c r="AI664" i="1"/>
  <c r="AJ664" i="1"/>
  <c r="AK664" i="1"/>
  <c r="C665" i="1"/>
  <c r="H665" i="1"/>
  <c r="I665" i="1"/>
  <c r="J665" i="1"/>
  <c r="K665" i="1"/>
  <c r="M665" i="1"/>
  <c r="P665" i="1"/>
  <c r="R665" i="1"/>
  <c r="S665" i="1"/>
  <c r="T665" i="1"/>
  <c r="U665" i="1"/>
  <c r="X665" i="1"/>
  <c r="Y665" i="1"/>
  <c r="Z665" i="1"/>
  <c r="AA665" i="1"/>
  <c r="AB665" i="1"/>
  <c r="AC665" i="1"/>
  <c r="AD665" i="1"/>
  <c r="AE665" i="1"/>
  <c r="AF665" i="1"/>
  <c r="AG665" i="1"/>
  <c r="AH665" i="1"/>
  <c r="AI665" i="1"/>
  <c r="AJ665" i="1"/>
  <c r="AK665" i="1"/>
  <c r="C666" i="1"/>
  <c r="H666" i="1"/>
  <c r="I666" i="1"/>
  <c r="J666" i="1"/>
  <c r="K666" i="1"/>
  <c r="M666" i="1"/>
  <c r="P666" i="1"/>
  <c r="R666" i="1"/>
  <c r="S666" i="1"/>
  <c r="T666" i="1"/>
  <c r="U666" i="1"/>
  <c r="X666" i="1"/>
  <c r="Y666" i="1"/>
  <c r="Z666" i="1"/>
  <c r="AA666" i="1"/>
  <c r="AB666" i="1"/>
  <c r="AC666" i="1"/>
  <c r="AD666" i="1"/>
  <c r="AE666" i="1"/>
  <c r="AF666" i="1"/>
  <c r="AG666" i="1"/>
  <c r="AH666" i="1"/>
  <c r="AI666" i="1"/>
  <c r="AJ666" i="1"/>
  <c r="AK666" i="1"/>
  <c r="C667" i="1"/>
  <c r="H667" i="1"/>
  <c r="I667" i="1"/>
  <c r="J667" i="1"/>
  <c r="K667" i="1"/>
  <c r="M667" i="1"/>
  <c r="P667" i="1"/>
  <c r="R667" i="1"/>
  <c r="S667" i="1"/>
  <c r="T667" i="1"/>
  <c r="U667" i="1"/>
  <c r="X667" i="1"/>
  <c r="Y667" i="1"/>
  <c r="Z667" i="1"/>
  <c r="AA667" i="1"/>
  <c r="AB667" i="1"/>
  <c r="AC667" i="1"/>
  <c r="AD667" i="1"/>
  <c r="AE667" i="1"/>
  <c r="AF667" i="1"/>
  <c r="AG667" i="1"/>
  <c r="AH667" i="1"/>
  <c r="AI667" i="1"/>
  <c r="AJ667" i="1"/>
  <c r="AK667" i="1"/>
  <c r="C668" i="1"/>
  <c r="H668" i="1"/>
  <c r="I668" i="1"/>
  <c r="J668" i="1"/>
  <c r="K668" i="1"/>
  <c r="M668" i="1"/>
  <c r="P668" i="1"/>
  <c r="R668" i="1"/>
  <c r="S668" i="1"/>
  <c r="T668" i="1"/>
  <c r="U668" i="1"/>
  <c r="X668" i="1"/>
  <c r="Y668" i="1"/>
  <c r="Z668" i="1"/>
  <c r="AA668" i="1"/>
  <c r="AB668" i="1"/>
  <c r="AC668" i="1"/>
  <c r="AD668" i="1"/>
  <c r="AE668" i="1"/>
  <c r="AF668" i="1"/>
  <c r="AG668" i="1"/>
  <c r="AH668" i="1"/>
  <c r="AI668" i="1"/>
  <c r="AJ668" i="1"/>
  <c r="AK668" i="1"/>
  <c r="C669" i="1"/>
  <c r="H669" i="1"/>
  <c r="I669" i="1"/>
  <c r="J669" i="1"/>
  <c r="K669" i="1"/>
  <c r="M669" i="1"/>
  <c r="P669" i="1"/>
  <c r="R669" i="1"/>
  <c r="S669" i="1"/>
  <c r="T669" i="1"/>
  <c r="U669" i="1"/>
  <c r="X669" i="1"/>
  <c r="Y669" i="1"/>
  <c r="Z669" i="1"/>
  <c r="AA669" i="1"/>
  <c r="AB669" i="1"/>
  <c r="AC669" i="1"/>
  <c r="AD669" i="1"/>
  <c r="AE669" i="1"/>
  <c r="AF669" i="1"/>
  <c r="AG669" i="1"/>
  <c r="AH669" i="1"/>
  <c r="AI669" i="1"/>
  <c r="AJ669" i="1"/>
  <c r="AK669" i="1"/>
  <c r="C670" i="1"/>
  <c r="H670" i="1"/>
  <c r="I670" i="1"/>
  <c r="J670" i="1"/>
  <c r="K670" i="1"/>
  <c r="M670" i="1"/>
  <c r="P670" i="1"/>
  <c r="R670" i="1"/>
  <c r="S670" i="1"/>
  <c r="T670" i="1"/>
  <c r="U670" i="1"/>
  <c r="X670" i="1"/>
  <c r="Y670" i="1"/>
  <c r="Z670" i="1"/>
  <c r="AA670" i="1"/>
  <c r="AB670" i="1"/>
  <c r="AC670" i="1"/>
  <c r="AD670" i="1"/>
  <c r="AE670" i="1"/>
  <c r="AF670" i="1"/>
  <c r="AG670" i="1"/>
  <c r="AH670" i="1"/>
  <c r="AI670" i="1"/>
  <c r="AJ670" i="1"/>
  <c r="AK670" i="1"/>
  <c r="C671" i="1"/>
  <c r="H671" i="1"/>
  <c r="I671" i="1"/>
  <c r="J671" i="1"/>
  <c r="K671" i="1"/>
  <c r="M671" i="1"/>
  <c r="P671" i="1"/>
  <c r="R671" i="1"/>
  <c r="S671" i="1"/>
  <c r="T671" i="1"/>
  <c r="U671" i="1"/>
  <c r="X671" i="1"/>
  <c r="Y671" i="1"/>
  <c r="Z671" i="1"/>
  <c r="AA671" i="1"/>
  <c r="AB671" i="1"/>
  <c r="AC671" i="1"/>
  <c r="AD671" i="1"/>
  <c r="AE671" i="1"/>
  <c r="AF671" i="1"/>
  <c r="AG671" i="1"/>
  <c r="AH671" i="1"/>
  <c r="AI671" i="1"/>
  <c r="AJ671" i="1"/>
  <c r="AK671" i="1"/>
  <c r="C652" i="1"/>
  <c r="H652" i="1"/>
  <c r="I652" i="1"/>
  <c r="J652" i="1"/>
  <c r="K652" i="1"/>
  <c r="M652" i="1"/>
  <c r="P652" i="1"/>
  <c r="R652" i="1"/>
  <c r="S652" i="1"/>
  <c r="T652" i="1"/>
  <c r="U652" i="1"/>
  <c r="X652" i="1"/>
  <c r="Y652" i="1"/>
  <c r="Z652" i="1"/>
  <c r="AA652" i="1"/>
  <c r="AB652" i="1"/>
  <c r="AC652" i="1"/>
  <c r="AD652" i="1"/>
  <c r="AE652" i="1"/>
  <c r="AF652" i="1"/>
  <c r="AG652" i="1"/>
  <c r="AH652" i="1"/>
  <c r="AI652" i="1"/>
  <c r="AJ652" i="1"/>
  <c r="AK652" i="1"/>
  <c r="C653" i="1"/>
  <c r="H653" i="1"/>
  <c r="I653" i="1"/>
  <c r="J653" i="1"/>
  <c r="K653" i="1"/>
  <c r="M653" i="1"/>
  <c r="P653" i="1"/>
  <c r="R653" i="1"/>
  <c r="S653" i="1"/>
  <c r="T653" i="1"/>
  <c r="U653" i="1"/>
  <c r="X653" i="1"/>
  <c r="Y653" i="1"/>
  <c r="Z653" i="1"/>
  <c r="AA653" i="1"/>
  <c r="AB653" i="1"/>
  <c r="AC653" i="1"/>
  <c r="AD653" i="1"/>
  <c r="AE653" i="1"/>
  <c r="AF653" i="1"/>
  <c r="AG653" i="1"/>
  <c r="AH653" i="1"/>
  <c r="AI653" i="1"/>
  <c r="AJ653" i="1"/>
  <c r="AK653" i="1"/>
  <c r="C654" i="1"/>
  <c r="H654" i="1"/>
  <c r="I654" i="1"/>
  <c r="J654" i="1"/>
  <c r="K654" i="1"/>
  <c r="M654" i="1"/>
  <c r="P654" i="1"/>
  <c r="R654" i="1"/>
  <c r="S654" i="1"/>
  <c r="T654" i="1"/>
  <c r="U654" i="1"/>
  <c r="X654" i="1"/>
  <c r="Y654" i="1"/>
  <c r="Z654" i="1"/>
  <c r="AA654" i="1"/>
  <c r="AB654" i="1"/>
  <c r="AC654" i="1"/>
  <c r="AD654" i="1"/>
  <c r="AE654" i="1"/>
  <c r="AF654" i="1"/>
  <c r="AG654" i="1"/>
  <c r="AH654" i="1"/>
  <c r="AI654" i="1"/>
  <c r="AJ654" i="1"/>
  <c r="AK654" i="1"/>
  <c r="C655" i="1"/>
  <c r="H655" i="1"/>
  <c r="I655" i="1"/>
  <c r="J655" i="1"/>
  <c r="K655" i="1"/>
  <c r="M655" i="1"/>
  <c r="P655" i="1"/>
  <c r="R655" i="1"/>
  <c r="S655" i="1"/>
  <c r="T655" i="1"/>
  <c r="U655" i="1"/>
  <c r="X655" i="1"/>
  <c r="Y655" i="1"/>
  <c r="Z655" i="1"/>
  <c r="AA655" i="1"/>
  <c r="AB655" i="1"/>
  <c r="AC655" i="1"/>
  <c r="AD655" i="1"/>
  <c r="AE655" i="1"/>
  <c r="AF655" i="1"/>
  <c r="AG655" i="1"/>
  <c r="AH655" i="1"/>
  <c r="AI655" i="1"/>
  <c r="AJ655" i="1"/>
  <c r="AK655" i="1"/>
  <c r="C656" i="1"/>
  <c r="H656" i="1"/>
  <c r="I656" i="1"/>
  <c r="J656" i="1"/>
  <c r="K656" i="1"/>
  <c r="M656" i="1"/>
  <c r="P656" i="1"/>
  <c r="R656" i="1"/>
  <c r="S656" i="1"/>
  <c r="T656" i="1"/>
  <c r="U656" i="1"/>
  <c r="X656" i="1"/>
  <c r="Y656" i="1"/>
  <c r="Z656" i="1"/>
  <c r="AA656" i="1"/>
  <c r="AB656" i="1"/>
  <c r="AC656" i="1"/>
  <c r="AD656" i="1"/>
  <c r="AE656" i="1"/>
  <c r="AF656" i="1"/>
  <c r="AG656" i="1"/>
  <c r="AH656" i="1"/>
  <c r="AI656" i="1"/>
  <c r="AJ656" i="1"/>
  <c r="AK656" i="1"/>
  <c r="C657" i="1"/>
  <c r="H657" i="1"/>
  <c r="I657" i="1"/>
  <c r="J657" i="1"/>
  <c r="K657" i="1"/>
  <c r="M657" i="1"/>
  <c r="P657" i="1"/>
  <c r="R657" i="1"/>
  <c r="S657" i="1"/>
  <c r="T657" i="1"/>
  <c r="U657" i="1"/>
  <c r="X657" i="1"/>
  <c r="Y657" i="1"/>
  <c r="Z657" i="1"/>
  <c r="AA657" i="1"/>
  <c r="AB657" i="1"/>
  <c r="AC657" i="1"/>
  <c r="AD657" i="1"/>
  <c r="AE657" i="1"/>
  <c r="AF657" i="1"/>
  <c r="AG657" i="1"/>
  <c r="AH657" i="1"/>
  <c r="AI657" i="1"/>
  <c r="AJ657" i="1"/>
  <c r="AK657" i="1"/>
  <c r="C658" i="1"/>
  <c r="H658" i="1"/>
  <c r="I658" i="1"/>
  <c r="J658" i="1"/>
  <c r="K658" i="1"/>
  <c r="M658" i="1"/>
  <c r="P658" i="1"/>
  <c r="R658" i="1"/>
  <c r="S658" i="1"/>
  <c r="T658" i="1"/>
  <c r="U658" i="1"/>
  <c r="X658" i="1"/>
  <c r="Y658" i="1"/>
  <c r="Z658" i="1"/>
  <c r="AA658" i="1"/>
  <c r="AB658" i="1"/>
  <c r="AC658" i="1"/>
  <c r="AD658" i="1"/>
  <c r="AE658" i="1"/>
  <c r="AF658" i="1"/>
  <c r="AG658" i="1"/>
  <c r="AH658" i="1"/>
  <c r="AI658" i="1"/>
  <c r="AJ658" i="1"/>
  <c r="AK658" i="1"/>
  <c r="C659" i="1"/>
  <c r="H659" i="1"/>
  <c r="I659" i="1"/>
  <c r="J659" i="1"/>
  <c r="K659" i="1"/>
  <c r="M659" i="1"/>
  <c r="P659" i="1"/>
  <c r="R659" i="1"/>
  <c r="S659" i="1"/>
  <c r="T659" i="1"/>
  <c r="U659" i="1"/>
  <c r="X659" i="1"/>
  <c r="Y659" i="1"/>
  <c r="Z659" i="1"/>
  <c r="AA659" i="1"/>
  <c r="AB659" i="1"/>
  <c r="AC659" i="1"/>
  <c r="AD659" i="1"/>
  <c r="AE659" i="1"/>
  <c r="AF659" i="1"/>
  <c r="AG659" i="1"/>
  <c r="AH659" i="1"/>
  <c r="AI659" i="1"/>
  <c r="AJ659" i="1"/>
  <c r="AK659" i="1"/>
  <c r="C660" i="1"/>
  <c r="H660" i="1"/>
  <c r="I660" i="1"/>
  <c r="J660" i="1"/>
  <c r="K660" i="1"/>
  <c r="M660" i="1"/>
  <c r="P660" i="1"/>
  <c r="R660" i="1"/>
  <c r="S660" i="1"/>
  <c r="T660" i="1"/>
  <c r="U660" i="1"/>
  <c r="X660" i="1"/>
  <c r="Y660" i="1"/>
  <c r="Z660" i="1"/>
  <c r="AA660" i="1"/>
  <c r="AB660" i="1"/>
  <c r="AC660" i="1"/>
  <c r="AD660" i="1"/>
  <c r="AE660" i="1"/>
  <c r="AF660" i="1"/>
  <c r="AG660" i="1"/>
  <c r="AH660" i="1"/>
  <c r="AI660" i="1"/>
  <c r="AJ660" i="1"/>
  <c r="AK660" i="1"/>
  <c r="C661" i="1"/>
  <c r="H661" i="1"/>
  <c r="I661" i="1"/>
  <c r="J661" i="1"/>
  <c r="K661" i="1"/>
  <c r="M661" i="1"/>
  <c r="P661" i="1"/>
  <c r="R661" i="1"/>
  <c r="S661" i="1"/>
  <c r="T661" i="1"/>
  <c r="U661" i="1"/>
  <c r="X661" i="1"/>
  <c r="Y661" i="1"/>
  <c r="Z661" i="1"/>
  <c r="AA661" i="1"/>
  <c r="AB661" i="1"/>
  <c r="AC661" i="1"/>
  <c r="AD661" i="1"/>
  <c r="AE661" i="1"/>
  <c r="AF661" i="1"/>
  <c r="AG661" i="1"/>
  <c r="AH661" i="1"/>
  <c r="AI661" i="1"/>
  <c r="AJ661" i="1"/>
  <c r="AK661" i="1"/>
  <c r="C642" i="1"/>
  <c r="H642" i="1"/>
  <c r="I642" i="1"/>
  <c r="J642" i="1"/>
  <c r="K642" i="1"/>
  <c r="M642" i="1"/>
  <c r="P642" i="1"/>
  <c r="R642" i="1"/>
  <c r="S642" i="1"/>
  <c r="T642" i="1"/>
  <c r="U642" i="1"/>
  <c r="X642" i="1"/>
  <c r="Y642" i="1"/>
  <c r="Z642" i="1"/>
  <c r="AA642" i="1"/>
  <c r="AB642" i="1"/>
  <c r="AC642" i="1"/>
  <c r="AD642" i="1"/>
  <c r="AE642" i="1"/>
  <c r="AF642" i="1"/>
  <c r="AG642" i="1"/>
  <c r="AH642" i="1"/>
  <c r="AI642" i="1"/>
  <c r="AJ642" i="1"/>
  <c r="AK642" i="1"/>
  <c r="C643" i="1"/>
  <c r="H643" i="1"/>
  <c r="I643" i="1"/>
  <c r="J643" i="1"/>
  <c r="K643" i="1"/>
  <c r="M643" i="1"/>
  <c r="P643" i="1"/>
  <c r="R643" i="1"/>
  <c r="S643" i="1"/>
  <c r="T643" i="1"/>
  <c r="U643" i="1"/>
  <c r="X643" i="1"/>
  <c r="Y643" i="1"/>
  <c r="Z643" i="1"/>
  <c r="AA643" i="1"/>
  <c r="AB643" i="1"/>
  <c r="AC643" i="1"/>
  <c r="AD643" i="1"/>
  <c r="AE643" i="1"/>
  <c r="AF643" i="1"/>
  <c r="AG643" i="1"/>
  <c r="AH643" i="1"/>
  <c r="AI643" i="1"/>
  <c r="AJ643" i="1"/>
  <c r="AK643" i="1"/>
  <c r="C644" i="1"/>
  <c r="H644" i="1"/>
  <c r="I644" i="1"/>
  <c r="J644" i="1"/>
  <c r="K644" i="1"/>
  <c r="M644" i="1"/>
  <c r="P644" i="1"/>
  <c r="R644" i="1"/>
  <c r="S644" i="1"/>
  <c r="T644" i="1"/>
  <c r="U644" i="1"/>
  <c r="X644" i="1"/>
  <c r="Y644" i="1"/>
  <c r="Z644" i="1"/>
  <c r="AA644" i="1"/>
  <c r="AB644" i="1"/>
  <c r="AC644" i="1"/>
  <c r="AD644" i="1"/>
  <c r="AE644" i="1"/>
  <c r="AF644" i="1"/>
  <c r="AG644" i="1"/>
  <c r="AH644" i="1"/>
  <c r="AI644" i="1"/>
  <c r="AJ644" i="1"/>
  <c r="AK644" i="1"/>
  <c r="C645" i="1"/>
  <c r="H645" i="1"/>
  <c r="I645" i="1"/>
  <c r="J645" i="1"/>
  <c r="K645" i="1"/>
  <c r="M645" i="1"/>
  <c r="P645" i="1"/>
  <c r="R645" i="1"/>
  <c r="S645" i="1"/>
  <c r="T645" i="1"/>
  <c r="U645" i="1"/>
  <c r="X645" i="1"/>
  <c r="Y645" i="1"/>
  <c r="Z645" i="1"/>
  <c r="AA645" i="1"/>
  <c r="AB645" i="1"/>
  <c r="AC645" i="1"/>
  <c r="AD645" i="1"/>
  <c r="AE645" i="1"/>
  <c r="AF645" i="1"/>
  <c r="AG645" i="1"/>
  <c r="AH645" i="1"/>
  <c r="AI645" i="1"/>
  <c r="AJ645" i="1"/>
  <c r="AK645" i="1"/>
  <c r="C646" i="1"/>
  <c r="H646" i="1"/>
  <c r="I646" i="1"/>
  <c r="J646" i="1"/>
  <c r="K646" i="1"/>
  <c r="M646" i="1"/>
  <c r="P646" i="1"/>
  <c r="R646" i="1"/>
  <c r="S646" i="1"/>
  <c r="T646" i="1"/>
  <c r="U646" i="1"/>
  <c r="X646" i="1"/>
  <c r="Y646" i="1"/>
  <c r="Z646" i="1"/>
  <c r="AA646" i="1"/>
  <c r="AB646" i="1"/>
  <c r="AC646" i="1"/>
  <c r="AD646" i="1"/>
  <c r="AE646" i="1"/>
  <c r="AF646" i="1"/>
  <c r="AG646" i="1"/>
  <c r="AH646" i="1"/>
  <c r="AI646" i="1"/>
  <c r="AJ646" i="1"/>
  <c r="AK646" i="1"/>
  <c r="C647" i="1"/>
  <c r="H647" i="1"/>
  <c r="I647" i="1"/>
  <c r="J647" i="1"/>
  <c r="K647" i="1"/>
  <c r="M647" i="1"/>
  <c r="P647" i="1"/>
  <c r="R647" i="1"/>
  <c r="S647" i="1"/>
  <c r="T647" i="1"/>
  <c r="U647" i="1"/>
  <c r="X647" i="1"/>
  <c r="Y647" i="1"/>
  <c r="Z647" i="1"/>
  <c r="AA647" i="1"/>
  <c r="AB647" i="1"/>
  <c r="AC647" i="1"/>
  <c r="AD647" i="1"/>
  <c r="AE647" i="1"/>
  <c r="AF647" i="1"/>
  <c r="AG647" i="1"/>
  <c r="AH647" i="1"/>
  <c r="AI647" i="1"/>
  <c r="AJ647" i="1"/>
  <c r="AK647" i="1"/>
  <c r="C648" i="1"/>
  <c r="H648" i="1"/>
  <c r="I648" i="1"/>
  <c r="J648" i="1"/>
  <c r="K648" i="1"/>
  <c r="M648" i="1"/>
  <c r="P648" i="1"/>
  <c r="R648" i="1"/>
  <c r="S648" i="1"/>
  <c r="T648" i="1"/>
  <c r="U648" i="1"/>
  <c r="X648" i="1"/>
  <c r="Y648" i="1"/>
  <c r="Z648" i="1"/>
  <c r="AA648" i="1"/>
  <c r="AB648" i="1"/>
  <c r="AC648" i="1"/>
  <c r="AD648" i="1"/>
  <c r="AE648" i="1"/>
  <c r="AF648" i="1"/>
  <c r="AG648" i="1"/>
  <c r="AH648" i="1"/>
  <c r="AI648" i="1"/>
  <c r="AJ648" i="1"/>
  <c r="AK648" i="1"/>
  <c r="C649" i="1"/>
  <c r="H649" i="1"/>
  <c r="I649" i="1"/>
  <c r="J649" i="1"/>
  <c r="K649" i="1"/>
  <c r="M649" i="1"/>
  <c r="P649" i="1"/>
  <c r="R649" i="1"/>
  <c r="S649" i="1"/>
  <c r="T649" i="1"/>
  <c r="U649" i="1"/>
  <c r="X649" i="1"/>
  <c r="Y649" i="1"/>
  <c r="Z649" i="1"/>
  <c r="AA649" i="1"/>
  <c r="AB649" i="1"/>
  <c r="AC649" i="1"/>
  <c r="AD649" i="1"/>
  <c r="AE649" i="1"/>
  <c r="AF649" i="1"/>
  <c r="AG649" i="1"/>
  <c r="AH649" i="1"/>
  <c r="AI649" i="1"/>
  <c r="AJ649" i="1"/>
  <c r="AK649" i="1"/>
  <c r="C650" i="1"/>
  <c r="H650" i="1"/>
  <c r="I650" i="1"/>
  <c r="J650" i="1"/>
  <c r="K650" i="1"/>
  <c r="M650" i="1"/>
  <c r="P650" i="1"/>
  <c r="R650" i="1"/>
  <c r="S650" i="1"/>
  <c r="T650" i="1"/>
  <c r="U650" i="1"/>
  <c r="X650" i="1"/>
  <c r="Y650" i="1"/>
  <c r="Z650" i="1"/>
  <c r="AA650" i="1"/>
  <c r="AB650" i="1"/>
  <c r="AC650" i="1"/>
  <c r="AD650" i="1"/>
  <c r="AE650" i="1"/>
  <c r="AF650" i="1"/>
  <c r="AG650" i="1"/>
  <c r="AH650" i="1"/>
  <c r="AI650" i="1"/>
  <c r="AJ650" i="1"/>
  <c r="AK650" i="1"/>
  <c r="C651" i="1"/>
  <c r="H651" i="1"/>
  <c r="I651" i="1"/>
  <c r="J651" i="1"/>
  <c r="K651" i="1"/>
  <c r="M651" i="1"/>
  <c r="P651" i="1"/>
  <c r="R651" i="1"/>
  <c r="S651" i="1"/>
  <c r="T651" i="1"/>
  <c r="U651" i="1"/>
  <c r="X651" i="1"/>
  <c r="Y651" i="1"/>
  <c r="Z651" i="1"/>
  <c r="AA651" i="1"/>
  <c r="AB651" i="1"/>
  <c r="AC651" i="1"/>
  <c r="AD651" i="1"/>
  <c r="AE651" i="1"/>
  <c r="AF651" i="1"/>
  <c r="AG651" i="1"/>
  <c r="AH651" i="1"/>
  <c r="AI651" i="1"/>
  <c r="AJ651" i="1"/>
  <c r="AK651" i="1"/>
  <c r="C632" i="1"/>
  <c r="H632" i="1"/>
  <c r="I632" i="1"/>
  <c r="J632" i="1"/>
  <c r="K632" i="1"/>
  <c r="M632" i="1"/>
  <c r="P632" i="1"/>
  <c r="R632" i="1"/>
  <c r="S632" i="1"/>
  <c r="T632" i="1"/>
  <c r="U632" i="1"/>
  <c r="X632" i="1"/>
  <c r="Y632" i="1"/>
  <c r="Z632" i="1"/>
  <c r="AA632" i="1"/>
  <c r="AB632" i="1"/>
  <c r="AC632" i="1"/>
  <c r="AD632" i="1"/>
  <c r="AE632" i="1"/>
  <c r="AF632" i="1"/>
  <c r="AG632" i="1"/>
  <c r="AH632" i="1"/>
  <c r="AI632" i="1"/>
  <c r="AJ632" i="1"/>
  <c r="AK632" i="1"/>
  <c r="C633" i="1"/>
  <c r="H633" i="1"/>
  <c r="I633" i="1"/>
  <c r="J633" i="1"/>
  <c r="K633" i="1"/>
  <c r="M633" i="1"/>
  <c r="P633" i="1"/>
  <c r="R633" i="1"/>
  <c r="S633" i="1"/>
  <c r="T633" i="1"/>
  <c r="U633" i="1"/>
  <c r="X633" i="1"/>
  <c r="Y633" i="1"/>
  <c r="Z633" i="1"/>
  <c r="AA633" i="1"/>
  <c r="AB633" i="1"/>
  <c r="AC633" i="1"/>
  <c r="AD633" i="1"/>
  <c r="AE633" i="1"/>
  <c r="AF633" i="1"/>
  <c r="AG633" i="1"/>
  <c r="AH633" i="1"/>
  <c r="AI633" i="1"/>
  <c r="AJ633" i="1"/>
  <c r="AK633" i="1"/>
  <c r="C634" i="1"/>
  <c r="H634" i="1"/>
  <c r="I634" i="1"/>
  <c r="J634" i="1"/>
  <c r="K634" i="1"/>
  <c r="M634" i="1"/>
  <c r="P634" i="1"/>
  <c r="R634" i="1"/>
  <c r="S634" i="1"/>
  <c r="T634" i="1"/>
  <c r="U634" i="1"/>
  <c r="X634" i="1"/>
  <c r="Y634" i="1"/>
  <c r="Z634" i="1"/>
  <c r="AA634" i="1"/>
  <c r="AB634" i="1"/>
  <c r="AC634" i="1"/>
  <c r="AD634" i="1"/>
  <c r="AE634" i="1"/>
  <c r="AF634" i="1"/>
  <c r="AG634" i="1"/>
  <c r="AH634" i="1"/>
  <c r="AI634" i="1"/>
  <c r="AJ634" i="1"/>
  <c r="AK634" i="1"/>
  <c r="C635" i="1"/>
  <c r="H635" i="1"/>
  <c r="I635" i="1"/>
  <c r="J635" i="1"/>
  <c r="K635" i="1"/>
  <c r="M635" i="1"/>
  <c r="P635" i="1"/>
  <c r="R635" i="1"/>
  <c r="S635" i="1"/>
  <c r="T635" i="1"/>
  <c r="U635" i="1"/>
  <c r="X635" i="1"/>
  <c r="Y635" i="1"/>
  <c r="Z635" i="1"/>
  <c r="AA635" i="1"/>
  <c r="AB635" i="1"/>
  <c r="AC635" i="1"/>
  <c r="AD635" i="1"/>
  <c r="AE635" i="1"/>
  <c r="AF635" i="1"/>
  <c r="AG635" i="1"/>
  <c r="AH635" i="1"/>
  <c r="AI635" i="1"/>
  <c r="AJ635" i="1"/>
  <c r="AK635" i="1"/>
  <c r="C636" i="1"/>
  <c r="H636" i="1"/>
  <c r="I636" i="1"/>
  <c r="J636" i="1"/>
  <c r="K636" i="1"/>
  <c r="M636" i="1"/>
  <c r="P636" i="1"/>
  <c r="R636" i="1"/>
  <c r="S636" i="1"/>
  <c r="T636" i="1"/>
  <c r="U636" i="1"/>
  <c r="X636" i="1"/>
  <c r="Y636" i="1"/>
  <c r="Z636" i="1"/>
  <c r="AA636" i="1"/>
  <c r="AB636" i="1"/>
  <c r="AC636" i="1"/>
  <c r="AD636" i="1"/>
  <c r="AE636" i="1"/>
  <c r="AF636" i="1"/>
  <c r="AG636" i="1"/>
  <c r="AH636" i="1"/>
  <c r="AI636" i="1"/>
  <c r="AJ636" i="1"/>
  <c r="AK636" i="1"/>
  <c r="C637" i="1"/>
  <c r="H637" i="1"/>
  <c r="I637" i="1"/>
  <c r="J637" i="1"/>
  <c r="K637" i="1"/>
  <c r="M637" i="1"/>
  <c r="P637" i="1"/>
  <c r="R637" i="1"/>
  <c r="S637" i="1"/>
  <c r="T637" i="1"/>
  <c r="U637" i="1"/>
  <c r="X637" i="1"/>
  <c r="Y637" i="1"/>
  <c r="Z637" i="1"/>
  <c r="AA637" i="1"/>
  <c r="AB637" i="1"/>
  <c r="AC637" i="1"/>
  <c r="AD637" i="1"/>
  <c r="AE637" i="1"/>
  <c r="AF637" i="1"/>
  <c r="AG637" i="1"/>
  <c r="AH637" i="1"/>
  <c r="AI637" i="1"/>
  <c r="AJ637" i="1"/>
  <c r="AK637" i="1"/>
  <c r="C638" i="1"/>
  <c r="H638" i="1"/>
  <c r="I638" i="1"/>
  <c r="J638" i="1"/>
  <c r="K638" i="1"/>
  <c r="M638" i="1"/>
  <c r="P638" i="1"/>
  <c r="R638" i="1"/>
  <c r="S638" i="1"/>
  <c r="T638" i="1"/>
  <c r="U638" i="1"/>
  <c r="X638" i="1"/>
  <c r="Y638" i="1"/>
  <c r="Z638" i="1"/>
  <c r="AA638" i="1"/>
  <c r="AB638" i="1"/>
  <c r="AC638" i="1"/>
  <c r="AD638" i="1"/>
  <c r="AE638" i="1"/>
  <c r="AF638" i="1"/>
  <c r="AG638" i="1"/>
  <c r="AH638" i="1"/>
  <c r="AI638" i="1"/>
  <c r="AJ638" i="1"/>
  <c r="AK638" i="1"/>
  <c r="C639" i="1"/>
  <c r="H639" i="1"/>
  <c r="I639" i="1"/>
  <c r="J639" i="1"/>
  <c r="K639" i="1"/>
  <c r="M639" i="1"/>
  <c r="P639" i="1"/>
  <c r="R639" i="1"/>
  <c r="S639" i="1"/>
  <c r="T639" i="1"/>
  <c r="U639" i="1"/>
  <c r="X639" i="1"/>
  <c r="Y639" i="1"/>
  <c r="Z639" i="1"/>
  <c r="AA639" i="1"/>
  <c r="AB639" i="1"/>
  <c r="AC639" i="1"/>
  <c r="AD639" i="1"/>
  <c r="AE639" i="1"/>
  <c r="AF639" i="1"/>
  <c r="AG639" i="1"/>
  <c r="AH639" i="1"/>
  <c r="AI639" i="1"/>
  <c r="AJ639" i="1"/>
  <c r="AK639" i="1"/>
  <c r="C640" i="1"/>
  <c r="H640" i="1"/>
  <c r="I640" i="1"/>
  <c r="J640" i="1"/>
  <c r="K640" i="1"/>
  <c r="M640" i="1"/>
  <c r="P640" i="1"/>
  <c r="R640" i="1"/>
  <c r="S640" i="1"/>
  <c r="T640" i="1"/>
  <c r="U640" i="1"/>
  <c r="X640" i="1"/>
  <c r="Y640" i="1"/>
  <c r="Z640" i="1"/>
  <c r="AA640" i="1"/>
  <c r="AB640" i="1"/>
  <c r="AC640" i="1"/>
  <c r="AD640" i="1"/>
  <c r="AE640" i="1"/>
  <c r="AF640" i="1"/>
  <c r="AG640" i="1"/>
  <c r="AH640" i="1"/>
  <c r="AI640" i="1"/>
  <c r="AJ640" i="1"/>
  <c r="AK640" i="1"/>
  <c r="C641" i="1"/>
  <c r="H641" i="1"/>
  <c r="I641" i="1"/>
  <c r="J641" i="1"/>
  <c r="K641" i="1"/>
  <c r="M641" i="1"/>
  <c r="P641" i="1"/>
  <c r="R641" i="1"/>
  <c r="S641" i="1"/>
  <c r="T641" i="1"/>
  <c r="U641" i="1"/>
  <c r="X641" i="1"/>
  <c r="Y641" i="1"/>
  <c r="Z641" i="1"/>
  <c r="AA641" i="1"/>
  <c r="AB641" i="1"/>
  <c r="AC641" i="1"/>
  <c r="AD641" i="1"/>
  <c r="AE641" i="1"/>
  <c r="AF641" i="1"/>
  <c r="AG641" i="1"/>
  <c r="AH641" i="1"/>
  <c r="AI641" i="1"/>
  <c r="AJ641" i="1"/>
  <c r="AK641" i="1"/>
  <c r="C622" i="1"/>
  <c r="H622" i="1"/>
  <c r="I622" i="1"/>
  <c r="J622" i="1"/>
  <c r="K622" i="1"/>
  <c r="M622" i="1"/>
  <c r="P622" i="1"/>
  <c r="R622" i="1"/>
  <c r="S622" i="1"/>
  <c r="T622" i="1"/>
  <c r="U622" i="1"/>
  <c r="X622" i="1"/>
  <c r="Y622" i="1"/>
  <c r="Z622" i="1"/>
  <c r="AA622" i="1"/>
  <c r="AB622" i="1"/>
  <c r="AC622" i="1"/>
  <c r="AD622" i="1"/>
  <c r="AE622" i="1"/>
  <c r="AF622" i="1"/>
  <c r="AG622" i="1"/>
  <c r="AH622" i="1"/>
  <c r="AI622" i="1"/>
  <c r="AJ622" i="1"/>
  <c r="AK622" i="1"/>
  <c r="C623" i="1"/>
  <c r="H623" i="1"/>
  <c r="I623" i="1"/>
  <c r="J623" i="1"/>
  <c r="K623" i="1"/>
  <c r="M623" i="1"/>
  <c r="P623" i="1"/>
  <c r="R623" i="1"/>
  <c r="S623" i="1"/>
  <c r="T623" i="1"/>
  <c r="U623" i="1"/>
  <c r="X623" i="1"/>
  <c r="Y623" i="1"/>
  <c r="Z623" i="1"/>
  <c r="AA623" i="1"/>
  <c r="AB623" i="1"/>
  <c r="AC623" i="1"/>
  <c r="AD623" i="1"/>
  <c r="AE623" i="1"/>
  <c r="AF623" i="1"/>
  <c r="AG623" i="1"/>
  <c r="AH623" i="1"/>
  <c r="AI623" i="1"/>
  <c r="AJ623" i="1"/>
  <c r="AK623" i="1"/>
  <c r="C624" i="1"/>
  <c r="H624" i="1"/>
  <c r="I624" i="1"/>
  <c r="J624" i="1"/>
  <c r="K624" i="1"/>
  <c r="M624" i="1"/>
  <c r="P624" i="1"/>
  <c r="R624" i="1"/>
  <c r="S624" i="1"/>
  <c r="T624" i="1"/>
  <c r="U624" i="1"/>
  <c r="X624" i="1"/>
  <c r="Y624" i="1"/>
  <c r="Z624" i="1"/>
  <c r="AA624" i="1"/>
  <c r="AB624" i="1"/>
  <c r="AC624" i="1"/>
  <c r="AD624" i="1"/>
  <c r="AE624" i="1"/>
  <c r="AF624" i="1"/>
  <c r="AG624" i="1"/>
  <c r="AH624" i="1"/>
  <c r="AI624" i="1"/>
  <c r="AJ624" i="1"/>
  <c r="AK624" i="1"/>
  <c r="C625" i="1"/>
  <c r="H625" i="1"/>
  <c r="I625" i="1"/>
  <c r="J625" i="1"/>
  <c r="K625" i="1"/>
  <c r="M625" i="1"/>
  <c r="P625" i="1"/>
  <c r="R625" i="1"/>
  <c r="S625" i="1"/>
  <c r="T625" i="1"/>
  <c r="U625" i="1"/>
  <c r="X625" i="1"/>
  <c r="Y625" i="1"/>
  <c r="Z625" i="1"/>
  <c r="AA625" i="1"/>
  <c r="AB625" i="1"/>
  <c r="AC625" i="1"/>
  <c r="AD625" i="1"/>
  <c r="AE625" i="1"/>
  <c r="AF625" i="1"/>
  <c r="AG625" i="1"/>
  <c r="AH625" i="1"/>
  <c r="AI625" i="1"/>
  <c r="AJ625" i="1"/>
  <c r="AK625" i="1"/>
  <c r="C626" i="1"/>
  <c r="H626" i="1"/>
  <c r="I626" i="1"/>
  <c r="J626" i="1"/>
  <c r="K626" i="1"/>
  <c r="M626" i="1"/>
  <c r="P626" i="1"/>
  <c r="R626" i="1"/>
  <c r="S626" i="1"/>
  <c r="T626" i="1"/>
  <c r="U626" i="1"/>
  <c r="X626" i="1"/>
  <c r="Y626" i="1"/>
  <c r="Z626" i="1"/>
  <c r="AA626" i="1"/>
  <c r="AB626" i="1"/>
  <c r="AC626" i="1"/>
  <c r="AD626" i="1"/>
  <c r="AE626" i="1"/>
  <c r="AF626" i="1"/>
  <c r="AG626" i="1"/>
  <c r="AH626" i="1"/>
  <c r="AI626" i="1"/>
  <c r="AJ626" i="1"/>
  <c r="AK626" i="1"/>
  <c r="C627" i="1"/>
  <c r="H627" i="1"/>
  <c r="I627" i="1"/>
  <c r="J627" i="1"/>
  <c r="K627" i="1"/>
  <c r="M627" i="1"/>
  <c r="P627" i="1"/>
  <c r="R627" i="1"/>
  <c r="S627" i="1"/>
  <c r="T627" i="1"/>
  <c r="U627" i="1"/>
  <c r="X627" i="1"/>
  <c r="Y627" i="1"/>
  <c r="Z627" i="1"/>
  <c r="AA627" i="1"/>
  <c r="AB627" i="1"/>
  <c r="AC627" i="1"/>
  <c r="AD627" i="1"/>
  <c r="AE627" i="1"/>
  <c r="AF627" i="1"/>
  <c r="AG627" i="1"/>
  <c r="AH627" i="1"/>
  <c r="AI627" i="1"/>
  <c r="AJ627" i="1"/>
  <c r="AK627" i="1"/>
  <c r="C628" i="1"/>
  <c r="H628" i="1"/>
  <c r="I628" i="1"/>
  <c r="J628" i="1"/>
  <c r="K628" i="1"/>
  <c r="M628" i="1"/>
  <c r="P628" i="1"/>
  <c r="R628" i="1"/>
  <c r="S628" i="1"/>
  <c r="T628" i="1"/>
  <c r="U628" i="1"/>
  <c r="X628" i="1"/>
  <c r="Y628" i="1"/>
  <c r="Z628" i="1"/>
  <c r="AA628" i="1"/>
  <c r="AB628" i="1"/>
  <c r="AC628" i="1"/>
  <c r="AD628" i="1"/>
  <c r="AE628" i="1"/>
  <c r="AF628" i="1"/>
  <c r="AG628" i="1"/>
  <c r="AH628" i="1"/>
  <c r="AI628" i="1"/>
  <c r="AJ628" i="1"/>
  <c r="AK628" i="1"/>
  <c r="C629" i="1"/>
  <c r="H629" i="1"/>
  <c r="I629" i="1"/>
  <c r="J629" i="1"/>
  <c r="K629" i="1"/>
  <c r="M629" i="1"/>
  <c r="P629" i="1"/>
  <c r="R629" i="1"/>
  <c r="S629" i="1"/>
  <c r="T629" i="1"/>
  <c r="U629" i="1"/>
  <c r="X629" i="1"/>
  <c r="Y629" i="1"/>
  <c r="Z629" i="1"/>
  <c r="AA629" i="1"/>
  <c r="AB629" i="1"/>
  <c r="AC629" i="1"/>
  <c r="AD629" i="1"/>
  <c r="AE629" i="1"/>
  <c r="AF629" i="1"/>
  <c r="AG629" i="1"/>
  <c r="AH629" i="1"/>
  <c r="AI629" i="1"/>
  <c r="AJ629" i="1"/>
  <c r="AK629" i="1"/>
  <c r="C630" i="1"/>
  <c r="H630" i="1"/>
  <c r="I630" i="1"/>
  <c r="J630" i="1"/>
  <c r="K630" i="1"/>
  <c r="M630" i="1"/>
  <c r="P630" i="1"/>
  <c r="R630" i="1"/>
  <c r="S630" i="1"/>
  <c r="T630" i="1"/>
  <c r="U630" i="1"/>
  <c r="X630" i="1"/>
  <c r="Y630" i="1"/>
  <c r="Z630" i="1"/>
  <c r="AA630" i="1"/>
  <c r="AB630" i="1"/>
  <c r="AC630" i="1"/>
  <c r="AD630" i="1"/>
  <c r="AE630" i="1"/>
  <c r="AF630" i="1"/>
  <c r="AG630" i="1"/>
  <c r="AH630" i="1"/>
  <c r="AI630" i="1"/>
  <c r="AJ630" i="1"/>
  <c r="AK630" i="1"/>
  <c r="C631" i="1"/>
  <c r="H631" i="1"/>
  <c r="I631" i="1"/>
  <c r="J631" i="1"/>
  <c r="K631" i="1"/>
  <c r="M631" i="1"/>
  <c r="P631" i="1"/>
  <c r="R631" i="1"/>
  <c r="S631" i="1"/>
  <c r="T631" i="1"/>
  <c r="U631" i="1"/>
  <c r="X631" i="1"/>
  <c r="Y631" i="1"/>
  <c r="Z631" i="1"/>
  <c r="AA631" i="1"/>
  <c r="AB631" i="1"/>
  <c r="AC631" i="1"/>
  <c r="AD631" i="1"/>
  <c r="AE631" i="1"/>
  <c r="AF631" i="1"/>
  <c r="AG631" i="1"/>
  <c r="AH631" i="1"/>
  <c r="AI631" i="1"/>
  <c r="AJ631" i="1"/>
  <c r="AK631" i="1"/>
  <c r="C612" i="1"/>
  <c r="H612" i="1"/>
  <c r="I612" i="1"/>
  <c r="J612" i="1"/>
  <c r="K612" i="1"/>
  <c r="M612" i="1"/>
  <c r="P612" i="1"/>
  <c r="R612" i="1"/>
  <c r="S612" i="1"/>
  <c r="T612" i="1"/>
  <c r="U612" i="1"/>
  <c r="X612" i="1"/>
  <c r="Y612" i="1"/>
  <c r="Z612" i="1"/>
  <c r="AA612" i="1"/>
  <c r="AB612" i="1"/>
  <c r="AC612" i="1"/>
  <c r="AD612" i="1"/>
  <c r="AE612" i="1"/>
  <c r="AF612" i="1"/>
  <c r="AG612" i="1"/>
  <c r="AH612" i="1"/>
  <c r="AI612" i="1"/>
  <c r="AJ612" i="1"/>
  <c r="AK612" i="1"/>
  <c r="C613" i="1"/>
  <c r="H613" i="1"/>
  <c r="I613" i="1"/>
  <c r="J613" i="1"/>
  <c r="K613" i="1"/>
  <c r="M613" i="1"/>
  <c r="P613" i="1"/>
  <c r="R613" i="1"/>
  <c r="S613" i="1"/>
  <c r="T613" i="1"/>
  <c r="U613" i="1"/>
  <c r="X613" i="1"/>
  <c r="Y613" i="1"/>
  <c r="Z613" i="1"/>
  <c r="AA613" i="1"/>
  <c r="AB613" i="1"/>
  <c r="AC613" i="1"/>
  <c r="AD613" i="1"/>
  <c r="AE613" i="1"/>
  <c r="AF613" i="1"/>
  <c r="AG613" i="1"/>
  <c r="AH613" i="1"/>
  <c r="AI613" i="1"/>
  <c r="AJ613" i="1"/>
  <c r="AK613" i="1"/>
  <c r="C614" i="1"/>
  <c r="H614" i="1"/>
  <c r="I614" i="1"/>
  <c r="J614" i="1"/>
  <c r="K614" i="1"/>
  <c r="M614" i="1"/>
  <c r="P614" i="1"/>
  <c r="R614" i="1"/>
  <c r="S614" i="1"/>
  <c r="T614" i="1"/>
  <c r="U614" i="1"/>
  <c r="X614" i="1"/>
  <c r="Y614" i="1"/>
  <c r="Z614" i="1"/>
  <c r="AA614" i="1"/>
  <c r="AB614" i="1"/>
  <c r="AC614" i="1"/>
  <c r="AD614" i="1"/>
  <c r="AE614" i="1"/>
  <c r="AF614" i="1"/>
  <c r="AG614" i="1"/>
  <c r="AH614" i="1"/>
  <c r="AI614" i="1"/>
  <c r="AJ614" i="1"/>
  <c r="AK614" i="1"/>
  <c r="C615" i="1"/>
  <c r="H615" i="1"/>
  <c r="I615" i="1"/>
  <c r="J615" i="1"/>
  <c r="K615" i="1"/>
  <c r="M615" i="1"/>
  <c r="P615" i="1"/>
  <c r="R615" i="1"/>
  <c r="S615" i="1"/>
  <c r="T615" i="1"/>
  <c r="U615" i="1"/>
  <c r="X615" i="1"/>
  <c r="Y615" i="1"/>
  <c r="Z615" i="1"/>
  <c r="AA615" i="1"/>
  <c r="AB615" i="1"/>
  <c r="AC615" i="1"/>
  <c r="AD615" i="1"/>
  <c r="AE615" i="1"/>
  <c r="AF615" i="1"/>
  <c r="AG615" i="1"/>
  <c r="AH615" i="1"/>
  <c r="AI615" i="1"/>
  <c r="AJ615" i="1"/>
  <c r="AK615" i="1"/>
  <c r="C616" i="1"/>
  <c r="H616" i="1"/>
  <c r="I616" i="1"/>
  <c r="J616" i="1"/>
  <c r="K616" i="1"/>
  <c r="M616" i="1"/>
  <c r="P616" i="1"/>
  <c r="R616" i="1"/>
  <c r="S616" i="1"/>
  <c r="T616" i="1"/>
  <c r="U616" i="1"/>
  <c r="X616" i="1"/>
  <c r="Y616" i="1"/>
  <c r="Z616" i="1"/>
  <c r="AA616" i="1"/>
  <c r="AB616" i="1"/>
  <c r="AC616" i="1"/>
  <c r="AD616" i="1"/>
  <c r="AE616" i="1"/>
  <c r="AF616" i="1"/>
  <c r="AG616" i="1"/>
  <c r="AH616" i="1"/>
  <c r="AI616" i="1"/>
  <c r="AJ616" i="1"/>
  <c r="AK616" i="1"/>
  <c r="C617" i="1"/>
  <c r="H617" i="1"/>
  <c r="I617" i="1"/>
  <c r="J617" i="1"/>
  <c r="K617" i="1"/>
  <c r="M617" i="1"/>
  <c r="P617" i="1"/>
  <c r="R617" i="1"/>
  <c r="S617" i="1"/>
  <c r="T617" i="1"/>
  <c r="U617" i="1"/>
  <c r="X617" i="1"/>
  <c r="Y617" i="1"/>
  <c r="Z617" i="1"/>
  <c r="AA617" i="1"/>
  <c r="AB617" i="1"/>
  <c r="AC617" i="1"/>
  <c r="AD617" i="1"/>
  <c r="AE617" i="1"/>
  <c r="AF617" i="1"/>
  <c r="AG617" i="1"/>
  <c r="AH617" i="1"/>
  <c r="AI617" i="1"/>
  <c r="AJ617" i="1"/>
  <c r="AK617" i="1"/>
  <c r="C618" i="1"/>
  <c r="H618" i="1"/>
  <c r="I618" i="1"/>
  <c r="J618" i="1"/>
  <c r="K618" i="1"/>
  <c r="M618" i="1"/>
  <c r="P618" i="1"/>
  <c r="R618" i="1"/>
  <c r="S618" i="1"/>
  <c r="T618" i="1"/>
  <c r="U618" i="1"/>
  <c r="X618" i="1"/>
  <c r="Y618" i="1"/>
  <c r="Z618" i="1"/>
  <c r="AA618" i="1"/>
  <c r="AB618" i="1"/>
  <c r="AC618" i="1"/>
  <c r="AD618" i="1"/>
  <c r="AE618" i="1"/>
  <c r="AF618" i="1"/>
  <c r="AG618" i="1"/>
  <c r="AH618" i="1"/>
  <c r="AI618" i="1"/>
  <c r="AJ618" i="1"/>
  <c r="AK618" i="1"/>
  <c r="C619" i="1"/>
  <c r="H619" i="1"/>
  <c r="I619" i="1"/>
  <c r="J619" i="1"/>
  <c r="K619" i="1"/>
  <c r="M619" i="1"/>
  <c r="P619" i="1"/>
  <c r="R619" i="1"/>
  <c r="S619" i="1"/>
  <c r="T619" i="1"/>
  <c r="U619" i="1"/>
  <c r="X619" i="1"/>
  <c r="Y619" i="1"/>
  <c r="Z619" i="1"/>
  <c r="AA619" i="1"/>
  <c r="AB619" i="1"/>
  <c r="AC619" i="1"/>
  <c r="AD619" i="1"/>
  <c r="AE619" i="1"/>
  <c r="AF619" i="1"/>
  <c r="AG619" i="1"/>
  <c r="AH619" i="1"/>
  <c r="AI619" i="1"/>
  <c r="AJ619" i="1"/>
  <c r="AK619" i="1"/>
  <c r="C620" i="1"/>
  <c r="H620" i="1"/>
  <c r="I620" i="1"/>
  <c r="J620" i="1"/>
  <c r="K620" i="1"/>
  <c r="M620" i="1"/>
  <c r="P620" i="1"/>
  <c r="R620" i="1"/>
  <c r="S620" i="1"/>
  <c r="T620" i="1"/>
  <c r="U620" i="1"/>
  <c r="X620" i="1"/>
  <c r="Y620" i="1"/>
  <c r="Z620" i="1"/>
  <c r="AA620" i="1"/>
  <c r="AB620" i="1"/>
  <c r="AC620" i="1"/>
  <c r="AD620" i="1"/>
  <c r="AE620" i="1"/>
  <c r="AF620" i="1"/>
  <c r="AG620" i="1"/>
  <c r="AH620" i="1"/>
  <c r="AI620" i="1"/>
  <c r="AJ620" i="1"/>
  <c r="AK620" i="1"/>
  <c r="C621" i="1"/>
  <c r="H621" i="1"/>
  <c r="I621" i="1"/>
  <c r="J621" i="1"/>
  <c r="K621" i="1"/>
  <c r="M621" i="1"/>
  <c r="P621" i="1"/>
  <c r="R621" i="1"/>
  <c r="S621" i="1"/>
  <c r="T621" i="1"/>
  <c r="U621" i="1"/>
  <c r="X621" i="1"/>
  <c r="Y621" i="1"/>
  <c r="Z621" i="1"/>
  <c r="AA621" i="1"/>
  <c r="AB621" i="1"/>
  <c r="AC621" i="1"/>
  <c r="AD621" i="1"/>
  <c r="AE621" i="1"/>
  <c r="AF621" i="1"/>
  <c r="AG621" i="1"/>
  <c r="AH621" i="1"/>
  <c r="AI621" i="1"/>
  <c r="AJ621" i="1"/>
  <c r="AK621" i="1"/>
  <c r="C602" i="1"/>
  <c r="H602" i="1"/>
  <c r="I602" i="1"/>
  <c r="J602" i="1"/>
  <c r="K602" i="1"/>
  <c r="M602" i="1"/>
  <c r="P602" i="1"/>
  <c r="R602" i="1"/>
  <c r="S602" i="1"/>
  <c r="T602" i="1"/>
  <c r="U602" i="1"/>
  <c r="X602" i="1"/>
  <c r="Y602" i="1"/>
  <c r="Z602" i="1"/>
  <c r="AA602" i="1"/>
  <c r="AB602" i="1"/>
  <c r="AC602" i="1"/>
  <c r="AD602" i="1"/>
  <c r="AE602" i="1"/>
  <c r="AF602" i="1"/>
  <c r="AG602" i="1"/>
  <c r="AH602" i="1"/>
  <c r="AI602" i="1"/>
  <c r="AJ602" i="1"/>
  <c r="AK602" i="1"/>
  <c r="C603" i="1"/>
  <c r="H603" i="1"/>
  <c r="I603" i="1"/>
  <c r="J603" i="1"/>
  <c r="K603" i="1"/>
  <c r="M603" i="1"/>
  <c r="P603" i="1"/>
  <c r="R603" i="1"/>
  <c r="S603" i="1"/>
  <c r="T603" i="1"/>
  <c r="U603" i="1"/>
  <c r="X603" i="1"/>
  <c r="Y603" i="1"/>
  <c r="Z603" i="1"/>
  <c r="AA603" i="1"/>
  <c r="AB603" i="1"/>
  <c r="AC603" i="1"/>
  <c r="AD603" i="1"/>
  <c r="AE603" i="1"/>
  <c r="AF603" i="1"/>
  <c r="AG603" i="1"/>
  <c r="AH603" i="1"/>
  <c r="AI603" i="1"/>
  <c r="AJ603" i="1"/>
  <c r="AK603" i="1"/>
  <c r="C604" i="1"/>
  <c r="H604" i="1"/>
  <c r="I604" i="1"/>
  <c r="J604" i="1"/>
  <c r="K604" i="1"/>
  <c r="M604" i="1"/>
  <c r="P604" i="1"/>
  <c r="R604" i="1"/>
  <c r="S604" i="1"/>
  <c r="T604" i="1"/>
  <c r="U604" i="1"/>
  <c r="X604" i="1"/>
  <c r="Y604" i="1"/>
  <c r="Z604" i="1"/>
  <c r="AA604" i="1"/>
  <c r="AB604" i="1"/>
  <c r="AC604" i="1"/>
  <c r="AD604" i="1"/>
  <c r="AE604" i="1"/>
  <c r="AF604" i="1"/>
  <c r="AG604" i="1"/>
  <c r="AH604" i="1"/>
  <c r="AI604" i="1"/>
  <c r="AJ604" i="1"/>
  <c r="AK604" i="1"/>
  <c r="C605" i="1"/>
  <c r="H605" i="1"/>
  <c r="I605" i="1"/>
  <c r="J605" i="1"/>
  <c r="K605" i="1"/>
  <c r="M605" i="1"/>
  <c r="P605" i="1"/>
  <c r="R605" i="1"/>
  <c r="S605" i="1"/>
  <c r="T605" i="1"/>
  <c r="U605" i="1"/>
  <c r="X605" i="1"/>
  <c r="Y605" i="1"/>
  <c r="Z605" i="1"/>
  <c r="AA605" i="1"/>
  <c r="AB605" i="1"/>
  <c r="AC605" i="1"/>
  <c r="AD605" i="1"/>
  <c r="AE605" i="1"/>
  <c r="AF605" i="1"/>
  <c r="AG605" i="1"/>
  <c r="AH605" i="1"/>
  <c r="AI605" i="1"/>
  <c r="AJ605" i="1"/>
  <c r="AK605" i="1"/>
  <c r="C606" i="1"/>
  <c r="H606" i="1"/>
  <c r="I606" i="1"/>
  <c r="J606" i="1"/>
  <c r="K606" i="1"/>
  <c r="M606" i="1"/>
  <c r="P606" i="1"/>
  <c r="R606" i="1"/>
  <c r="S606" i="1"/>
  <c r="T606" i="1"/>
  <c r="U606" i="1"/>
  <c r="X606" i="1"/>
  <c r="Y606" i="1"/>
  <c r="Z606" i="1"/>
  <c r="AA606" i="1"/>
  <c r="AB606" i="1"/>
  <c r="AC606" i="1"/>
  <c r="AD606" i="1"/>
  <c r="AE606" i="1"/>
  <c r="AF606" i="1"/>
  <c r="AG606" i="1"/>
  <c r="AH606" i="1"/>
  <c r="AI606" i="1"/>
  <c r="AJ606" i="1"/>
  <c r="AK606" i="1"/>
  <c r="C607" i="1"/>
  <c r="H607" i="1"/>
  <c r="I607" i="1"/>
  <c r="J607" i="1"/>
  <c r="K607" i="1"/>
  <c r="M607" i="1"/>
  <c r="P607" i="1"/>
  <c r="R607" i="1"/>
  <c r="S607" i="1"/>
  <c r="T607" i="1"/>
  <c r="U607" i="1"/>
  <c r="X607" i="1"/>
  <c r="Y607" i="1"/>
  <c r="Z607" i="1"/>
  <c r="AA607" i="1"/>
  <c r="AB607" i="1"/>
  <c r="AC607" i="1"/>
  <c r="AD607" i="1"/>
  <c r="AE607" i="1"/>
  <c r="AF607" i="1"/>
  <c r="AG607" i="1"/>
  <c r="AH607" i="1"/>
  <c r="AI607" i="1"/>
  <c r="AJ607" i="1"/>
  <c r="AK607" i="1"/>
  <c r="C608" i="1"/>
  <c r="H608" i="1"/>
  <c r="I608" i="1"/>
  <c r="J608" i="1"/>
  <c r="K608" i="1"/>
  <c r="M608" i="1"/>
  <c r="P608" i="1"/>
  <c r="R608" i="1"/>
  <c r="S608" i="1"/>
  <c r="T608" i="1"/>
  <c r="U608" i="1"/>
  <c r="X608" i="1"/>
  <c r="Y608" i="1"/>
  <c r="Z608" i="1"/>
  <c r="AA608" i="1"/>
  <c r="AB608" i="1"/>
  <c r="AC608" i="1"/>
  <c r="AD608" i="1"/>
  <c r="AE608" i="1"/>
  <c r="AF608" i="1"/>
  <c r="AG608" i="1"/>
  <c r="AH608" i="1"/>
  <c r="AI608" i="1"/>
  <c r="AJ608" i="1"/>
  <c r="AK608" i="1"/>
  <c r="C609" i="1"/>
  <c r="H609" i="1"/>
  <c r="I609" i="1"/>
  <c r="J609" i="1"/>
  <c r="K609" i="1"/>
  <c r="M609" i="1"/>
  <c r="P609" i="1"/>
  <c r="R609" i="1"/>
  <c r="S609" i="1"/>
  <c r="T609" i="1"/>
  <c r="U609" i="1"/>
  <c r="X609" i="1"/>
  <c r="Y609" i="1"/>
  <c r="Z609" i="1"/>
  <c r="AA609" i="1"/>
  <c r="AB609" i="1"/>
  <c r="AC609" i="1"/>
  <c r="AD609" i="1"/>
  <c r="AE609" i="1"/>
  <c r="AF609" i="1"/>
  <c r="AG609" i="1"/>
  <c r="AH609" i="1"/>
  <c r="AI609" i="1"/>
  <c r="AJ609" i="1"/>
  <c r="AK609" i="1"/>
  <c r="C610" i="1"/>
  <c r="H610" i="1"/>
  <c r="I610" i="1"/>
  <c r="J610" i="1"/>
  <c r="K610" i="1"/>
  <c r="M610" i="1"/>
  <c r="P610" i="1"/>
  <c r="R610" i="1"/>
  <c r="S610" i="1"/>
  <c r="T610" i="1"/>
  <c r="U610" i="1"/>
  <c r="X610" i="1"/>
  <c r="Y610" i="1"/>
  <c r="Z610" i="1"/>
  <c r="AA610" i="1"/>
  <c r="AB610" i="1"/>
  <c r="AC610" i="1"/>
  <c r="AD610" i="1"/>
  <c r="AE610" i="1"/>
  <c r="AF610" i="1"/>
  <c r="AG610" i="1"/>
  <c r="AH610" i="1"/>
  <c r="AI610" i="1"/>
  <c r="AJ610" i="1"/>
  <c r="AK610" i="1"/>
  <c r="C611" i="1"/>
  <c r="H611" i="1"/>
  <c r="I611" i="1"/>
  <c r="J611" i="1"/>
  <c r="K611" i="1"/>
  <c r="M611" i="1"/>
  <c r="P611" i="1"/>
  <c r="R611" i="1"/>
  <c r="S611" i="1"/>
  <c r="T611" i="1"/>
  <c r="U611" i="1"/>
  <c r="X611" i="1"/>
  <c r="Y611" i="1"/>
  <c r="Z611" i="1"/>
  <c r="AA611" i="1"/>
  <c r="AB611" i="1"/>
  <c r="AC611" i="1"/>
  <c r="AD611" i="1"/>
  <c r="AE611" i="1"/>
  <c r="AF611" i="1"/>
  <c r="AG611" i="1"/>
  <c r="AH611" i="1"/>
  <c r="AI611" i="1"/>
  <c r="AJ611" i="1"/>
  <c r="AK611" i="1"/>
  <c r="C592" i="1"/>
  <c r="H592" i="1"/>
  <c r="I592" i="1"/>
  <c r="J592" i="1"/>
  <c r="K592" i="1"/>
  <c r="M592" i="1"/>
  <c r="P592" i="1"/>
  <c r="R592" i="1"/>
  <c r="S592" i="1"/>
  <c r="T592" i="1"/>
  <c r="U592" i="1"/>
  <c r="X592" i="1"/>
  <c r="Y592" i="1"/>
  <c r="Z592" i="1"/>
  <c r="AA592" i="1"/>
  <c r="AB592" i="1"/>
  <c r="AC592" i="1"/>
  <c r="AD592" i="1"/>
  <c r="AE592" i="1"/>
  <c r="AF592" i="1"/>
  <c r="AG592" i="1"/>
  <c r="AH592" i="1"/>
  <c r="AI592" i="1"/>
  <c r="AJ592" i="1"/>
  <c r="AK592" i="1"/>
  <c r="C593" i="1"/>
  <c r="H593" i="1"/>
  <c r="I593" i="1"/>
  <c r="J593" i="1"/>
  <c r="K593" i="1"/>
  <c r="M593" i="1"/>
  <c r="P593" i="1"/>
  <c r="R593" i="1"/>
  <c r="S593" i="1"/>
  <c r="T593" i="1"/>
  <c r="U593" i="1"/>
  <c r="X593" i="1"/>
  <c r="Y593" i="1"/>
  <c r="Z593" i="1"/>
  <c r="AA593" i="1"/>
  <c r="AB593" i="1"/>
  <c r="AC593" i="1"/>
  <c r="AD593" i="1"/>
  <c r="AE593" i="1"/>
  <c r="AF593" i="1"/>
  <c r="AG593" i="1"/>
  <c r="AH593" i="1"/>
  <c r="AI593" i="1"/>
  <c r="AJ593" i="1"/>
  <c r="AK593" i="1"/>
  <c r="C594" i="1"/>
  <c r="H594" i="1"/>
  <c r="I594" i="1"/>
  <c r="J594" i="1"/>
  <c r="K594" i="1"/>
  <c r="M594" i="1"/>
  <c r="P594" i="1"/>
  <c r="R594" i="1"/>
  <c r="S594" i="1"/>
  <c r="T594" i="1"/>
  <c r="U594" i="1"/>
  <c r="X594" i="1"/>
  <c r="Y594" i="1"/>
  <c r="Z594" i="1"/>
  <c r="AA594" i="1"/>
  <c r="AB594" i="1"/>
  <c r="AC594" i="1"/>
  <c r="AD594" i="1"/>
  <c r="AE594" i="1"/>
  <c r="AF594" i="1"/>
  <c r="AG594" i="1"/>
  <c r="AH594" i="1"/>
  <c r="AI594" i="1"/>
  <c r="AJ594" i="1"/>
  <c r="AK594" i="1"/>
  <c r="C595" i="1"/>
  <c r="H595" i="1"/>
  <c r="I595" i="1"/>
  <c r="J595" i="1"/>
  <c r="K595" i="1"/>
  <c r="M595" i="1"/>
  <c r="P595" i="1"/>
  <c r="R595" i="1"/>
  <c r="S595" i="1"/>
  <c r="T595" i="1"/>
  <c r="U595" i="1"/>
  <c r="X595" i="1"/>
  <c r="Y595" i="1"/>
  <c r="Z595" i="1"/>
  <c r="AA595" i="1"/>
  <c r="AB595" i="1"/>
  <c r="AC595" i="1"/>
  <c r="AD595" i="1"/>
  <c r="AE595" i="1"/>
  <c r="AF595" i="1"/>
  <c r="AG595" i="1"/>
  <c r="AH595" i="1"/>
  <c r="AI595" i="1"/>
  <c r="AJ595" i="1"/>
  <c r="AK595" i="1"/>
  <c r="C596" i="1"/>
  <c r="H596" i="1"/>
  <c r="I596" i="1"/>
  <c r="J596" i="1"/>
  <c r="K596" i="1"/>
  <c r="M596" i="1"/>
  <c r="P596" i="1"/>
  <c r="R596" i="1"/>
  <c r="S596" i="1"/>
  <c r="T596" i="1"/>
  <c r="U596" i="1"/>
  <c r="X596" i="1"/>
  <c r="Y596" i="1"/>
  <c r="Z596" i="1"/>
  <c r="AA596" i="1"/>
  <c r="AB596" i="1"/>
  <c r="AC596" i="1"/>
  <c r="AD596" i="1"/>
  <c r="AE596" i="1"/>
  <c r="AF596" i="1"/>
  <c r="AG596" i="1"/>
  <c r="AH596" i="1"/>
  <c r="AI596" i="1"/>
  <c r="AJ596" i="1"/>
  <c r="AK596" i="1"/>
  <c r="C597" i="1"/>
  <c r="H597" i="1"/>
  <c r="I597" i="1"/>
  <c r="J597" i="1"/>
  <c r="K597" i="1"/>
  <c r="M597" i="1"/>
  <c r="P597" i="1"/>
  <c r="R597" i="1"/>
  <c r="S597" i="1"/>
  <c r="T597" i="1"/>
  <c r="U597" i="1"/>
  <c r="X597" i="1"/>
  <c r="Y597" i="1"/>
  <c r="Z597" i="1"/>
  <c r="AA597" i="1"/>
  <c r="AB597" i="1"/>
  <c r="AC597" i="1"/>
  <c r="AD597" i="1"/>
  <c r="AE597" i="1"/>
  <c r="AF597" i="1"/>
  <c r="AG597" i="1"/>
  <c r="AH597" i="1"/>
  <c r="AI597" i="1"/>
  <c r="AJ597" i="1"/>
  <c r="AK597" i="1"/>
  <c r="C598" i="1"/>
  <c r="H598" i="1"/>
  <c r="I598" i="1"/>
  <c r="J598" i="1"/>
  <c r="K598" i="1"/>
  <c r="M598" i="1"/>
  <c r="P598" i="1"/>
  <c r="R598" i="1"/>
  <c r="S598" i="1"/>
  <c r="T598" i="1"/>
  <c r="U598" i="1"/>
  <c r="X598" i="1"/>
  <c r="Y598" i="1"/>
  <c r="Z598" i="1"/>
  <c r="AA598" i="1"/>
  <c r="AB598" i="1"/>
  <c r="AC598" i="1"/>
  <c r="AD598" i="1"/>
  <c r="AE598" i="1"/>
  <c r="AF598" i="1"/>
  <c r="AG598" i="1"/>
  <c r="AH598" i="1"/>
  <c r="AI598" i="1"/>
  <c r="AJ598" i="1"/>
  <c r="AK598" i="1"/>
  <c r="C599" i="1"/>
  <c r="H599" i="1"/>
  <c r="I599" i="1"/>
  <c r="J599" i="1"/>
  <c r="K599" i="1"/>
  <c r="M599" i="1"/>
  <c r="P599" i="1"/>
  <c r="R599" i="1"/>
  <c r="S599" i="1"/>
  <c r="T599" i="1"/>
  <c r="U599" i="1"/>
  <c r="X599" i="1"/>
  <c r="Y599" i="1"/>
  <c r="Z599" i="1"/>
  <c r="AA599" i="1"/>
  <c r="AB599" i="1"/>
  <c r="AC599" i="1"/>
  <c r="AD599" i="1"/>
  <c r="AE599" i="1"/>
  <c r="AF599" i="1"/>
  <c r="AG599" i="1"/>
  <c r="AH599" i="1"/>
  <c r="AI599" i="1"/>
  <c r="AJ599" i="1"/>
  <c r="AK599" i="1"/>
  <c r="C600" i="1"/>
  <c r="H600" i="1"/>
  <c r="I600" i="1"/>
  <c r="J600" i="1"/>
  <c r="K600" i="1"/>
  <c r="M600" i="1"/>
  <c r="P600" i="1"/>
  <c r="R600" i="1"/>
  <c r="S600" i="1"/>
  <c r="T600" i="1"/>
  <c r="U600" i="1"/>
  <c r="X600" i="1"/>
  <c r="Y600" i="1"/>
  <c r="Z600" i="1"/>
  <c r="AA600" i="1"/>
  <c r="AB600" i="1"/>
  <c r="AC600" i="1"/>
  <c r="AD600" i="1"/>
  <c r="AE600" i="1"/>
  <c r="AF600" i="1"/>
  <c r="AG600" i="1"/>
  <c r="AH600" i="1"/>
  <c r="AI600" i="1"/>
  <c r="AJ600" i="1"/>
  <c r="AK600" i="1"/>
  <c r="C601" i="1"/>
  <c r="H601" i="1"/>
  <c r="I601" i="1"/>
  <c r="J601" i="1"/>
  <c r="K601" i="1"/>
  <c r="M601" i="1"/>
  <c r="P601" i="1"/>
  <c r="R601" i="1"/>
  <c r="S601" i="1"/>
  <c r="T601" i="1"/>
  <c r="U601" i="1"/>
  <c r="X601" i="1"/>
  <c r="Y601" i="1"/>
  <c r="Z601" i="1"/>
  <c r="AA601" i="1"/>
  <c r="AB601" i="1"/>
  <c r="AC601" i="1"/>
  <c r="AD601" i="1"/>
  <c r="AE601" i="1"/>
  <c r="AF601" i="1"/>
  <c r="AG601" i="1"/>
  <c r="AH601" i="1"/>
  <c r="AI601" i="1"/>
  <c r="AJ601" i="1"/>
  <c r="AK601" i="1"/>
  <c r="C582" i="1"/>
  <c r="H582" i="1"/>
  <c r="I582" i="1"/>
  <c r="J582" i="1"/>
  <c r="K582" i="1"/>
  <c r="M582" i="1"/>
  <c r="P582" i="1"/>
  <c r="R582" i="1"/>
  <c r="S582" i="1"/>
  <c r="T582" i="1"/>
  <c r="U582" i="1"/>
  <c r="X582" i="1"/>
  <c r="Y582" i="1"/>
  <c r="Z582" i="1"/>
  <c r="AA582" i="1"/>
  <c r="AB582" i="1"/>
  <c r="AC582" i="1"/>
  <c r="AD582" i="1"/>
  <c r="AE582" i="1"/>
  <c r="AF582" i="1"/>
  <c r="AG582" i="1"/>
  <c r="AH582" i="1"/>
  <c r="AI582" i="1"/>
  <c r="AJ582" i="1"/>
  <c r="AK582" i="1"/>
  <c r="C583" i="1"/>
  <c r="H583" i="1"/>
  <c r="I583" i="1"/>
  <c r="J583" i="1"/>
  <c r="K583" i="1"/>
  <c r="M583" i="1"/>
  <c r="P583" i="1"/>
  <c r="R583" i="1"/>
  <c r="S583" i="1"/>
  <c r="T583" i="1"/>
  <c r="U583" i="1"/>
  <c r="X583" i="1"/>
  <c r="Y583" i="1"/>
  <c r="Z583" i="1"/>
  <c r="AA583" i="1"/>
  <c r="AB583" i="1"/>
  <c r="AC583" i="1"/>
  <c r="AD583" i="1"/>
  <c r="AE583" i="1"/>
  <c r="AF583" i="1"/>
  <c r="AG583" i="1"/>
  <c r="AH583" i="1"/>
  <c r="AI583" i="1"/>
  <c r="AJ583" i="1"/>
  <c r="AK583" i="1"/>
  <c r="C584" i="1"/>
  <c r="H584" i="1"/>
  <c r="I584" i="1"/>
  <c r="J584" i="1"/>
  <c r="K584" i="1"/>
  <c r="M584" i="1"/>
  <c r="P584" i="1"/>
  <c r="R584" i="1"/>
  <c r="S584" i="1"/>
  <c r="T584" i="1"/>
  <c r="U584" i="1"/>
  <c r="X584" i="1"/>
  <c r="Y584" i="1"/>
  <c r="Z584" i="1"/>
  <c r="AA584" i="1"/>
  <c r="AB584" i="1"/>
  <c r="AC584" i="1"/>
  <c r="AD584" i="1"/>
  <c r="AE584" i="1"/>
  <c r="AF584" i="1"/>
  <c r="AG584" i="1"/>
  <c r="AH584" i="1"/>
  <c r="AI584" i="1"/>
  <c r="AJ584" i="1"/>
  <c r="AK584" i="1"/>
  <c r="C585" i="1"/>
  <c r="H585" i="1"/>
  <c r="I585" i="1"/>
  <c r="J585" i="1"/>
  <c r="K585" i="1"/>
  <c r="M585" i="1"/>
  <c r="P585" i="1"/>
  <c r="R585" i="1"/>
  <c r="S585" i="1"/>
  <c r="T585" i="1"/>
  <c r="U585" i="1"/>
  <c r="X585" i="1"/>
  <c r="Y585" i="1"/>
  <c r="Z585" i="1"/>
  <c r="AA585" i="1"/>
  <c r="AB585" i="1"/>
  <c r="AC585" i="1"/>
  <c r="AD585" i="1"/>
  <c r="AE585" i="1"/>
  <c r="AF585" i="1"/>
  <c r="AG585" i="1"/>
  <c r="AH585" i="1"/>
  <c r="AI585" i="1"/>
  <c r="AJ585" i="1"/>
  <c r="AK585" i="1"/>
  <c r="C586" i="1"/>
  <c r="H586" i="1"/>
  <c r="I586" i="1"/>
  <c r="J586" i="1"/>
  <c r="K586" i="1"/>
  <c r="M586" i="1"/>
  <c r="P586" i="1"/>
  <c r="R586" i="1"/>
  <c r="S586" i="1"/>
  <c r="T586" i="1"/>
  <c r="U586" i="1"/>
  <c r="X586" i="1"/>
  <c r="Y586" i="1"/>
  <c r="Z586" i="1"/>
  <c r="AA586" i="1"/>
  <c r="AB586" i="1"/>
  <c r="AC586" i="1"/>
  <c r="AD586" i="1"/>
  <c r="AE586" i="1"/>
  <c r="AF586" i="1"/>
  <c r="AG586" i="1"/>
  <c r="AH586" i="1"/>
  <c r="AI586" i="1"/>
  <c r="AJ586" i="1"/>
  <c r="AK586" i="1"/>
  <c r="C587" i="1"/>
  <c r="H587" i="1"/>
  <c r="I587" i="1"/>
  <c r="J587" i="1"/>
  <c r="K587" i="1"/>
  <c r="M587" i="1"/>
  <c r="P587" i="1"/>
  <c r="R587" i="1"/>
  <c r="S587" i="1"/>
  <c r="T587" i="1"/>
  <c r="U587" i="1"/>
  <c r="X587" i="1"/>
  <c r="Y587" i="1"/>
  <c r="Z587" i="1"/>
  <c r="AA587" i="1"/>
  <c r="AB587" i="1"/>
  <c r="AC587" i="1"/>
  <c r="AD587" i="1"/>
  <c r="AE587" i="1"/>
  <c r="AF587" i="1"/>
  <c r="AG587" i="1"/>
  <c r="AH587" i="1"/>
  <c r="AI587" i="1"/>
  <c r="AJ587" i="1"/>
  <c r="AK587" i="1"/>
  <c r="C588" i="1"/>
  <c r="H588" i="1"/>
  <c r="I588" i="1"/>
  <c r="J588" i="1"/>
  <c r="K588" i="1"/>
  <c r="M588" i="1"/>
  <c r="P588" i="1"/>
  <c r="R588" i="1"/>
  <c r="S588" i="1"/>
  <c r="T588" i="1"/>
  <c r="U588" i="1"/>
  <c r="X588" i="1"/>
  <c r="Y588" i="1"/>
  <c r="Z588" i="1"/>
  <c r="AA588" i="1"/>
  <c r="AB588" i="1"/>
  <c r="AC588" i="1"/>
  <c r="AD588" i="1"/>
  <c r="AE588" i="1"/>
  <c r="AF588" i="1"/>
  <c r="AG588" i="1"/>
  <c r="AH588" i="1"/>
  <c r="AI588" i="1"/>
  <c r="AJ588" i="1"/>
  <c r="AK588" i="1"/>
  <c r="C589" i="1"/>
  <c r="H589" i="1"/>
  <c r="I589" i="1"/>
  <c r="J589" i="1"/>
  <c r="K589" i="1"/>
  <c r="M589" i="1"/>
  <c r="P589" i="1"/>
  <c r="R589" i="1"/>
  <c r="S589" i="1"/>
  <c r="T589" i="1"/>
  <c r="U589" i="1"/>
  <c r="X589" i="1"/>
  <c r="Y589" i="1"/>
  <c r="Z589" i="1"/>
  <c r="AA589" i="1"/>
  <c r="AB589" i="1"/>
  <c r="AC589" i="1"/>
  <c r="AD589" i="1"/>
  <c r="AE589" i="1"/>
  <c r="AF589" i="1"/>
  <c r="AG589" i="1"/>
  <c r="AH589" i="1"/>
  <c r="AI589" i="1"/>
  <c r="AJ589" i="1"/>
  <c r="AK589" i="1"/>
  <c r="C590" i="1"/>
  <c r="H590" i="1"/>
  <c r="I590" i="1"/>
  <c r="J590" i="1"/>
  <c r="K590" i="1"/>
  <c r="M590" i="1"/>
  <c r="P590" i="1"/>
  <c r="R590" i="1"/>
  <c r="S590" i="1"/>
  <c r="T590" i="1"/>
  <c r="U590" i="1"/>
  <c r="X590" i="1"/>
  <c r="Y590" i="1"/>
  <c r="Z590" i="1"/>
  <c r="AA590" i="1"/>
  <c r="AB590" i="1"/>
  <c r="AC590" i="1"/>
  <c r="AD590" i="1"/>
  <c r="AE590" i="1"/>
  <c r="AF590" i="1"/>
  <c r="AG590" i="1"/>
  <c r="AH590" i="1"/>
  <c r="AI590" i="1"/>
  <c r="AJ590" i="1"/>
  <c r="AK590" i="1"/>
  <c r="C591" i="1"/>
  <c r="H591" i="1"/>
  <c r="I591" i="1"/>
  <c r="J591" i="1"/>
  <c r="K591" i="1"/>
  <c r="M591" i="1"/>
  <c r="P591" i="1"/>
  <c r="R591" i="1"/>
  <c r="S591" i="1"/>
  <c r="T591" i="1"/>
  <c r="U591" i="1"/>
  <c r="X591" i="1"/>
  <c r="Y591" i="1"/>
  <c r="Z591" i="1"/>
  <c r="AA591" i="1"/>
  <c r="AB591" i="1"/>
  <c r="AC591" i="1"/>
  <c r="AD591" i="1"/>
  <c r="AE591" i="1"/>
  <c r="AF591" i="1"/>
  <c r="AG591" i="1"/>
  <c r="AH591" i="1"/>
  <c r="AI591" i="1"/>
  <c r="AJ591" i="1"/>
  <c r="AK591" i="1"/>
  <c r="C572" i="1"/>
  <c r="H572" i="1"/>
  <c r="I572" i="1"/>
  <c r="J572" i="1"/>
  <c r="K572" i="1"/>
  <c r="M572" i="1"/>
  <c r="P572" i="1"/>
  <c r="R572" i="1"/>
  <c r="S572" i="1"/>
  <c r="T572" i="1"/>
  <c r="U572" i="1"/>
  <c r="X572" i="1"/>
  <c r="Y572" i="1"/>
  <c r="Z572" i="1"/>
  <c r="AA572" i="1"/>
  <c r="AB572" i="1"/>
  <c r="AC572" i="1"/>
  <c r="AD572" i="1"/>
  <c r="AE572" i="1"/>
  <c r="AF572" i="1"/>
  <c r="AG572" i="1"/>
  <c r="AH572" i="1"/>
  <c r="AI572" i="1"/>
  <c r="AJ572" i="1"/>
  <c r="AK572" i="1"/>
  <c r="C573" i="1"/>
  <c r="H573" i="1"/>
  <c r="I573" i="1"/>
  <c r="J573" i="1"/>
  <c r="K573" i="1"/>
  <c r="M573" i="1"/>
  <c r="P573" i="1"/>
  <c r="R573" i="1"/>
  <c r="S573" i="1"/>
  <c r="T573" i="1"/>
  <c r="U573" i="1"/>
  <c r="X573" i="1"/>
  <c r="Y573" i="1"/>
  <c r="Z573" i="1"/>
  <c r="AA573" i="1"/>
  <c r="AB573" i="1"/>
  <c r="AC573" i="1"/>
  <c r="AD573" i="1"/>
  <c r="AE573" i="1"/>
  <c r="AF573" i="1"/>
  <c r="AG573" i="1"/>
  <c r="AH573" i="1"/>
  <c r="AI573" i="1"/>
  <c r="AJ573" i="1"/>
  <c r="AK573" i="1"/>
  <c r="C574" i="1"/>
  <c r="H574" i="1"/>
  <c r="I574" i="1"/>
  <c r="J574" i="1"/>
  <c r="K574" i="1"/>
  <c r="M574" i="1"/>
  <c r="P574" i="1"/>
  <c r="R574" i="1"/>
  <c r="S574" i="1"/>
  <c r="T574" i="1"/>
  <c r="U574" i="1"/>
  <c r="X574" i="1"/>
  <c r="Y574" i="1"/>
  <c r="Z574" i="1"/>
  <c r="AA574" i="1"/>
  <c r="AB574" i="1"/>
  <c r="AC574" i="1"/>
  <c r="AD574" i="1"/>
  <c r="AE574" i="1"/>
  <c r="AF574" i="1"/>
  <c r="AG574" i="1"/>
  <c r="AH574" i="1"/>
  <c r="AI574" i="1"/>
  <c r="AJ574" i="1"/>
  <c r="AK574" i="1"/>
  <c r="C575" i="1"/>
  <c r="H575" i="1"/>
  <c r="I575" i="1"/>
  <c r="J575" i="1"/>
  <c r="K575" i="1"/>
  <c r="M575" i="1"/>
  <c r="P575" i="1"/>
  <c r="R575" i="1"/>
  <c r="S575" i="1"/>
  <c r="T575" i="1"/>
  <c r="U575" i="1"/>
  <c r="X575" i="1"/>
  <c r="Y575" i="1"/>
  <c r="Z575" i="1"/>
  <c r="AA575" i="1"/>
  <c r="AB575" i="1"/>
  <c r="AC575" i="1"/>
  <c r="AD575" i="1"/>
  <c r="AE575" i="1"/>
  <c r="AF575" i="1"/>
  <c r="AG575" i="1"/>
  <c r="AH575" i="1"/>
  <c r="AI575" i="1"/>
  <c r="AJ575" i="1"/>
  <c r="AK575" i="1"/>
  <c r="C576" i="1"/>
  <c r="H576" i="1"/>
  <c r="I576" i="1"/>
  <c r="J576" i="1"/>
  <c r="K576" i="1"/>
  <c r="M576" i="1"/>
  <c r="P576" i="1"/>
  <c r="R576" i="1"/>
  <c r="S576" i="1"/>
  <c r="T576" i="1"/>
  <c r="U576" i="1"/>
  <c r="X576" i="1"/>
  <c r="Y576" i="1"/>
  <c r="Z576" i="1"/>
  <c r="AA576" i="1"/>
  <c r="AB576" i="1"/>
  <c r="AC576" i="1"/>
  <c r="AD576" i="1"/>
  <c r="AE576" i="1"/>
  <c r="AF576" i="1"/>
  <c r="AG576" i="1"/>
  <c r="AH576" i="1"/>
  <c r="AI576" i="1"/>
  <c r="AJ576" i="1"/>
  <c r="AK576" i="1"/>
  <c r="C577" i="1"/>
  <c r="H577" i="1"/>
  <c r="I577" i="1"/>
  <c r="J577" i="1"/>
  <c r="K577" i="1"/>
  <c r="M577" i="1"/>
  <c r="P577" i="1"/>
  <c r="R577" i="1"/>
  <c r="S577" i="1"/>
  <c r="T577" i="1"/>
  <c r="U577" i="1"/>
  <c r="X577" i="1"/>
  <c r="Y577" i="1"/>
  <c r="Z577" i="1"/>
  <c r="AA577" i="1"/>
  <c r="AB577" i="1"/>
  <c r="AC577" i="1"/>
  <c r="AD577" i="1"/>
  <c r="AE577" i="1"/>
  <c r="AF577" i="1"/>
  <c r="AG577" i="1"/>
  <c r="AH577" i="1"/>
  <c r="AI577" i="1"/>
  <c r="AJ577" i="1"/>
  <c r="AK577" i="1"/>
  <c r="C578" i="1"/>
  <c r="H578" i="1"/>
  <c r="I578" i="1"/>
  <c r="J578" i="1"/>
  <c r="K578" i="1"/>
  <c r="M578" i="1"/>
  <c r="P578" i="1"/>
  <c r="R578" i="1"/>
  <c r="S578" i="1"/>
  <c r="T578" i="1"/>
  <c r="U578" i="1"/>
  <c r="X578" i="1"/>
  <c r="Y578" i="1"/>
  <c r="Z578" i="1"/>
  <c r="AA578" i="1"/>
  <c r="AB578" i="1"/>
  <c r="AC578" i="1"/>
  <c r="AD578" i="1"/>
  <c r="AE578" i="1"/>
  <c r="AF578" i="1"/>
  <c r="AG578" i="1"/>
  <c r="AH578" i="1"/>
  <c r="AI578" i="1"/>
  <c r="AJ578" i="1"/>
  <c r="AK578" i="1"/>
  <c r="C579" i="1"/>
  <c r="H579" i="1"/>
  <c r="I579" i="1"/>
  <c r="J579" i="1"/>
  <c r="K579" i="1"/>
  <c r="M579" i="1"/>
  <c r="P579" i="1"/>
  <c r="R579" i="1"/>
  <c r="S579" i="1"/>
  <c r="T579" i="1"/>
  <c r="U579" i="1"/>
  <c r="X579" i="1"/>
  <c r="Y579" i="1"/>
  <c r="Z579" i="1"/>
  <c r="AA579" i="1"/>
  <c r="AB579" i="1"/>
  <c r="AC579" i="1"/>
  <c r="AD579" i="1"/>
  <c r="AE579" i="1"/>
  <c r="AF579" i="1"/>
  <c r="AG579" i="1"/>
  <c r="AH579" i="1"/>
  <c r="AI579" i="1"/>
  <c r="AJ579" i="1"/>
  <c r="AK579" i="1"/>
  <c r="C580" i="1"/>
  <c r="H580" i="1"/>
  <c r="I580" i="1"/>
  <c r="J580" i="1"/>
  <c r="K580" i="1"/>
  <c r="M580" i="1"/>
  <c r="P580" i="1"/>
  <c r="R580" i="1"/>
  <c r="S580" i="1"/>
  <c r="T580" i="1"/>
  <c r="U580" i="1"/>
  <c r="X580" i="1"/>
  <c r="Y580" i="1"/>
  <c r="Z580" i="1"/>
  <c r="AA580" i="1"/>
  <c r="AB580" i="1"/>
  <c r="AC580" i="1"/>
  <c r="AD580" i="1"/>
  <c r="AE580" i="1"/>
  <c r="AF580" i="1"/>
  <c r="AG580" i="1"/>
  <c r="AH580" i="1"/>
  <c r="AI580" i="1"/>
  <c r="AJ580" i="1"/>
  <c r="AK580" i="1"/>
  <c r="C581" i="1"/>
  <c r="H581" i="1"/>
  <c r="I581" i="1"/>
  <c r="J581" i="1"/>
  <c r="K581" i="1"/>
  <c r="M581" i="1"/>
  <c r="P581" i="1"/>
  <c r="R581" i="1"/>
  <c r="S581" i="1"/>
  <c r="T581" i="1"/>
  <c r="U581" i="1"/>
  <c r="X581" i="1"/>
  <c r="Y581" i="1"/>
  <c r="Z581" i="1"/>
  <c r="AA581" i="1"/>
  <c r="AB581" i="1"/>
  <c r="AC581" i="1"/>
  <c r="AD581" i="1"/>
  <c r="AE581" i="1"/>
  <c r="AF581" i="1"/>
  <c r="AG581" i="1"/>
  <c r="AH581" i="1"/>
  <c r="AI581" i="1"/>
  <c r="AJ581" i="1"/>
  <c r="AK581" i="1"/>
  <c r="C562" i="1"/>
  <c r="H562" i="1"/>
  <c r="I562" i="1"/>
  <c r="J562" i="1"/>
  <c r="K562" i="1"/>
  <c r="M562" i="1"/>
  <c r="P562" i="1"/>
  <c r="R562" i="1"/>
  <c r="S562" i="1"/>
  <c r="T562" i="1"/>
  <c r="U562" i="1"/>
  <c r="X562" i="1"/>
  <c r="Y562" i="1"/>
  <c r="Z562" i="1"/>
  <c r="AA562" i="1"/>
  <c r="AB562" i="1"/>
  <c r="AC562" i="1"/>
  <c r="AD562" i="1"/>
  <c r="AE562" i="1"/>
  <c r="AF562" i="1"/>
  <c r="AG562" i="1"/>
  <c r="AH562" i="1"/>
  <c r="AI562" i="1"/>
  <c r="AJ562" i="1"/>
  <c r="AK562" i="1"/>
  <c r="C563" i="1"/>
  <c r="H563" i="1"/>
  <c r="I563" i="1"/>
  <c r="J563" i="1"/>
  <c r="K563" i="1"/>
  <c r="M563" i="1"/>
  <c r="P563" i="1"/>
  <c r="R563" i="1"/>
  <c r="S563" i="1"/>
  <c r="T563" i="1"/>
  <c r="U563" i="1"/>
  <c r="X563" i="1"/>
  <c r="Y563" i="1"/>
  <c r="Z563" i="1"/>
  <c r="AA563" i="1"/>
  <c r="AB563" i="1"/>
  <c r="AC563" i="1"/>
  <c r="AD563" i="1"/>
  <c r="AE563" i="1"/>
  <c r="AF563" i="1"/>
  <c r="AG563" i="1"/>
  <c r="AH563" i="1"/>
  <c r="AI563" i="1"/>
  <c r="AJ563" i="1"/>
  <c r="AK563" i="1"/>
  <c r="C564" i="1"/>
  <c r="H564" i="1"/>
  <c r="I564" i="1"/>
  <c r="J564" i="1"/>
  <c r="K564" i="1"/>
  <c r="M564" i="1"/>
  <c r="P564" i="1"/>
  <c r="R564" i="1"/>
  <c r="S564" i="1"/>
  <c r="T564" i="1"/>
  <c r="U564" i="1"/>
  <c r="X564" i="1"/>
  <c r="Y564" i="1"/>
  <c r="Z564" i="1"/>
  <c r="AA564" i="1"/>
  <c r="AB564" i="1"/>
  <c r="AC564" i="1"/>
  <c r="AD564" i="1"/>
  <c r="AE564" i="1"/>
  <c r="AF564" i="1"/>
  <c r="AG564" i="1"/>
  <c r="AH564" i="1"/>
  <c r="AI564" i="1"/>
  <c r="AJ564" i="1"/>
  <c r="AK564" i="1"/>
  <c r="C565" i="1"/>
  <c r="H565" i="1"/>
  <c r="I565" i="1"/>
  <c r="J565" i="1"/>
  <c r="K565" i="1"/>
  <c r="M565" i="1"/>
  <c r="P565" i="1"/>
  <c r="R565" i="1"/>
  <c r="S565" i="1"/>
  <c r="T565" i="1"/>
  <c r="U565" i="1"/>
  <c r="X565" i="1"/>
  <c r="Y565" i="1"/>
  <c r="Z565" i="1"/>
  <c r="AA565" i="1"/>
  <c r="AB565" i="1"/>
  <c r="AC565" i="1"/>
  <c r="AD565" i="1"/>
  <c r="AE565" i="1"/>
  <c r="AF565" i="1"/>
  <c r="AG565" i="1"/>
  <c r="AH565" i="1"/>
  <c r="AI565" i="1"/>
  <c r="AJ565" i="1"/>
  <c r="AK565" i="1"/>
  <c r="C566" i="1"/>
  <c r="H566" i="1"/>
  <c r="I566" i="1"/>
  <c r="J566" i="1"/>
  <c r="K566" i="1"/>
  <c r="M566" i="1"/>
  <c r="P566" i="1"/>
  <c r="R566" i="1"/>
  <c r="S566" i="1"/>
  <c r="T566" i="1"/>
  <c r="U566" i="1"/>
  <c r="X566" i="1"/>
  <c r="Y566" i="1"/>
  <c r="Z566" i="1"/>
  <c r="AA566" i="1"/>
  <c r="AB566" i="1"/>
  <c r="AC566" i="1"/>
  <c r="AD566" i="1"/>
  <c r="AE566" i="1"/>
  <c r="AF566" i="1"/>
  <c r="AG566" i="1"/>
  <c r="AH566" i="1"/>
  <c r="AI566" i="1"/>
  <c r="AJ566" i="1"/>
  <c r="AK566" i="1"/>
  <c r="C567" i="1"/>
  <c r="H567" i="1"/>
  <c r="I567" i="1"/>
  <c r="J567" i="1"/>
  <c r="K567" i="1"/>
  <c r="M567" i="1"/>
  <c r="P567" i="1"/>
  <c r="R567" i="1"/>
  <c r="S567" i="1"/>
  <c r="T567" i="1"/>
  <c r="U567" i="1"/>
  <c r="X567" i="1"/>
  <c r="Y567" i="1"/>
  <c r="Z567" i="1"/>
  <c r="AA567" i="1"/>
  <c r="AB567" i="1"/>
  <c r="AC567" i="1"/>
  <c r="AD567" i="1"/>
  <c r="AE567" i="1"/>
  <c r="AF567" i="1"/>
  <c r="AG567" i="1"/>
  <c r="AH567" i="1"/>
  <c r="AI567" i="1"/>
  <c r="AJ567" i="1"/>
  <c r="AK567" i="1"/>
  <c r="C568" i="1"/>
  <c r="H568" i="1"/>
  <c r="I568" i="1"/>
  <c r="J568" i="1"/>
  <c r="K568" i="1"/>
  <c r="M568" i="1"/>
  <c r="P568" i="1"/>
  <c r="R568" i="1"/>
  <c r="S568" i="1"/>
  <c r="T568" i="1"/>
  <c r="U568" i="1"/>
  <c r="X568" i="1"/>
  <c r="Y568" i="1"/>
  <c r="Z568" i="1"/>
  <c r="AA568" i="1"/>
  <c r="AB568" i="1"/>
  <c r="AC568" i="1"/>
  <c r="AD568" i="1"/>
  <c r="AE568" i="1"/>
  <c r="AF568" i="1"/>
  <c r="AG568" i="1"/>
  <c r="AH568" i="1"/>
  <c r="AI568" i="1"/>
  <c r="AJ568" i="1"/>
  <c r="AK568" i="1"/>
  <c r="C569" i="1"/>
  <c r="H569" i="1"/>
  <c r="I569" i="1"/>
  <c r="J569" i="1"/>
  <c r="K569" i="1"/>
  <c r="M569" i="1"/>
  <c r="P569" i="1"/>
  <c r="R569" i="1"/>
  <c r="S569" i="1"/>
  <c r="T569" i="1"/>
  <c r="U569" i="1"/>
  <c r="X569" i="1"/>
  <c r="Y569" i="1"/>
  <c r="Z569" i="1"/>
  <c r="AA569" i="1"/>
  <c r="AB569" i="1"/>
  <c r="AC569" i="1"/>
  <c r="AD569" i="1"/>
  <c r="AE569" i="1"/>
  <c r="AF569" i="1"/>
  <c r="AG569" i="1"/>
  <c r="AH569" i="1"/>
  <c r="AI569" i="1"/>
  <c r="AJ569" i="1"/>
  <c r="AK569" i="1"/>
  <c r="C570" i="1"/>
  <c r="H570" i="1"/>
  <c r="I570" i="1"/>
  <c r="J570" i="1"/>
  <c r="K570" i="1"/>
  <c r="M570" i="1"/>
  <c r="P570" i="1"/>
  <c r="R570" i="1"/>
  <c r="S570" i="1"/>
  <c r="T570" i="1"/>
  <c r="U570" i="1"/>
  <c r="X570" i="1"/>
  <c r="Y570" i="1"/>
  <c r="Z570" i="1"/>
  <c r="AA570" i="1"/>
  <c r="AB570" i="1"/>
  <c r="AC570" i="1"/>
  <c r="AD570" i="1"/>
  <c r="AE570" i="1"/>
  <c r="AF570" i="1"/>
  <c r="AG570" i="1"/>
  <c r="AH570" i="1"/>
  <c r="AI570" i="1"/>
  <c r="AJ570" i="1"/>
  <c r="AK570" i="1"/>
  <c r="C571" i="1"/>
  <c r="H571" i="1"/>
  <c r="I571" i="1"/>
  <c r="J571" i="1"/>
  <c r="K571" i="1"/>
  <c r="M571" i="1"/>
  <c r="P571" i="1"/>
  <c r="R571" i="1"/>
  <c r="S571" i="1"/>
  <c r="T571" i="1"/>
  <c r="U571" i="1"/>
  <c r="X571" i="1"/>
  <c r="Y571" i="1"/>
  <c r="Z571" i="1"/>
  <c r="AA571" i="1"/>
  <c r="AB571" i="1"/>
  <c r="AC571" i="1"/>
  <c r="AD571" i="1"/>
  <c r="AE571" i="1"/>
  <c r="AF571" i="1"/>
  <c r="AG571" i="1"/>
  <c r="AH571" i="1"/>
  <c r="AI571" i="1"/>
  <c r="AJ571" i="1"/>
  <c r="AK571" i="1"/>
  <c r="C552" i="1"/>
  <c r="H552" i="1"/>
  <c r="I552" i="1"/>
  <c r="J552" i="1"/>
  <c r="K552" i="1"/>
  <c r="M552" i="1"/>
  <c r="P552" i="1"/>
  <c r="R552" i="1"/>
  <c r="S552" i="1"/>
  <c r="T552" i="1"/>
  <c r="U552" i="1"/>
  <c r="X552" i="1"/>
  <c r="Y552" i="1"/>
  <c r="Z552" i="1"/>
  <c r="AA552" i="1"/>
  <c r="AB552" i="1"/>
  <c r="AC552" i="1"/>
  <c r="AD552" i="1"/>
  <c r="AE552" i="1"/>
  <c r="AF552" i="1"/>
  <c r="AG552" i="1"/>
  <c r="AH552" i="1"/>
  <c r="AI552" i="1"/>
  <c r="AJ552" i="1"/>
  <c r="AK552" i="1"/>
  <c r="C553" i="1"/>
  <c r="H553" i="1"/>
  <c r="I553" i="1"/>
  <c r="J553" i="1"/>
  <c r="K553" i="1"/>
  <c r="M553" i="1"/>
  <c r="P553" i="1"/>
  <c r="R553" i="1"/>
  <c r="S553" i="1"/>
  <c r="T553" i="1"/>
  <c r="U553" i="1"/>
  <c r="X553" i="1"/>
  <c r="Y553" i="1"/>
  <c r="Z553" i="1"/>
  <c r="AA553" i="1"/>
  <c r="AB553" i="1"/>
  <c r="AC553" i="1"/>
  <c r="AD553" i="1"/>
  <c r="AE553" i="1"/>
  <c r="AF553" i="1"/>
  <c r="AG553" i="1"/>
  <c r="AH553" i="1"/>
  <c r="AI553" i="1"/>
  <c r="AJ553" i="1"/>
  <c r="AK553" i="1"/>
  <c r="C554" i="1"/>
  <c r="H554" i="1"/>
  <c r="I554" i="1"/>
  <c r="J554" i="1"/>
  <c r="K554" i="1"/>
  <c r="M554" i="1"/>
  <c r="P554" i="1"/>
  <c r="R554" i="1"/>
  <c r="S554" i="1"/>
  <c r="T554" i="1"/>
  <c r="U554" i="1"/>
  <c r="X554" i="1"/>
  <c r="Y554" i="1"/>
  <c r="Z554" i="1"/>
  <c r="AA554" i="1"/>
  <c r="AB554" i="1"/>
  <c r="AC554" i="1"/>
  <c r="AD554" i="1"/>
  <c r="AE554" i="1"/>
  <c r="AF554" i="1"/>
  <c r="AG554" i="1"/>
  <c r="AH554" i="1"/>
  <c r="AI554" i="1"/>
  <c r="AJ554" i="1"/>
  <c r="AK554" i="1"/>
  <c r="C555" i="1"/>
  <c r="H555" i="1"/>
  <c r="I555" i="1"/>
  <c r="J555" i="1"/>
  <c r="K555" i="1"/>
  <c r="M555" i="1"/>
  <c r="P555" i="1"/>
  <c r="R555" i="1"/>
  <c r="S555" i="1"/>
  <c r="T555" i="1"/>
  <c r="U555" i="1"/>
  <c r="X555" i="1"/>
  <c r="Y555" i="1"/>
  <c r="Z555" i="1"/>
  <c r="AA555" i="1"/>
  <c r="AB555" i="1"/>
  <c r="AC555" i="1"/>
  <c r="AD555" i="1"/>
  <c r="AE555" i="1"/>
  <c r="AF555" i="1"/>
  <c r="AG555" i="1"/>
  <c r="AH555" i="1"/>
  <c r="AI555" i="1"/>
  <c r="AJ555" i="1"/>
  <c r="AK555" i="1"/>
  <c r="C556" i="1"/>
  <c r="H556" i="1"/>
  <c r="I556" i="1"/>
  <c r="J556" i="1"/>
  <c r="K556" i="1"/>
  <c r="M556" i="1"/>
  <c r="P556" i="1"/>
  <c r="R556" i="1"/>
  <c r="S556" i="1"/>
  <c r="T556" i="1"/>
  <c r="U556" i="1"/>
  <c r="X556" i="1"/>
  <c r="Y556" i="1"/>
  <c r="Z556" i="1"/>
  <c r="AA556" i="1"/>
  <c r="AB556" i="1"/>
  <c r="AC556" i="1"/>
  <c r="AD556" i="1"/>
  <c r="AE556" i="1"/>
  <c r="AF556" i="1"/>
  <c r="AG556" i="1"/>
  <c r="AH556" i="1"/>
  <c r="AI556" i="1"/>
  <c r="AJ556" i="1"/>
  <c r="AK556" i="1"/>
  <c r="C557" i="1"/>
  <c r="H557" i="1"/>
  <c r="I557" i="1"/>
  <c r="J557" i="1"/>
  <c r="K557" i="1"/>
  <c r="M557" i="1"/>
  <c r="P557" i="1"/>
  <c r="R557" i="1"/>
  <c r="S557" i="1"/>
  <c r="T557" i="1"/>
  <c r="U557" i="1"/>
  <c r="X557" i="1"/>
  <c r="Y557" i="1"/>
  <c r="Z557" i="1"/>
  <c r="AA557" i="1"/>
  <c r="AB557" i="1"/>
  <c r="AC557" i="1"/>
  <c r="AD557" i="1"/>
  <c r="AE557" i="1"/>
  <c r="AF557" i="1"/>
  <c r="AG557" i="1"/>
  <c r="AH557" i="1"/>
  <c r="AI557" i="1"/>
  <c r="AJ557" i="1"/>
  <c r="AK557" i="1"/>
  <c r="C558" i="1"/>
  <c r="H558" i="1"/>
  <c r="I558" i="1"/>
  <c r="J558" i="1"/>
  <c r="K558" i="1"/>
  <c r="M558" i="1"/>
  <c r="P558" i="1"/>
  <c r="R558" i="1"/>
  <c r="S558" i="1"/>
  <c r="T558" i="1"/>
  <c r="U558" i="1"/>
  <c r="X558" i="1"/>
  <c r="Y558" i="1"/>
  <c r="Z558" i="1"/>
  <c r="AA558" i="1"/>
  <c r="AB558" i="1"/>
  <c r="AC558" i="1"/>
  <c r="AD558" i="1"/>
  <c r="AE558" i="1"/>
  <c r="AF558" i="1"/>
  <c r="AG558" i="1"/>
  <c r="AH558" i="1"/>
  <c r="AI558" i="1"/>
  <c r="AJ558" i="1"/>
  <c r="AK558" i="1"/>
  <c r="C559" i="1"/>
  <c r="H559" i="1"/>
  <c r="I559" i="1"/>
  <c r="J559" i="1"/>
  <c r="K559" i="1"/>
  <c r="M559" i="1"/>
  <c r="P559" i="1"/>
  <c r="R559" i="1"/>
  <c r="S559" i="1"/>
  <c r="T559" i="1"/>
  <c r="U559" i="1"/>
  <c r="X559" i="1"/>
  <c r="Y559" i="1"/>
  <c r="Z559" i="1"/>
  <c r="AA559" i="1"/>
  <c r="AB559" i="1"/>
  <c r="AC559" i="1"/>
  <c r="AD559" i="1"/>
  <c r="AE559" i="1"/>
  <c r="AF559" i="1"/>
  <c r="AG559" i="1"/>
  <c r="AH559" i="1"/>
  <c r="AI559" i="1"/>
  <c r="AJ559" i="1"/>
  <c r="AK559" i="1"/>
  <c r="C560" i="1"/>
  <c r="H560" i="1"/>
  <c r="I560" i="1"/>
  <c r="J560" i="1"/>
  <c r="K560" i="1"/>
  <c r="M560" i="1"/>
  <c r="P560" i="1"/>
  <c r="R560" i="1"/>
  <c r="S560" i="1"/>
  <c r="T560" i="1"/>
  <c r="U560" i="1"/>
  <c r="X560" i="1"/>
  <c r="Y560" i="1"/>
  <c r="Z560" i="1"/>
  <c r="AA560" i="1"/>
  <c r="AB560" i="1"/>
  <c r="AC560" i="1"/>
  <c r="AD560" i="1"/>
  <c r="AE560" i="1"/>
  <c r="AF560" i="1"/>
  <c r="AG560" i="1"/>
  <c r="AH560" i="1"/>
  <c r="AI560" i="1"/>
  <c r="AJ560" i="1"/>
  <c r="AK560" i="1"/>
  <c r="C561" i="1"/>
  <c r="H561" i="1"/>
  <c r="I561" i="1"/>
  <c r="J561" i="1"/>
  <c r="K561" i="1"/>
  <c r="M561" i="1"/>
  <c r="P561" i="1"/>
  <c r="R561" i="1"/>
  <c r="S561" i="1"/>
  <c r="T561" i="1"/>
  <c r="U561" i="1"/>
  <c r="X561" i="1"/>
  <c r="Y561" i="1"/>
  <c r="Z561" i="1"/>
  <c r="AA561" i="1"/>
  <c r="AB561" i="1"/>
  <c r="AC561" i="1"/>
  <c r="AD561" i="1"/>
  <c r="AE561" i="1"/>
  <c r="AF561" i="1"/>
  <c r="AG561" i="1"/>
  <c r="AH561" i="1"/>
  <c r="AI561" i="1"/>
  <c r="AJ561" i="1"/>
  <c r="AK561" i="1"/>
  <c r="C542" i="1"/>
  <c r="H542" i="1"/>
  <c r="I542" i="1"/>
  <c r="J542" i="1"/>
  <c r="K542" i="1"/>
  <c r="M542" i="1"/>
  <c r="P542" i="1"/>
  <c r="R542" i="1"/>
  <c r="S542" i="1"/>
  <c r="T542" i="1"/>
  <c r="U542" i="1"/>
  <c r="X542" i="1"/>
  <c r="Y542" i="1"/>
  <c r="Z542" i="1"/>
  <c r="AA542" i="1"/>
  <c r="AB542" i="1"/>
  <c r="AC542" i="1"/>
  <c r="AD542" i="1"/>
  <c r="AE542" i="1"/>
  <c r="AF542" i="1"/>
  <c r="AG542" i="1"/>
  <c r="AH542" i="1"/>
  <c r="AI542" i="1"/>
  <c r="AJ542" i="1"/>
  <c r="AK542" i="1"/>
  <c r="C543" i="1"/>
  <c r="H543" i="1"/>
  <c r="I543" i="1"/>
  <c r="J543" i="1"/>
  <c r="K543" i="1"/>
  <c r="M543" i="1"/>
  <c r="P543" i="1"/>
  <c r="R543" i="1"/>
  <c r="S543" i="1"/>
  <c r="T543" i="1"/>
  <c r="U543" i="1"/>
  <c r="X543" i="1"/>
  <c r="Y543" i="1"/>
  <c r="Z543" i="1"/>
  <c r="AA543" i="1"/>
  <c r="AB543" i="1"/>
  <c r="AC543" i="1"/>
  <c r="AD543" i="1"/>
  <c r="AE543" i="1"/>
  <c r="AF543" i="1"/>
  <c r="AG543" i="1"/>
  <c r="AH543" i="1"/>
  <c r="AI543" i="1"/>
  <c r="AJ543" i="1"/>
  <c r="AK543" i="1"/>
  <c r="C544" i="1"/>
  <c r="H544" i="1"/>
  <c r="I544" i="1"/>
  <c r="J544" i="1"/>
  <c r="K544" i="1"/>
  <c r="M544" i="1"/>
  <c r="P544" i="1"/>
  <c r="R544" i="1"/>
  <c r="S544" i="1"/>
  <c r="T544" i="1"/>
  <c r="U544" i="1"/>
  <c r="X544" i="1"/>
  <c r="Y544" i="1"/>
  <c r="Z544" i="1"/>
  <c r="AA544" i="1"/>
  <c r="AB544" i="1"/>
  <c r="AC544" i="1"/>
  <c r="AD544" i="1"/>
  <c r="AE544" i="1"/>
  <c r="AF544" i="1"/>
  <c r="AG544" i="1"/>
  <c r="AH544" i="1"/>
  <c r="AI544" i="1"/>
  <c r="AJ544" i="1"/>
  <c r="AK544" i="1"/>
  <c r="C545" i="1"/>
  <c r="H545" i="1"/>
  <c r="I545" i="1"/>
  <c r="J545" i="1"/>
  <c r="K545" i="1"/>
  <c r="M545" i="1"/>
  <c r="P545" i="1"/>
  <c r="R545" i="1"/>
  <c r="S545" i="1"/>
  <c r="T545" i="1"/>
  <c r="U545" i="1"/>
  <c r="X545" i="1"/>
  <c r="Y545" i="1"/>
  <c r="Z545" i="1"/>
  <c r="AA545" i="1"/>
  <c r="AB545" i="1"/>
  <c r="AC545" i="1"/>
  <c r="AD545" i="1"/>
  <c r="AE545" i="1"/>
  <c r="AF545" i="1"/>
  <c r="AG545" i="1"/>
  <c r="AH545" i="1"/>
  <c r="AI545" i="1"/>
  <c r="AJ545" i="1"/>
  <c r="AK545" i="1"/>
  <c r="C546" i="1"/>
  <c r="H546" i="1"/>
  <c r="I546" i="1"/>
  <c r="J546" i="1"/>
  <c r="K546" i="1"/>
  <c r="M546" i="1"/>
  <c r="P546" i="1"/>
  <c r="R546" i="1"/>
  <c r="S546" i="1"/>
  <c r="T546" i="1"/>
  <c r="U546" i="1"/>
  <c r="X546" i="1"/>
  <c r="Y546" i="1"/>
  <c r="Z546" i="1"/>
  <c r="AA546" i="1"/>
  <c r="AB546" i="1"/>
  <c r="AC546" i="1"/>
  <c r="AD546" i="1"/>
  <c r="AE546" i="1"/>
  <c r="AF546" i="1"/>
  <c r="AG546" i="1"/>
  <c r="AH546" i="1"/>
  <c r="AI546" i="1"/>
  <c r="AJ546" i="1"/>
  <c r="AK546" i="1"/>
  <c r="C547" i="1"/>
  <c r="H547" i="1"/>
  <c r="I547" i="1"/>
  <c r="J547" i="1"/>
  <c r="K547" i="1"/>
  <c r="M547" i="1"/>
  <c r="P547" i="1"/>
  <c r="R547" i="1"/>
  <c r="S547" i="1"/>
  <c r="T547" i="1"/>
  <c r="U547" i="1"/>
  <c r="X547" i="1"/>
  <c r="Y547" i="1"/>
  <c r="Z547" i="1"/>
  <c r="AA547" i="1"/>
  <c r="AB547" i="1"/>
  <c r="AC547" i="1"/>
  <c r="AD547" i="1"/>
  <c r="AE547" i="1"/>
  <c r="AF547" i="1"/>
  <c r="AG547" i="1"/>
  <c r="AH547" i="1"/>
  <c r="AI547" i="1"/>
  <c r="AJ547" i="1"/>
  <c r="AK547" i="1"/>
  <c r="C548" i="1"/>
  <c r="H548" i="1"/>
  <c r="I548" i="1"/>
  <c r="J548" i="1"/>
  <c r="K548" i="1"/>
  <c r="M548" i="1"/>
  <c r="P548" i="1"/>
  <c r="R548" i="1"/>
  <c r="S548" i="1"/>
  <c r="T548" i="1"/>
  <c r="U548" i="1"/>
  <c r="X548" i="1"/>
  <c r="Y548" i="1"/>
  <c r="Z548" i="1"/>
  <c r="AA548" i="1"/>
  <c r="AB548" i="1"/>
  <c r="AC548" i="1"/>
  <c r="AD548" i="1"/>
  <c r="AE548" i="1"/>
  <c r="AF548" i="1"/>
  <c r="AG548" i="1"/>
  <c r="AH548" i="1"/>
  <c r="AI548" i="1"/>
  <c r="AJ548" i="1"/>
  <c r="AK548" i="1"/>
  <c r="C549" i="1"/>
  <c r="H549" i="1"/>
  <c r="I549" i="1"/>
  <c r="J549" i="1"/>
  <c r="K549" i="1"/>
  <c r="M549" i="1"/>
  <c r="P549" i="1"/>
  <c r="R549" i="1"/>
  <c r="S549" i="1"/>
  <c r="T549" i="1"/>
  <c r="U549" i="1"/>
  <c r="X549" i="1"/>
  <c r="Y549" i="1"/>
  <c r="Z549" i="1"/>
  <c r="AA549" i="1"/>
  <c r="AB549" i="1"/>
  <c r="AC549" i="1"/>
  <c r="AD549" i="1"/>
  <c r="AE549" i="1"/>
  <c r="AF549" i="1"/>
  <c r="AG549" i="1"/>
  <c r="AH549" i="1"/>
  <c r="AI549" i="1"/>
  <c r="AJ549" i="1"/>
  <c r="AK549" i="1"/>
  <c r="C550" i="1"/>
  <c r="H550" i="1"/>
  <c r="I550" i="1"/>
  <c r="J550" i="1"/>
  <c r="K550" i="1"/>
  <c r="M550" i="1"/>
  <c r="P550" i="1"/>
  <c r="R550" i="1"/>
  <c r="S550" i="1"/>
  <c r="T550" i="1"/>
  <c r="U550" i="1"/>
  <c r="X550" i="1"/>
  <c r="Y550" i="1"/>
  <c r="Z550" i="1"/>
  <c r="AA550" i="1"/>
  <c r="AB550" i="1"/>
  <c r="AC550" i="1"/>
  <c r="AD550" i="1"/>
  <c r="AE550" i="1"/>
  <c r="AF550" i="1"/>
  <c r="AG550" i="1"/>
  <c r="AH550" i="1"/>
  <c r="AI550" i="1"/>
  <c r="AJ550" i="1"/>
  <c r="AK550" i="1"/>
  <c r="C551" i="1"/>
  <c r="H551" i="1"/>
  <c r="I551" i="1"/>
  <c r="J551" i="1"/>
  <c r="K551" i="1"/>
  <c r="M551" i="1"/>
  <c r="P551" i="1"/>
  <c r="R551" i="1"/>
  <c r="S551" i="1"/>
  <c r="T551" i="1"/>
  <c r="U551" i="1"/>
  <c r="X551" i="1"/>
  <c r="Y551" i="1"/>
  <c r="Z551" i="1"/>
  <c r="AA551" i="1"/>
  <c r="AB551" i="1"/>
  <c r="AC551" i="1"/>
  <c r="AD551" i="1"/>
  <c r="AE551" i="1"/>
  <c r="AF551" i="1"/>
  <c r="AG551" i="1"/>
  <c r="AH551" i="1"/>
  <c r="AI551" i="1"/>
  <c r="AJ551" i="1"/>
  <c r="AK551" i="1"/>
  <c r="C532" i="1"/>
  <c r="H532" i="1"/>
  <c r="I532" i="1"/>
  <c r="J532" i="1"/>
  <c r="K532" i="1"/>
  <c r="M532" i="1"/>
  <c r="P532" i="1"/>
  <c r="R532" i="1"/>
  <c r="S532" i="1"/>
  <c r="T532" i="1"/>
  <c r="U532" i="1"/>
  <c r="X532" i="1"/>
  <c r="Y532" i="1"/>
  <c r="Z532" i="1"/>
  <c r="AA532" i="1"/>
  <c r="AB532" i="1"/>
  <c r="AC532" i="1"/>
  <c r="AD532" i="1"/>
  <c r="AE532" i="1"/>
  <c r="AF532" i="1"/>
  <c r="AG532" i="1"/>
  <c r="AH532" i="1"/>
  <c r="AI532" i="1"/>
  <c r="AJ532" i="1"/>
  <c r="AK532" i="1"/>
  <c r="C533" i="1"/>
  <c r="H533" i="1"/>
  <c r="I533" i="1"/>
  <c r="J533" i="1"/>
  <c r="K533" i="1"/>
  <c r="M533" i="1"/>
  <c r="P533" i="1"/>
  <c r="R533" i="1"/>
  <c r="S533" i="1"/>
  <c r="T533" i="1"/>
  <c r="U533" i="1"/>
  <c r="X533" i="1"/>
  <c r="Y533" i="1"/>
  <c r="Z533" i="1"/>
  <c r="AA533" i="1"/>
  <c r="AB533" i="1"/>
  <c r="AC533" i="1"/>
  <c r="AD533" i="1"/>
  <c r="AE533" i="1"/>
  <c r="AF533" i="1"/>
  <c r="AG533" i="1"/>
  <c r="AH533" i="1"/>
  <c r="AI533" i="1"/>
  <c r="AJ533" i="1"/>
  <c r="AK533" i="1"/>
  <c r="C534" i="1"/>
  <c r="H534" i="1"/>
  <c r="I534" i="1"/>
  <c r="J534" i="1"/>
  <c r="K534" i="1"/>
  <c r="M534" i="1"/>
  <c r="P534" i="1"/>
  <c r="R534" i="1"/>
  <c r="S534" i="1"/>
  <c r="T534" i="1"/>
  <c r="U534" i="1"/>
  <c r="X534" i="1"/>
  <c r="Y534" i="1"/>
  <c r="Z534" i="1"/>
  <c r="AA534" i="1"/>
  <c r="AB534" i="1"/>
  <c r="AC534" i="1"/>
  <c r="AD534" i="1"/>
  <c r="AE534" i="1"/>
  <c r="AF534" i="1"/>
  <c r="AG534" i="1"/>
  <c r="AH534" i="1"/>
  <c r="AI534" i="1"/>
  <c r="AJ534" i="1"/>
  <c r="AK534" i="1"/>
  <c r="C535" i="1"/>
  <c r="H535" i="1"/>
  <c r="I535" i="1"/>
  <c r="J535" i="1"/>
  <c r="K535" i="1"/>
  <c r="M535" i="1"/>
  <c r="P535" i="1"/>
  <c r="R535" i="1"/>
  <c r="S535" i="1"/>
  <c r="T535" i="1"/>
  <c r="U535" i="1"/>
  <c r="X535" i="1"/>
  <c r="Y535" i="1"/>
  <c r="Z535" i="1"/>
  <c r="AA535" i="1"/>
  <c r="AB535" i="1"/>
  <c r="AC535" i="1"/>
  <c r="AD535" i="1"/>
  <c r="AE535" i="1"/>
  <c r="AF535" i="1"/>
  <c r="AG535" i="1"/>
  <c r="AH535" i="1"/>
  <c r="AI535" i="1"/>
  <c r="AJ535" i="1"/>
  <c r="AK535" i="1"/>
  <c r="C536" i="1"/>
  <c r="H536" i="1"/>
  <c r="I536" i="1"/>
  <c r="J536" i="1"/>
  <c r="K536" i="1"/>
  <c r="M536" i="1"/>
  <c r="P536" i="1"/>
  <c r="R536" i="1"/>
  <c r="S536" i="1"/>
  <c r="T536" i="1"/>
  <c r="U536" i="1"/>
  <c r="X536" i="1"/>
  <c r="Y536" i="1"/>
  <c r="Z536" i="1"/>
  <c r="AA536" i="1"/>
  <c r="AB536" i="1"/>
  <c r="AC536" i="1"/>
  <c r="AD536" i="1"/>
  <c r="AE536" i="1"/>
  <c r="AF536" i="1"/>
  <c r="AG536" i="1"/>
  <c r="AH536" i="1"/>
  <c r="AI536" i="1"/>
  <c r="AJ536" i="1"/>
  <c r="AK536" i="1"/>
  <c r="C537" i="1"/>
  <c r="H537" i="1"/>
  <c r="I537" i="1"/>
  <c r="J537" i="1"/>
  <c r="K537" i="1"/>
  <c r="M537" i="1"/>
  <c r="P537" i="1"/>
  <c r="R537" i="1"/>
  <c r="S537" i="1"/>
  <c r="T537" i="1"/>
  <c r="U537" i="1"/>
  <c r="X537" i="1"/>
  <c r="Y537" i="1"/>
  <c r="Z537" i="1"/>
  <c r="AA537" i="1"/>
  <c r="AB537" i="1"/>
  <c r="AC537" i="1"/>
  <c r="AD537" i="1"/>
  <c r="AE537" i="1"/>
  <c r="AF537" i="1"/>
  <c r="AG537" i="1"/>
  <c r="AH537" i="1"/>
  <c r="AI537" i="1"/>
  <c r="AJ537" i="1"/>
  <c r="AK537" i="1"/>
  <c r="C538" i="1"/>
  <c r="H538" i="1"/>
  <c r="I538" i="1"/>
  <c r="J538" i="1"/>
  <c r="K538" i="1"/>
  <c r="M538" i="1"/>
  <c r="P538" i="1"/>
  <c r="R538" i="1"/>
  <c r="S538" i="1"/>
  <c r="T538" i="1"/>
  <c r="U538" i="1"/>
  <c r="X538" i="1"/>
  <c r="Y538" i="1"/>
  <c r="Z538" i="1"/>
  <c r="AA538" i="1"/>
  <c r="AB538" i="1"/>
  <c r="AC538" i="1"/>
  <c r="AD538" i="1"/>
  <c r="AE538" i="1"/>
  <c r="AF538" i="1"/>
  <c r="AG538" i="1"/>
  <c r="AH538" i="1"/>
  <c r="AI538" i="1"/>
  <c r="AJ538" i="1"/>
  <c r="AK538" i="1"/>
  <c r="C539" i="1"/>
  <c r="H539" i="1"/>
  <c r="I539" i="1"/>
  <c r="J539" i="1"/>
  <c r="K539" i="1"/>
  <c r="M539" i="1"/>
  <c r="P539" i="1"/>
  <c r="R539" i="1"/>
  <c r="S539" i="1"/>
  <c r="T539" i="1"/>
  <c r="U539" i="1"/>
  <c r="X539" i="1"/>
  <c r="Y539" i="1"/>
  <c r="Z539" i="1"/>
  <c r="AA539" i="1"/>
  <c r="AB539" i="1"/>
  <c r="AC539" i="1"/>
  <c r="AD539" i="1"/>
  <c r="AE539" i="1"/>
  <c r="AF539" i="1"/>
  <c r="AG539" i="1"/>
  <c r="AH539" i="1"/>
  <c r="AI539" i="1"/>
  <c r="AJ539" i="1"/>
  <c r="AK539" i="1"/>
  <c r="C540" i="1"/>
  <c r="H540" i="1"/>
  <c r="I540" i="1"/>
  <c r="J540" i="1"/>
  <c r="K540" i="1"/>
  <c r="M540" i="1"/>
  <c r="P540" i="1"/>
  <c r="R540" i="1"/>
  <c r="S540" i="1"/>
  <c r="T540" i="1"/>
  <c r="U540" i="1"/>
  <c r="X540" i="1"/>
  <c r="Y540" i="1"/>
  <c r="Z540" i="1"/>
  <c r="AA540" i="1"/>
  <c r="AB540" i="1"/>
  <c r="AC540" i="1"/>
  <c r="AD540" i="1"/>
  <c r="AE540" i="1"/>
  <c r="AF540" i="1"/>
  <c r="AG540" i="1"/>
  <c r="AH540" i="1"/>
  <c r="AI540" i="1"/>
  <c r="AJ540" i="1"/>
  <c r="AK540" i="1"/>
  <c r="C541" i="1"/>
  <c r="H541" i="1"/>
  <c r="I541" i="1"/>
  <c r="J541" i="1"/>
  <c r="K541" i="1"/>
  <c r="M541" i="1"/>
  <c r="P541" i="1"/>
  <c r="R541" i="1"/>
  <c r="S541" i="1"/>
  <c r="T541" i="1"/>
  <c r="U541" i="1"/>
  <c r="X541" i="1"/>
  <c r="Y541" i="1"/>
  <c r="Z541" i="1"/>
  <c r="AA541" i="1"/>
  <c r="AB541" i="1"/>
  <c r="AC541" i="1"/>
  <c r="AD541" i="1"/>
  <c r="AE541" i="1"/>
  <c r="AF541" i="1"/>
  <c r="AG541" i="1"/>
  <c r="AH541" i="1"/>
  <c r="AI541" i="1"/>
  <c r="AJ541" i="1"/>
  <c r="AK541" i="1"/>
  <c r="C522" i="1"/>
  <c r="H522" i="1"/>
  <c r="I522" i="1"/>
  <c r="J522" i="1"/>
  <c r="K522" i="1"/>
  <c r="M522" i="1"/>
  <c r="P522" i="1"/>
  <c r="R522" i="1"/>
  <c r="S522" i="1"/>
  <c r="T522" i="1"/>
  <c r="U522" i="1"/>
  <c r="X522" i="1"/>
  <c r="Y522" i="1"/>
  <c r="Z522" i="1"/>
  <c r="AA522" i="1"/>
  <c r="AB522" i="1"/>
  <c r="AC522" i="1"/>
  <c r="AD522" i="1"/>
  <c r="AE522" i="1"/>
  <c r="AF522" i="1"/>
  <c r="AG522" i="1"/>
  <c r="AH522" i="1"/>
  <c r="AI522" i="1"/>
  <c r="AJ522" i="1"/>
  <c r="AK522" i="1"/>
  <c r="C523" i="1"/>
  <c r="H523" i="1"/>
  <c r="I523" i="1"/>
  <c r="J523" i="1"/>
  <c r="K523" i="1"/>
  <c r="M523" i="1"/>
  <c r="P523" i="1"/>
  <c r="R523" i="1"/>
  <c r="S523" i="1"/>
  <c r="T523" i="1"/>
  <c r="U523" i="1"/>
  <c r="X523" i="1"/>
  <c r="Y523" i="1"/>
  <c r="Z523" i="1"/>
  <c r="AA523" i="1"/>
  <c r="AB523" i="1"/>
  <c r="AC523" i="1"/>
  <c r="AD523" i="1"/>
  <c r="AE523" i="1"/>
  <c r="AF523" i="1"/>
  <c r="AG523" i="1"/>
  <c r="AH523" i="1"/>
  <c r="AI523" i="1"/>
  <c r="AJ523" i="1"/>
  <c r="AK523" i="1"/>
  <c r="C524" i="1"/>
  <c r="H524" i="1"/>
  <c r="I524" i="1"/>
  <c r="J524" i="1"/>
  <c r="K524" i="1"/>
  <c r="M524" i="1"/>
  <c r="P524" i="1"/>
  <c r="R524" i="1"/>
  <c r="S524" i="1"/>
  <c r="T524" i="1"/>
  <c r="U524" i="1"/>
  <c r="X524" i="1"/>
  <c r="Y524" i="1"/>
  <c r="Z524" i="1"/>
  <c r="AA524" i="1"/>
  <c r="AB524" i="1"/>
  <c r="AC524" i="1"/>
  <c r="AD524" i="1"/>
  <c r="AE524" i="1"/>
  <c r="AF524" i="1"/>
  <c r="AG524" i="1"/>
  <c r="AH524" i="1"/>
  <c r="AI524" i="1"/>
  <c r="AJ524" i="1"/>
  <c r="AK524" i="1"/>
  <c r="C525" i="1"/>
  <c r="H525" i="1"/>
  <c r="I525" i="1"/>
  <c r="J525" i="1"/>
  <c r="K525" i="1"/>
  <c r="M525" i="1"/>
  <c r="P525" i="1"/>
  <c r="R525" i="1"/>
  <c r="S525" i="1"/>
  <c r="T525" i="1"/>
  <c r="U525" i="1"/>
  <c r="X525" i="1"/>
  <c r="Y525" i="1"/>
  <c r="Z525" i="1"/>
  <c r="AA525" i="1"/>
  <c r="AB525" i="1"/>
  <c r="AC525" i="1"/>
  <c r="AD525" i="1"/>
  <c r="AE525" i="1"/>
  <c r="AF525" i="1"/>
  <c r="AG525" i="1"/>
  <c r="AH525" i="1"/>
  <c r="AI525" i="1"/>
  <c r="AJ525" i="1"/>
  <c r="AK525" i="1"/>
  <c r="C526" i="1"/>
  <c r="H526" i="1"/>
  <c r="I526" i="1"/>
  <c r="J526" i="1"/>
  <c r="K526" i="1"/>
  <c r="M526" i="1"/>
  <c r="P526" i="1"/>
  <c r="R526" i="1"/>
  <c r="S526" i="1"/>
  <c r="T526" i="1"/>
  <c r="U526" i="1"/>
  <c r="X526" i="1"/>
  <c r="Y526" i="1"/>
  <c r="Z526" i="1"/>
  <c r="AA526" i="1"/>
  <c r="AB526" i="1"/>
  <c r="AC526" i="1"/>
  <c r="AD526" i="1"/>
  <c r="AE526" i="1"/>
  <c r="AF526" i="1"/>
  <c r="AG526" i="1"/>
  <c r="AH526" i="1"/>
  <c r="AI526" i="1"/>
  <c r="AJ526" i="1"/>
  <c r="AK526" i="1"/>
  <c r="C527" i="1"/>
  <c r="H527" i="1"/>
  <c r="I527" i="1"/>
  <c r="J527" i="1"/>
  <c r="K527" i="1"/>
  <c r="M527" i="1"/>
  <c r="P527" i="1"/>
  <c r="R527" i="1"/>
  <c r="S527" i="1"/>
  <c r="T527" i="1"/>
  <c r="U527" i="1"/>
  <c r="X527" i="1"/>
  <c r="Y527" i="1"/>
  <c r="Z527" i="1"/>
  <c r="AA527" i="1"/>
  <c r="AB527" i="1"/>
  <c r="AC527" i="1"/>
  <c r="AD527" i="1"/>
  <c r="AE527" i="1"/>
  <c r="AF527" i="1"/>
  <c r="AG527" i="1"/>
  <c r="AH527" i="1"/>
  <c r="AI527" i="1"/>
  <c r="AJ527" i="1"/>
  <c r="AK527" i="1"/>
  <c r="C528" i="1"/>
  <c r="H528" i="1"/>
  <c r="I528" i="1"/>
  <c r="J528" i="1"/>
  <c r="K528" i="1"/>
  <c r="M528" i="1"/>
  <c r="P528" i="1"/>
  <c r="R528" i="1"/>
  <c r="S528" i="1"/>
  <c r="T528" i="1"/>
  <c r="U528" i="1"/>
  <c r="X528" i="1"/>
  <c r="Y528" i="1"/>
  <c r="Z528" i="1"/>
  <c r="AA528" i="1"/>
  <c r="AB528" i="1"/>
  <c r="AC528" i="1"/>
  <c r="AD528" i="1"/>
  <c r="AE528" i="1"/>
  <c r="AF528" i="1"/>
  <c r="AG528" i="1"/>
  <c r="AH528" i="1"/>
  <c r="AI528" i="1"/>
  <c r="AJ528" i="1"/>
  <c r="AK528" i="1"/>
  <c r="C529" i="1"/>
  <c r="H529" i="1"/>
  <c r="I529" i="1"/>
  <c r="J529" i="1"/>
  <c r="K529" i="1"/>
  <c r="M529" i="1"/>
  <c r="P529" i="1"/>
  <c r="R529" i="1"/>
  <c r="S529" i="1"/>
  <c r="T529" i="1"/>
  <c r="U529" i="1"/>
  <c r="X529" i="1"/>
  <c r="Y529" i="1"/>
  <c r="Z529" i="1"/>
  <c r="AA529" i="1"/>
  <c r="AB529" i="1"/>
  <c r="AC529" i="1"/>
  <c r="AD529" i="1"/>
  <c r="AE529" i="1"/>
  <c r="AF529" i="1"/>
  <c r="AG529" i="1"/>
  <c r="AH529" i="1"/>
  <c r="AI529" i="1"/>
  <c r="AJ529" i="1"/>
  <c r="AK529" i="1"/>
  <c r="C530" i="1"/>
  <c r="H530" i="1"/>
  <c r="I530" i="1"/>
  <c r="J530" i="1"/>
  <c r="K530" i="1"/>
  <c r="M530" i="1"/>
  <c r="P530" i="1"/>
  <c r="R530" i="1"/>
  <c r="S530" i="1"/>
  <c r="T530" i="1"/>
  <c r="U530" i="1"/>
  <c r="X530" i="1"/>
  <c r="Y530" i="1"/>
  <c r="Z530" i="1"/>
  <c r="AA530" i="1"/>
  <c r="AB530" i="1"/>
  <c r="AC530" i="1"/>
  <c r="AD530" i="1"/>
  <c r="AE530" i="1"/>
  <c r="AF530" i="1"/>
  <c r="AG530" i="1"/>
  <c r="AH530" i="1"/>
  <c r="AI530" i="1"/>
  <c r="AJ530" i="1"/>
  <c r="AK530" i="1"/>
  <c r="C531" i="1"/>
  <c r="H531" i="1"/>
  <c r="I531" i="1"/>
  <c r="J531" i="1"/>
  <c r="K531" i="1"/>
  <c r="M531" i="1"/>
  <c r="P531" i="1"/>
  <c r="R531" i="1"/>
  <c r="S531" i="1"/>
  <c r="T531" i="1"/>
  <c r="U531" i="1"/>
  <c r="X531" i="1"/>
  <c r="Y531" i="1"/>
  <c r="Z531" i="1"/>
  <c r="AA531" i="1"/>
  <c r="AB531" i="1"/>
  <c r="AC531" i="1"/>
  <c r="AD531" i="1"/>
  <c r="AE531" i="1"/>
  <c r="AF531" i="1"/>
  <c r="AG531" i="1"/>
  <c r="AH531" i="1"/>
  <c r="AI531" i="1"/>
  <c r="AJ531" i="1"/>
  <c r="AK531" i="1"/>
  <c r="C512" i="1"/>
  <c r="H512" i="1"/>
  <c r="I512" i="1"/>
  <c r="J512" i="1"/>
  <c r="K512" i="1"/>
  <c r="M512" i="1"/>
  <c r="P512" i="1"/>
  <c r="R512" i="1"/>
  <c r="S512" i="1"/>
  <c r="T512" i="1"/>
  <c r="U512" i="1"/>
  <c r="X512" i="1"/>
  <c r="Y512" i="1"/>
  <c r="Z512" i="1"/>
  <c r="AA512" i="1"/>
  <c r="AB512" i="1"/>
  <c r="AC512" i="1"/>
  <c r="AD512" i="1"/>
  <c r="AE512" i="1"/>
  <c r="AF512" i="1"/>
  <c r="AG512" i="1"/>
  <c r="AH512" i="1"/>
  <c r="AI512" i="1"/>
  <c r="AJ512" i="1"/>
  <c r="AK512" i="1"/>
  <c r="C513" i="1"/>
  <c r="H513" i="1"/>
  <c r="I513" i="1"/>
  <c r="J513" i="1"/>
  <c r="K513" i="1"/>
  <c r="M513" i="1"/>
  <c r="P513" i="1"/>
  <c r="R513" i="1"/>
  <c r="S513" i="1"/>
  <c r="T513" i="1"/>
  <c r="U513" i="1"/>
  <c r="X513" i="1"/>
  <c r="Y513" i="1"/>
  <c r="Z513" i="1"/>
  <c r="AA513" i="1"/>
  <c r="AB513" i="1"/>
  <c r="AC513" i="1"/>
  <c r="AD513" i="1"/>
  <c r="AE513" i="1"/>
  <c r="AF513" i="1"/>
  <c r="AG513" i="1"/>
  <c r="AH513" i="1"/>
  <c r="AI513" i="1"/>
  <c r="AJ513" i="1"/>
  <c r="AK513" i="1"/>
  <c r="C514" i="1"/>
  <c r="H514" i="1"/>
  <c r="I514" i="1"/>
  <c r="J514" i="1"/>
  <c r="K514" i="1"/>
  <c r="M514" i="1"/>
  <c r="P514" i="1"/>
  <c r="R514" i="1"/>
  <c r="S514" i="1"/>
  <c r="T514" i="1"/>
  <c r="U514" i="1"/>
  <c r="X514" i="1"/>
  <c r="Y514" i="1"/>
  <c r="Z514" i="1"/>
  <c r="AA514" i="1"/>
  <c r="AB514" i="1"/>
  <c r="AC514" i="1"/>
  <c r="AD514" i="1"/>
  <c r="AE514" i="1"/>
  <c r="AF514" i="1"/>
  <c r="AG514" i="1"/>
  <c r="AH514" i="1"/>
  <c r="AI514" i="1"/>
  <c r="AJ514" i="1"/>
  <c r="AK514" i="1"/>
  <c r="C515" i="1"/>
  <c r="H515" i="1"/>
  <c r="I515" i="1"/>
  <c r="J515" i="1"/>
  <c r="K515" i="1"/>
  <c r="M515" i="1"/>
  <c r="P515" i="1"/>
  <c r="R515" i="1"/>
  <c r="S515" i="1"/>
  <c r="T515" i="1"/>
  <c r="U515" i="1"/>
  <c r="X515" i="1"/>
  <c r="Y515" i="1"/>
  <c r="Z515" i="1"/>
  <c r="AA515" i="1"/>
  <c r="AB515" i="1"/>
  <c r="AC515" i="1"/>
  <c r="AD515" i="1"/>
  <c r="AE515" i="1"/>
  <c r="AF515" i="1"/>
  <c r="AG515" i="1"/>
  <c r="AH515" i="1"/>
  <c r="AI515" i="1"/>
  <c r="AJ515" i="1"/>
  <c r="AK515" i="1"/>
  <c r="C516" i="1"/>
  <c r="H516" i="1"/>
  <c r="I516" i="1"/>
  <c r="J516" i="1"/>
  <c r="K516" i="1"/>
  <c r="M516" i="1"/>
  <c r="P516" i="1"/>
  <c r="R516" i="1"/>
  <c r="S516" i="1"/>
  <c r="T516" i="1"/>
  <c r="U516" i="1"/>
  <c r="X516" i="1"/>
  <c r="Y516" i="1"/>
  <c r="Z516" i="1"/>
  <c r="AA516" i="1"/>
  <c r="AB516" i="1"/>
  <c r="AC516" i="1"/>
  <c r="AD516" i="1"/>
  <c r="AE516" i="1"/>
  <c r="AF516" i="1"/>
  <c r="AG516" i="1"/>
  <c r="AH516" i="1"/>
  <c r="AI516" i="1"/>
  <c r="AJ516" i="1"/>
  <c r="AK516" i="1"/>
  <c r="C517" i="1"/>
  <c r="H517" i="1"/>
  <c r="I517" i="1"/>
  <c r="J517" i="1"/>
  <c r="K517" i="1"/>
  <c r="M517" i="1"/>
  <c r="P517" i="1"/>
  <c r="R517" i="1"/>
  <c r="S517" i="1"/>
  <c r="T517" i="1"/>
  <c r="U517" i="1"/>
  <c r="X517" i="1"/>
  <c r="Y517" i="1"/>
  <c r="Z517" i="1"/>
  <c r="AA517" i="1"/>
  <c r="AB517" i="1"/>
  <c r="AC517" i="1"/>
  <c r="AD517" i="1"/>
  <c r="AE517" i="1"/>
  <c r="AF517" i="1"/>
  <c r="AG517" i="1"/>
  <c r="AH517" i="1"/>
  <c r="AI517" i="1"/>
  <c r="AJ517" i="1"/>
  <c r="AK517" i="1"/>
  <c r="C518" i="1"/>
  <c r="H518" i="1"/>
  <c r="I518" i="1"/>
  <c r="J518" i="1"/>
  <c r="K518" i="1"/>
  <c r="M518" i="1"/>
  <c r="P518" i="1"/>
  <c r="R518" i="1"/>
  <c r="S518" i="1"/>
  <c r="T518" i="1"/>
  <c r="U518" i="1"/>
  <c r="X518" i="1"/>
  <c r="Y518" i="1"/>
  <c r="Z518" i="1"/>
  <c r="AA518" i="1"/>
  <c r="AB518" i="1"/>
  <c r="AC518" i="1"/>
  <c r="AD518" i="1"/>
  <c r="AE518" i="1"/>
  <c r="AF518" i="1"/>
  <c r="AG518" i="1"/>
  <c r="AH518" i="1"/>
  <c r="AI518" i="1"/>
  <c r="AJ518" i="1"/>
  <c r="AK518" i="1"/>
  <c r="C519" i="1"/>
  <c r="H519" i="1"/>
  <c r="I519" i="1"/>
  <c r="J519" i="1"/>
  <c r="K519" i="1"/>
  <c r="M519" i="1"/>
  <c r="P519" i="1"/>
  <c r="R519" i="1"/>
  <c r="S519" i="1"/>
  <c r="T519" i="1"/>
  <c r="U519" i="1"/>
  <c r="X519" i="1"/>
  <c r="Y519" i="1"/>
  <c r="Z519" i="1"/>
  <c r="AA519" i="1"/>
  <c r="AB519" i="1"/>
  <c r="AC519" i="1"/>
  <c r="AD519" i="1"/>
  <c r="AE519" i="1"/>
  <c r="AF519" i="1"/>
  <c r="AG519" i="1"/>
  <c r="AH519" i="1"/>
  <c r="AI519" i="1"/>
  <c r="AJ519" i="1"/>
  <c r="AK519" i="1"/>
  <c r="C520" i="1"/>
  <c r="H520" i="1"/>
  <c r="I520" i="1"/>
  <c r="J520" i="1"/>
  <c r="K520" i="1"/>
  <c r="M520" i="1"/>
  <c r="P520" i="1"/>
  <c r="R520" i="1"/>
  <c r="S520" i="1"/>
  <c r="T520" i="1"/>
  <c r="U520" i="1"/>
  <c r="X520" i="1"/>
  <c r="Y520" i="1"/>
  <c r="Z520" i="1"/>
  <c r="AA520" i="1"/>
  <c r="AB520" i="1"/>
  <c r="AC520" i="1"/>
  <c r="AD520" i="1"/>
  <c r="AE520" i="1"/>
  <c r="AF520" i="1"/>
  <c r="AG520" i="1"/>
  <c r="AH520" i="1"/>
  <c r="AI520" i="1"/>
  <c r="AJ520" i="1"/>
  <c r="AK520" i="1"/>
  <c r="C521" i="1"/>
  <c r="H521" i="1"/>
  <c r="I521" i="1"/>
  <c r="J521" i="1"/>
  <c r="K521" i="1"/>
  <c r="M521" i="1"/>
  <c r="P521" i="1"/>
  <c r="R521" i="1"/>
  <c r="S521" i="1"/>
  <c r="T521" i="1"/>
  <c r="U521" i="1"/>
  <c r="X521" i="1"/>
  <c r="Y521" i="1"/>
  <c r="Z521" i="1"/>
  <c r="AA521" i="1"/>
  <c r="AB521" i="1"/>
  <c r="AC521" i="1"/>
  <c r="AD521" i="1"/>
  <c r="AE521" i="1"/>
  <c r="AF521" i="1"/>
  <c r="AG521" i="1"/>
  <c r="AH521" i="1"/>
  <c r="AI521" i="1"/>
  <c r="AJ521" i="1"/>
  <c r="AK521" i="1"/>
  <c r="C502" i="1"/>
  <c r="H502" i="1"/>
  <c r="I502" i="1"/>
  <c r="J502" i="1"/>
  <c r="K502" i="1"/>
  <c r="M502" i="1"/>
  <c r="P502" i="1"/>
  <c r="R502" i="1"/>
  <c r="S502" i="1"/>
  <c r="T502" i="1"/>
  <c r="U502" i="1"/>
  <c r="X502" i="1"/>
  <c r="Y502" i="1"/>
  <c r="Z502" i="1"/>
  <c r="AA502" i="1"/>
  <c r="AB502" i="1"/>
  <c r="AC502" i="1"/>
  <c r="AD502" i="1"/>
  <c r="AE502" i="1"/>
  <c r="AF502" i="1"/>
  <c r="AG502" i="1"/>
  <c r="AH502" i="1"/>
  <c r="AI502" i="1"/>
  <c r="AJ502" i="1"/>
  <c r="AK502" i="1"/>
  <c r="C503" i="1"/>
  <c r="H503" i="1"/>
  <c r="I503" i="1"/>
  <c r="J503" i="1"/>
  <c r="K503" i="1"/>
  <c r="M503" i="1"/>
  <c r="P503" i="1"/>
  <c r="R503" i="1"/>
  <c r="S503" i="1"/>
  <c r="T503" i="1"/>
  <c r="U503" i="1"/>
  <c r="X503" i="1"/>
  <c r="Y503" i="1"/>
  <c r="Z503" i="1"/>
  <c r="AA503" i="1"/>
  <c r="AB503" i="1"/>
  <c r="AC503" i="1"/>
  <c r="AD503" i="1"/>
  <c r="AE503" i="1"/>
  <c r="AF503" i="1"/>
  <c r="AG503" i="1"/>
  <c r="AH503" i="1"/>
  <c r="AI503" i="1"/>
  <c r="AJ503" i="1"/>
  <c r="AK503" i="1"/>
  <c r="C504" i="1"/>
  <c r="H504" i="1"/>
  <c r="I504" i="1"/>
  <c r="J504" i="1"/>
  <c r="K504" i="1"/>
  <c r="M504" i="1"/>
  <c r="P504" i="1"/>
  <c r="R504" i="1"/>
  <c r="S504" i="1"/>
  <c r="T504" i="1"/>
  <c r="U504" i="1"/>
  <c r="X504" i="1"/>
  <c r="Y504" i="1"/>
  <c r="Z504" i="1"/>
  <c r="AA504" i="1"/>
  <c r="AB504" i="1"/>
  <c r="AC504" i="1"/>
  <c r="AD504" i="1"/>
  <c r="AE504" i="1"/>
  <c r="AF504" i="1"/>
  <c r="AG504" i="1"/>
  <c r="AH504" i="1"/>
  <c r="AI504" i="1"/>
  <c r="AJ504" i="1"/>
  <c r="AK504" i="1"/>
  <c r="C505" i="1"/>
  <c r="H505" i="1"/>
  <c r="I505" i="1"/>
  <c r="J505" i="1"/>
  <c r="K505" i="1"/>
  <c r="M505" i="1"/>
  <c r="P505" i="1"/>
  <c r="R505" i="1"/>
  <c r="S505" i="1"/>
  <c r="T505" i="1"/>
  <c r="U505" i="1"/>
  <c r="X505" i="1"/>
  <c r="Y505" i="1"/>
  <c r="Z505" i="1"/>
  <c r="AA505" i="1"/>
  <c r="AB505" i="1"/>
  <c r="AC505" i="1"/>
  <c r="AD505" i="1"/>
  <c r="AE505" i="1"/>
  <c r="AF505" i="1"/>
  <c r="AG505" i="1"/>
  <c r="AH505" i="1"/>
  <c r="AI505" i="1"/>
  <c r="AJ505" i="1"/>
  <c r="AK505" i="1"/>
  <c r="C506" i="1"/>
  <c r="H506" i="1"/>
  <c r="I506" i="1"/>
  <c r="J506" i="1"/>
  <c r="K506" i="1"/>
  <c r="M506" i="1"/>
  <c r="P506" i="1"/>
  <c r="R506" i="1"/>
  <c r="S506" i="1"/>
  <c r="T506" i="1"/>
  <c r="U506" i="1"/>
  <c r="X506" i="1"/>
  <c r="Y506" i="1"/>
  <c r="Z506" i="1"/>
  <c r="AA506" i="1"/>
  <c r="AB506" i="1"/>
  <c r="AC506" i="1"/>
  <c r="AD506" i="1"/>
  <c r="AE506" i="1"/>
  <c r="AF506" i="1"/>
  <c r="AG506" i="1"/>
  <c r="AH506" i="1"/>
  <c r="AI506" i="1"/>
  <c r="AJ506" i="1"/>
  <c r="AK506" i="1"/>
  <c r="C507" i="1"/>
  <c r="H507" i="1"/>
  <c r="I507" i="1"/>
  <c r="J507" i="1"/>
  <c r="K507" i="1"/>
  <c r="M507" i="1"/>
  <c r="P507" i="1"/>
  <c r="R507" i="1"/>
  <c r="S507" i="1"/>
  <c r="T507" i="1"/>
  <c r="U507" i="1"/>
  <c r="X507" i="1"/>
  <c r="Y507" i="1"/>
  <c r="Z507" i="1"/>
  <c r="AA507" i="1"/>
  <c r="AB507" i="1"/>
  <c r="AC507" i="1"/>
  <c r="AD507" i="1"/>
  <c r="AE507" i="1"/>
  <c r="AF507" i="1"/>
  <c r="AG507" i="1"/>
  <c r="AH507" i="1"/>
  <c r="AI507" i="1"/>
  <c r="AJ507" i="1"/>
  <c r="AK507" i="1"/>
  <c r="C508" i="1"/>
  <c r="H508" i="1"/>
  <c r="I508" i="1"/>
  <c r="J508" i="1"/>
  <c r="K508" i="1"/>
  <c r="M508" i="1"/>
  <c r="P508" i="1"/>
  <c r="R508" i="1"/>
  <c r="S508" i="1"/>
  <c r="T508" i="1"/>
  <c r="U508" i="1"/>
  <c r="X508" i="1"/>
  <c r="Y508" i="1"/>
  <c r="Z508" i="1"/>
  <c r="AA508" i="1"/>
  <c r="AB508" i="1"/>
  <c r="AC508" i="1"/>
  <c r="AD508" i="1"/>
  <c r="AE508" i="1"/>
  <c r="AF508" i="1"/>
  <c r="AG508" i="1"/>
  <c r="AH508" i="1"/>
  <c r="AI508" i="1"/>
  <c r="AJ508" i="1"/>
  <c r="AK508" i="1"/>
  <c r="C509" i="1"/>
  <c r="H509" i="1"/>
  <c r="I509" i="1"/>
  <c r="J509" i="1"/>
  <c r="K509" i="1"/>
  <c r="M509" i="1"/>
  <c r="P509" i="1"/>
  <c r="R509" i="1"/>
  <c r="S509" i="1"/>
  <c r="T509" i="1"/>
  <c r="U509" i="1"/>
  <c r="X509" i="1"/>
  <c r="Y509" i="1"/>
  <c r="Z509" i="1"/>
  <c r="AA509" i="1"/>
  <c r="AB509" i="1"/>
  <c r="AC509" i="1"/>
  <c r="AD509" i="1"/>
  <c r="AE509" i="1"/>
  <c r="AF509" i="1"/>
  <c r="AG509" i="1"/>
  <c r="AH509" i="1"/>
  <c r="AI509" i="1"/>
  <c r="AJ509" i="1"/>
  <c r="AK509" i="1"/>
  <c r="C510" i="1"/>
  <c r="H510" i="1"/>
  <c r="I510" i="1"/>
  <c r="J510" i="1"/>
  <c r="K510" i="1"/>
  <c r="M510" i="1"/>
  <c r="P510" i="1"/>
  <c r="R510" i="1"/>
  <c r="S510" i="1"/>
  <c r="T510" i="1"/>
  <c r="U510" i="1"/>
  <c r="X510" i="1"/>
  <c r="Y510" i="1"/>
  <c r="Z510" i="1"/>
  <c r="AA510" i="1"/>
  <c r="AB510" i="1"/>
  <c r="AC510" i="1"/>
  <c r="AD510" i="1"/>
  <c r="AE510" i="1"/>
  <c r="AF510" i="1"/>
  <c r="AG510" i="1"/>
  <c r="AH510" i="1"/>
  <c r="AI510" i="1"/>
  <c r="AJ510" i="1"/>
  <c r="AK510" i="1"/>
  <c r="C511" i="1"/>
  <c r="H511" i="1"/>
  <c r="I511" i="1"/>
  <c r="J511" i="1"/>
  <c r="K511" i="1"/>
  <c r="M511" i="1"/>
  <c r="P511" i="1"/>
  <c r="R511" i="1"/>
  <c r="S511" i="1"/>
  <c r="T511" i="1"/>
  <c r="U511" i="1"/>
  <c r="X511" i="1"/>
  <c r="Y511" i="1"/>
  <c r="Z511" i="1"/>
  <c r="AA511" i="1"/>
  <c r="AB511" i="1"/>
  <c r="AC511" i="1"/>
  <c r="AD511" i="1"/>
  <c r="AE511" i="1"/>
  <c r="AF511" i="1"/>
  <c r="AG511" i="1"/>
  <c r="AH511" i="1"/>
  <c r="AI511" i="1"/>
  <c r="AJ511" i="1"/>
  <c r="AK511" i="1"/>
  <c r="C492" i="1"/>
  <c r="H492" i="1"/>
  <c r="I492" i="1"/>
  <c r="J492" i="1"/>
  <c r="K492" i="1"/>
  <c r="M492" i="1"/>
  <c r="P492" i="1"/>
  <c r="R492" i="1"/>
  <c r="S492" i="1"/>
  <c r="T492" i="1"/>
  <c r="U492" i="1"/>
  <c r="X492" i="1"/>
  <c r="Y492" i="1"/>
  <c r="Z492" i="1"/>
  <c r="AA492" i="1"/>
  <c r="AB492" i="1"/>
  <c r="AC492" i="1"/>
  <c r="AD492" i="1"/>
  <c r="AE492" i="1"/>
  <c r="AF492" i="1"/>
  <c r="AG492" i="1"/>
  <c r="AH492" i="1"/>
  <c r="AI492" i="1"/>
  <c r="AJ492" i="1"/>
  <c r="AK492" i="1"/>
  <c r="C493" i="1"/>
  <c r="H493" i="1"/>
  <c r="I493" i="1"/>
  <c r="J493" i="1"/>
  <c r="K493" i="1"/>
  <c r="M493" i="1"/>
  <c r="P493" i="1"/>
  <c r="R493" i="1"/>
  <c r="S493" i="1"/>
  <c r="T493" i="1"/>
  <c r="U493" i="1"/>
  <c r="X493" i="1"/>
  <c r="Y493" i="1"/>
  <c r="Z493" i="1"/>
  <c r="AA493" i="1"/>
  <c r="AB493" i="1"/>
  <c r="AC493" i="1"/>
  <c r="AD493" i="1"/>
  <c r="AE493" i="1"/>
  <c r="AF493" i="1"/>
  <c r="AG493" i="1"/>
  <c r="AH493" i="1"/>
  <c r="AI493" i="1"/>
  <c r="AJ493" i="1"/>
  <c r="AK493" i="1"/>
  <c r="C494" i="1"/>
  <c r="H494" i="1"/>
  <c r="I494" i="1"/>
  <c r="J494" i="1"/>
  <c r="K494" i="1"/>
  <c r="M494" i="1"/>
  <c r="P494" i="1"/>
  <c r="R494" i="1"/>
  <c r="S494" i="1"/>
  <c r="T494" i="1"/>
  <c r="U494" i="1"/>
  <c r="X494" i="1"/>
  <c r="Y494" i="1"/>
  <c r="Z494" i="1"/>
  <c r="AA494" i="1"/>
  <c r="AB494" i="1"/>
  <c r="AC494" i="1"/>
  <c r="AD494" i="1"/>
  <c r="AE494" i="1"/>
  <c r="AF494" i="1"/>
  <c r="AG494" i="1"/>
  <c r="AH494" i="1"/>
  <c r="AI494" i="1"/>
  <c r="AJ494" i="1"/>
  <c r="AK494" i="1"/>
  <c r="C495" i="1"/>
  <c r="H495" i="1"/>
  <c r="I495" i="1"/>
  <c r="J495" i="1"/>
  <c r="K495" i="1"/>
  <c r="M495" i="1"/>
  <c r="P495" i="1"/>
  <c r="R495" i="1"/>
  <c r="S495" i="1"/>
  <c r="T495" i="1"/>
  <c r="U495" i="1"/>
  <c r="X495" i="1"/>
  <c r="Y495" i="1"/>
  <c r="Z495" i="1"/>
  <c r="AA495" i="1"/>
  <c r="AB495" i="1"/>
  <c r="AC495" i="1"/>
  <c r="AD495" i="1"/>
  <c r="AE495" i="1"/>
  <c r="AF495" i="1"/>
  <c r="AG495" i="1"/>
  <c r="AH495" i="1"/>
  <c r="AI495" i="1"/>
  <c r="AJ495" i="1"/>
  <c r="AK495" i="1"/>
  <c r="C496" i="1"/>
  <c r="H496" i="1"/>
  <c r="I496" i="1"/>
  <c r="J496" i="1"/>
  <c r="K496" i="1"/>
  <c r="M496" i="1"/>
  <c r="P496" i="1"/>
  <c r="R496" i="1"/>
  <c r="S496" i="1"/>
  <c r="T496" i="1"/>
  <c r="U496" i="1"/>
  <c r="X496" i="1"/>
  <c r="Y496" i="1"/>
  <c r="Z496" i="1"/>
  <c r="AA496" i="1"/>
  <c r="AB496" i="1"/>
  <c r="AC496" i="1"/>
  <c r="AD496" i="1"/>
  <c r="AE496" i="1"/>
  <c r="AF496" i="1"/>
  <c r="AG496" i="1"/>
  <c r="AH496" i="1"/>
  <c r="AI496" i="1"/>
  <c r="AJ496" i="1"/>
  <c r="AK496" i="1"/>
  <c r="C497" i="1"/>
  <c r="H497" i="1"/>
  <c r="I497" i="1"/>
  <c r="J497" i="1"/>
  <c r="K497" i="1"/>
  <c r="M497" i="1"/>
  <c r="P497" i="1"/>
  <c r="R497" i="1"/>
  <c r="S497" i="1"/>
  <c r="T497" i="1"/>
  <c r="U497" i="1"/>
  <c r="X497" i="1"/>
  <c r="Y497" i="1"/>
  <c r="Z497" i="1"/>
  <c r="AA497" i="1"/>
  <c r="AB497" i="1"/>
  <c r="AC497" i="1"/>
  <c r="AD497" i="1"/>
  <c r="AE497" i="1"/>
  <c r="AF497" i="1"/>
  <c r="AG497" i="1"/>
  <c r="AH497" i="1"/>
  <c r="AI497" i="1"/>
  <c r="AJ497" i="1"/>
  <c r="AK497" i="1"/>
  <c r="C498" i="1"/>
  <c r="H498" i="1"/>
  <c r="I498" i="1"/>
  <c r="J498" i="1"/>
  <c r="K498" i="1"/>
  <c r="M498" i="1"/>
  <c r="P498" i="1"/>
  <c r="R498" i="1"/>
  <c r="S498" i="1"/>
  <c r="T498" i="1"/>
  <c r="U498" i="1"/>
  <c r="X498" i="1"/>
  <c r="Y498" i="1"/>
  <c r="Z498" i="1"/>
  <c r="AA498" i="1"/>
  <c r="AB498" i="1"/>
  <c r="AC498" i="1"/>
  <c r="AD498" i="1"/>
  <c r="AE498" i="1"/>
  <c r="AF498" i="1"/>
  <c r="AG498" i="1"/>
  <c r="AH498" i="1"/>
  <c r="AI498" i="1"/>
  <c r="AJ498" i="1"/>
  <c r="AK498" i="1"/>
  <c r="C499" i="1"/>
  <c r="H499" i="1"/>
  <c r="I499" i="1"/>
  <c r="J499" i="1"/>
  <c r="K499" i="1"/>
  <c r="M499" i="1"/>
  <c r="P499" i="1"/>
  <c r="R499" i="1"/>
  <c r="S499" i="1"/>
  <c r="T499" i="1"/>
  <c r="U499" i="1"/>
  <c r="X499" i="1"/>
  <c r="Y499" i="1"/>
  <c r="Z499" i="1"/>
  <c r="AA499" i="1"/>
  <c r="AB499" i="1"/>
  <c r="AC499" i="1"/>
  <c r="AD499" i="1"/>
  <c r="AE499" i="1"/>
  <c r="AF499" i="1"/>
  <c r="AG499" i="1"/>
  <c r="AH499" i="1"/>
  <c r="AI499" i="1"/>
  <c r="AJ499" i="1"/>
  <c r="AK499" i="1"/>
  <c r="C500" i="1"/>
  <c r="H500" i="1"/>
  <c r="I500" i="1"/>
  <c r="J500" i="1"/>
  <c r="K500" i="1"/>
  <c r="M500" i="1"/>
  <c r="P500" i="1"/>
  <c r="R500" i="1"/>
  <c r="S500" i="1"/>
  <c r="T500" i="1"/>
  <c r="U500" i="1"/>
  <c r="X500" i="1"/>
  <c r="Y500" i="1"/>
  <c r="Z500" i="1"/>
  <c r="AA500" i="1"/>
  <c r="AB500" i="1"/>
  <c r="AC500" i="1"/>
  <c r="AD500" i="1"/>
  <c r="AE500" i="1"/>
  <c r="AF500" i="1"/>
  <c r="AG500" i="1"/>
  <c r="AH500" i="1"/>
  <c r="AI500" i="1"/>
  <c r="AJ500" i="1"/>
  <c r="AK500" i="1"/>
  <c r="C501" i="1"/>
  <c r="H501" i="1"/>
  <c r="I501" i="1"/>
  <c r="J501" i="1"/>
  <c r="K501" i="1"/>
  <c r="M501" i="1"/>
  <c r="P501" i="1"/>
  <c r="R501" i="1"/>
  <c r="S501" i="1"/>
  <c r="T501" i="1"/>
  <c r="U501" i="1"/>
  <c r="X501" i="1"/>
  <c r="Y501" i="1"/>
  <c r="Z501" i="1"/>
  <c r="AA501" i="1"/>
  <c r="AB501" i="1"/>
  <c r="AC501" i="1"/>
  <c r="AD501" i="1"/>
  <c r="AE501" i="1"/>
  <c r="AF501" i="1"/>
  <c r="AG501" i="1"/>
  <c r="AH501" i="1"/>
  <c r="AI501" i="1"/>
  <c r="AJ501" i="1"/>
  <c r="AK501" i="1"/>
  <c r="C482" i="1"/>
  <c r="H482" i="1"/>
  <c r="I482" i="1"/>
  <c r="J482" i="1"/>
  <c r="K482" i="1"/>
  <c r="M482" i="1"/>
  <c r="P482" i="1"/>
  <c r="R482" i="1"/>
  <c r="S482" i="1"/>
  <c r="T482" i="1"/>
  <c r="U482" i="1"/>
  <c r="X482" i="1"/>
  <c r="Y482" i="1"/>
  <c r="Z482" i="1"/>
  <c r="AA482" i="1"/>
  <c r="AB482" i="1"/>
  <c r="AC482" i="1"/>
  <c r="AD482" i="1"/>
  <c r="AE482" i="1"/>
  <c r="AF482" i="1"/>
  <c r="AG482" i="1"/>
  <c r="AH482" i="1"/>
  <c r="AI482" i="1"/>
  <c r="AJ482" i="1"/>
  <c r="AK482" i="1"/>
  <c r="C483" i="1"/>
  <c r="H483" i="1"/>
  <c r="I483" i="1"/>
  <c r="J483" i="1"/>
  <c r="K483" i="1"/>
  <c r="M483" i="1"/>
  <c r="P483" i="1"/>
  <c r="R483" i="1"/>
  <c r="S483" i="1"/>
  <c r="T483" i="1"/>
  <c r="U483" i="1"/>
  <c r="X483" i="1"/>
  <c r="Y483" i="1"/>
  <c r="Z483" i="1"/>
  <c r="AA483" i="1"/>
  <c r="AB483" i="1"/>
  <c r="AC483" i="1"/>
  <c r="AD483" i="1"/>
  <c r="AE483" i="1"/>
  <c r="AF483" i="1"/>
  <c r="AG483" i="1"/>
  <c r="AH483" i="1"/>
  <c r="AI483" i="1"/>
  <c r="AJ483" i="1"/>
  <c r="AK483" i="1"/>
  <c r="C484" i="1"/>
  <c r="H484" i="1"/>
  <c r="I484" i="1"/>
  <c r="J484" i="1"/>
  <c r="K484" i="1"/>
  <c r="M484" i="1"/>
  <c r="P484" i="1"/>
  <c r="R484" i="1"/>
  <c r="S484" i="1"/>
  <c r="T484" i="1"/>
  <c r="U484" i="1"/>
  <c r="X484" i="1"/>
  <c r="Y484" i="1"/>
  <c r="Z484" i="1"/>
  <c r="AA484" i="1"/>
  <c r="AB484" i="1"/>
  <c r="AC484" i="1"/>
  <c r="AD484" i="1"/>
  <c r="AE484" i="1"/>
  <c r="AF484" i="1"/>
  <c r="AG484" i="1"/>
  <c r="AH484" i="1"/>
  <c r="AI484" i="1"/>
  <c r="AJ484" i="1"/>
  <c r="AK484" i="1"/>
  <c r="C485" i="1"/>
  <c r="H485" i="1"/>
  <c r="I485" i="1"/>
  <c r="J485" i="1"/>
  <c r="K485" i="1"/>
  <c r="M485" i="1"/>
  <c r="P485" i="1"/>
  <c r="R485" i="1"/>
  <c r="S485" i="1"/>
  <c r="T485" i="1"/>
  <c r="U485" i="1"/>
  <c r="X485" i="1"/>
  <c r="Y485" i="1"/>
  <c r="Z485" i="1"/>
  <c r="AA485" i="1"/>
  <c r="AB485" i="1"/>
  <c r="AC485" i="1"/>
  <c r="AD485" i="1"/>
  <c r="AE485" i="1"/>
  <c r="AF485" i="1"/>
  <c r="AG485" i="1"/>
  <c r="AH485" i="1"/>
  <c r="AI485" i="1"/>
  <c r="AJ485" i="1"/>
  <c r="AK485" i="1"/>
  <c r="C486" i="1"/>
  <c r="H486" i="1"/>
  <c r="I486" i="1"/>
  <c r="J486" i="1"/>
  <c r="K486" i="1"/>
  <c r="M486" i="1"/>
  <c r="P486" i="1"/>
  <c r="R486" i="1"/>
  <c r="S486" i="1"/>
  <c r="T486" i="1"/>
  <c r="U486" i="1"/>
  <c r="X486" i="1"/>
  <c r="Y486" i="1"/>
  <c r="Z486" i="1"/>
  <c r="AA486" i="1"/>
  <c r="AB486" i="1"/>
  <c r="AC486" i="1"/>
  <c r="AD486" i="1"/>
  <c r="AE486" i="1"/>
  <c r="AF486" i="1"/>
  <c r="AG486" i="1"/>
  <c r="AH486" i="1"/>
  <c r="AI486" i="1"/>
  <c r="AJ486" i="1"/>
  <c r="AK486" i="1"/>
  <c r="C487" i="1"/>
  <c r="H487" i="1"/>
  <c r="I487" i="1"/>
  <c r="J487" i="1"/>
  <c r="K487" i="1"/>
  <c r="M487" i="1"/>
  <c r="P487" i="1"/>
  <c r="R487" i="1"/>
  <c r="S487" i="1"/>
  <c r="T487" i="1"/>
  <c r="U487" i="1"/>
  <c r="X487" i="1"/>
  <c r="Y487" i="1"/>
  <c r="Z487" i="1"/>
  <c r="AA487" i="1"/>
  <c r="AB487" i="1"/>
  <c r="AC487" i="1"/>
  <c r="AD487" i="1"/>
  <c r="AE487" i="1"/>
  <c r="AF487" i="1"/>
  <c r="AG487" i="1"/>
  <c r="AH487" i="1"/>
  <c r="AI487" i="1"/>
  <c r="AJ487" i="1"/>
  <c r="AK487" i="1"/>
  <c r="C488" i="1"/>
  <c r="H488" i="1"/>
  <c r="I488" i="1"/>
  <c r="J488" i="1"/>
  <c r="K488" i="1"/>
  <c r="M488" i="1"/>
  <c r="P488" i="1"/>
  <c r="R488" i="1"/>
  <c r="S488" i="1"/>
  <c r="T488" i="1"/>
  <c r="U488" i="1"/>
  <c r="X488" i="1"/>
  <c r="Y488" i="1"/>
  <c r="Z488" i="1"/>
  <c r="AA488" i="1"/>
  <c r="AB488" i="1"/>
  <c r="AC488" i="1"/>
  <c r="AD488" i="1"/>
  <c r="AE488" i="1"/>
  <c r="AF488" i="1"/>
  <c r="AG488" i="1"/>
  <c r="AH488" i="1"/>
  <c r="AI488" i="1"/>
  <c r="AJ488" i="1"/>
  <c r="AK488" i="1"/>
  <c r="C489" i="1"/>
  <c r="H489" i="1"/>
  <c r="I489" i="1"/>
  <c r="J489" i="1"/>
  <c r="K489" i="1"/>
  <c r="M489" i="1"/>
  <c r="P489" i="1"/>
  <c r="R489" i="1"/>
  <c r="S489" i="1"/>
  <c r="T489" i="1"/>
  <c r="U489" i="1"/>
  <c r="X489" i="1"/>
  <c r="Y489" i="1"/>
  <c r="Z489" i="1"/>
  <c r="AA489" i="1"/>
  <c r="AB489" i="1"/>
  <c r="AC489" i="1"/>
  <c r="AD489" i="1"/>
  <c r="AE489" i="1"/>
  <c r="AF489" i="1"/>
  <c r="AG489" i="1"/>
  <c r="AH489" i="1"/>
  <c r="AI489" i="1"/>
  <c r="AJ489" i="1"/>
  <c r="AK489" i="1"/>
  <c r="C490" i="1"/>
  <c r="H490" i="1"/>
  <c r="I490" i="1"/>
  <c r="J490" i="1"/>
  <c r="K490" i="1"/>
  <c r="M490" i="1"/>
  <c r="P490" i="1"/>
  <c r="R490" i="1"/>
  <c r="S490" i="1"/>
  <c r="T490" i="1"/>
  <c r="U490" i="1"/>
  <c r="X490" i="1"/>
  <c r="Y490" i="1"/>
  <c r="Z490" i="1"/>
  <c r="AA490" i="1"/>
  <c r="AB490" i="1"/>
  <c r="AC490" i="1"/>
  <c r="AD490" i="1"/>
  <c r="AE490" i="1"/>
  <c r="AF490" i="1"/>
  <c r="AG490" i="1"/>
  <c r="AH490" i="1"/>
  <c r="AI490" i="1"/>
  <c r="AJ490" i="1"/>
  <c r="AK490" i="1"/>
  <c r="C491" i="1"/>
  <c r="H491" i="1"/>
  <c r="I491" i="1"/>
  <c r="J491" i="1"/>
  <c r="K491" i="1"/>
  <c r="M491" i="1"/>
  <c r="P491" i="1"/>
  <c r="R491" i="1"/>
  <c r="S491" i="1"/>
  <c r="T491" i="1"/>
  <c r="U491" i="1"/>
  <c r="X491" i="1"/>
  <c r="Y491" i="1"/>
  <c r="Z491" i="1"/>
  <c r="AA491" i="1"/>
  <c r="AB491" i="1"/>
  <c r="AC491" i="1"/>
  <c r="AD491" i="1"/>
  <c r="AE491" i="1"/>
  <c r="AF491" i="1"/>
  <c r="AG491" i="1"/>
  <c r="AH491" i="1"/>
  <c r="AI491" i="1"/>
  <c r="AJ491" i="1"/>
  <c r="AK491" i="1"/>
  <c r="C472" i="1"/>
  <c r="H472" i="1"/>
  <c r="I472" i="1"/>
  <c r="J472" i="1"/>
  <c r="K472" i="1"/>
  <c r="M472" i="1"/>
  <c r="P472" i="1"/>
  <c r="R472" i="1"/>
  <c r="S472" i="1"/>
  <c r="T472" i="1"/>
  <c r="U472" i="1"/>
  <c r="X472" i="1"/>
  <c r="Y472" i="1"/>
  <c r="Z472" i="1"/>
  <c r="AA472" i="1"/>
  <c r="AB472" i="1"/>
  <c r="AC472" i="1"/>
  <c r="AD472" i="1"/>
  <c r="AE472" i="1"/>
  <c r="AF472" i="1"/>
  <c r="AG472" i="1"/>
  <c r="AH472" i="1"/>
  <c r="AI472" i="1"/>
  <c r="AJ472" i="1"/>
  <c r="AK472" i="1"/>
  <c r="C473" i="1"/>
  <c r="H473" i="1"/>
  <c r="I473" i="1"/>
  <c r="J473" i="1"/>
  <c r="K473" i="1"/>
  <c r="M473" i="1"/>
  <c r="P473" i="1"/>
  <c r="R473" i="1"/>
  <c r="S473" i="1"/>
  <c r="T473" i="1"/>
  <c r="U473" i="1"/>
  <c r="X473" i="1"/>
  <c r="Y473" i="1"/>
  <c r="Z473" i="1"/>
  <c r="AA473" i="1"/>
  <c r="AB473" i="1"/>
  <c r="AC473" i="1"/>
  <c r="AD473" i="1"/>
  <c r="AE473" i="1"/>
  <c r="AF473" i="1"/>
  <c r="AG473" i="1"/>
  <c r="AH473" i="1"/>
  <c r="AI473" i="1"/>
  <c r="AJ473" i="1"/>
  <c r="AK473" i="1"/>
  <c r="C474" i="1"/>
  <c r="H474" i="1"/>
  <c r="I474" i="1"/>
  <c r="J474" i="1"/>
  <c r="K474" i="1"/>
  <c r="M474" i="1"/>
  <c r="P474" i="1"/>
  <c r="R474" i="1"/>
  <c r="S474" i="1"/>
  <c r="T474" i="1"/>
  <c r="U474" i="1"/>
  <c r="X474" i="1"/>
  <c r="Y474" i="1"/>
  <c r="Z474" i="1"/>
  <c r="AA474" i="1"/>
  <c r="AB474" i="1"/>
  <c r="AC474" i="1"/>
  <c r="AD474" i="1"/>
  <c r="AE474" i="1"/>
  <c r="AF474" i="1"/>
  <c r="AG474" i="1"/>
  <c r="AH474" i="1"/>
  <c r="AI474" i="1"/>
  <c r="AJ474" i="1"/>
  <c r="AK474" i="1"/>
  <c r="C475" i="1"/>
  <c r="H475" i="1"/>
  <c r="I475" i="1"/>
  <c r="J475" i="1"/>
  <c r="K475" i="1"/>
  <c r="M475" i="1"/>
  <c r="P475" i="1"/>
  <c r="R475" i="1"/>
  <c r="S475" i="1"/>
  <c r="T475" i="1"/>
  <c r="U475" i="1"/>
  <c r="X475" i="1"/>
  <c r="Y475" i="1"/>
  <c r="Z475" i="1"/>
  <c r="AA475" i="1"/>
  <c r="AB475" i="1"/>
  <c r="AC475" i="1"/>
  <c r="AD475" i="1"/>
  <c r="AE475" i="1"/>
  <c r="AF475" i="1"/>
  <c r="AG475" i="1"/>
  <c r="AH475" i="1"/>
  <c r="AI475" i="1"/>
  <c r="AJ475" i="1"/>
  <c r="AK475" i="1"/>
  <c r="C476" i="1"/>
  <c r="H476" i="1"/>
  <c r="I476" i="1"/>
  <c r="J476" i="1"/>
  <c r="K476" i="1"/>
  <c r="M476" i="1"/>
  <c r="P476" i="1"/>
  <c r="R476" i="1"/>
  <c r="S476" i="1"/>
  <c r="T476" i="1"/>
  <c r="U476" i="1"/>
  <c r="X476" i="1"/>
  <c r="Y476" i="1"/>
  <c r="Z476" i="1"/>
  <c r="AA476" i="1"/>
  <c r="AB476" i="1"/>
  <c r="AC476" i="1"/>
  <c r="AD476" i="1"/>
  <c r="AE476" i="1"/>
  <c r="AF476" i="1"/>
  <c r="AG476" i="1"/>
  <c r="AH476" i="1"/>
  <c r="AI476" i="1"/>
  <c r="AJ476" i="1"/>
  <c r="AK476" i="1"/>
  <c r="C477" i="1"/>
  <c r="H477" i="1"/>
  <c r="I477" i="1"/>
  <c r="J477" i="1"/>
  <c r="K477" i="1"/>
  <c r="M477" i="1"/>
  <c r="P477" i="1"/>
  <c r="R477" i="1"/>
  <c r="S477" i="1"/>
  <c r="T477" i="1"/>
  <c r="U477" i="1"/>
  <c r="X477" i="1"/>
  <c r="Y477" i="1"/>
  <c r="Z477" i="1"/>
  <c r="AA477" i="1"/>
  <c r="AB477" i="1"/>
  <c r="AC477" i="1"/>
  <c r="AD477" i="1"/>
  <c r="AE477" i="1"/>
  <c r="AF477" i="1"/>
  <c r="AG477" i="1"/>
  <c r="AH477" i="1"/>
  <c r="AI477" i="1"/>
  <c r="AJ477" i="1"/>
  <c r="AK477" i="1"/>
  <c r="C478" i="1"/>
  <c r="H478" i="1"/>
  <c r="I478" i="1"/>
  <c r="J478" i="1"/>
  <c r="K478" i="1"/>
  <c r="M478" i="1"/>
  <c r="P478" i="1"/>
  <c r="R478" i="1"/>
  <c r="S478" i="1"/>
  <c r="T478" i="1"/>
  <c r="U478" i="1"/>
  <c r="X478" i="1"/>
  <c r="Y478" i="1"/>
  <c r="Z478" i="1"/>
  <c r="AA478" i="1"/>
  <c r="AB478" i="1"/>
  <c r="AC478" i="1"/>
  <c r="AD478" i="1"/>
  <c r="AE478" i="1"/>
  <c r="AF478" i="1"/>
  <c r="AG478" i="1"/>
  <c r="AH478" i="1"/>
  <c r="AI478" i="1"/>
  <c r="AJ478" i="1"/>
  <c r="AK478" i="1"/>
  <c r="C479" i="1"/>
  <c r="H479" i="1"/>
  <c r="I479" i="1"/>
  <c r="J479" i="1"/>
  <c r="K479" i="1"/>
  <c r="M479" i="1"/>
  <c r="P479" i="1"/>
  <c r="R479" i="1"/>
  <c r="S479" i="1"/>
  <c r="T479" i="1"/>
  <c r="U479" i="1"/>
  <c r="X479" i="1"/>
  <c r="Y479" i="1"/>
  <c r="Z479" i="1"/>
  <c r="AA479" i="1"/>
  <c r="AB479" i="1"/>
  <c r="AC479" i="1"/>
  <c r="AD479" i="1"/>
  <c r="AE479" i="1"/>
  <c r="AF479" i="1"/>
  <c r="AG479" i="1"/>
  <c r="AH479" i="1"/>
  <c r="AI479" i="1"/>
  <c r="AJ479" i="1"/>
  <c r="AK479" i="1"/>
  <c r="C480" i="1"/>
  <c r="H480" i="1"/>
  <c r="I480" i="1"/>
  <c r="J480" i="1"/>
  <c r="K480" i="1"/>
  <c r="M480" i="1"/>
  <c r="P480" i="1"/>
  <c r="R480" i="1"/>
  <c r="S480" i="1"/>
  <c r="T480" i="1"/>
  <c r="U480" i="1"/>
  <c r="X480" i="1"/>
  <c r="Y480" i="1"/>
  <c r="Z480" i="1"/>
  <c r="AA480" i="1"/>
  <c r="AB480" i="1"/>
  <c r="AC480" i="1"/>
  <c r="AD480" i="1"/>
  <c r="AE480" i="1"/>
  <c r="AF480" i="1"/>
  <c r="AG480" i="1"/>
  <c r="AH480" i="1"/>
  <c r="AI480" i="1"/>
  <c r="AJ480" i="1"/>
  <c r="AK480" i="1"/>
  <c r="C481" i="1"/>
  <c r="H481" i="1"/>
  <c r="I481" i="1"/>
  <c r="J481" i="1"/>
  <c r="K481" i="1"/>
  <c r="M481" i="1"/>
  <c r="P481" i="1"/>
  <c r="R481" i="1"/>
  <c r="S481" i="1"/>
  <c r="T481" i="1"/>
  <c r="U481" i="1"/>
  <c r="X481" i="1"/>
  <c r="Y481" i="1"/>
  <c r="Z481" i="1"/>
  <c r="AA481" i="1"/>
  <c r="AB481" i="1"/>
  <c r="AC481" i="1"/>
  <c r="AD481" i="1"/>
  <c r="AE481" i="1"/>
  <c r="AF481" i="1"/>
  <c r="AG481" i="1"/>
  <c r="AH481" i="1"/>
  <c r="AI481" i="1"/>
  <c r="AJ481" i="1"/>
  <c r="AK481" i="1"/>
  <c r="C462" i="1"/>
  <c r="H462" i="1"/>
  <c r="I462" i="1"/>
  <c r="J462" i="1"/>
  <c r="K462" i="1"/>
  <c r="M462" i="1"/>
  <c r="P462" i="1"/>
  <c r="R462" i="1"/>
  <c r="S462" i="1"/>
  <c r="T462" i="1"/>
  <c r="U462" i="1"/>
  <c r="X462" i="1"/>
  <c r="Y462" i="1"/>
  <c r="Z462" i="1"/>
  <c r="AA462" i="1"/>
  <c r="AB462" i="1"/>
  <c r="AC462" i="1"/>
  <c r="AD462" i="1"/>
  <c r="AE462" i="1"/>
  <c r="AF462" i="1"/>
  <c r="AG462" i="1"/>
  <c r="AH462" i="1"/>
  <c r="AI462" i="1"/>
  <c r="AJ462" i="1"/>
  <c r="AK462" i="1"/>
  <c r="C463" i="1"/>
  <c r="H463" i="1"/>
  <c r="I463" i="1"/>
  <c r="J463" i="1"/>
  <c r="K463" i="1"/>
  <c r="M463" i="1"/>
  <c r="P463" i="1"/>
  <c r="R463" i="1"/>
  <c r="S463" i="1"/>
  <c r="T463" i="1"/>
  <c r="U463" i="1"/>
  <c r="X463" i="1"/>
  <c r="Y463" i="1"/>
  <c r="Z463" i="1"/>
  <c r="AA463" i="1"/>
  <c r="AB463" i="1"/>
  <c r="AC463" i="1"/>
  <c r="AD463" i="1"/>
  <c r="AE463" i="1"/>
  <c r="AF463" i="1"/>
  <c r="AG463" i="1"/>
  <c r="AH463" i="1"/>
  <c r="AI463" i="1"/>
  <c r="AJ463" i="1"/>
  <c r="AK463" i="1"/>
  <c r="C464" i="1"/>
  <c r="H464" i="1"/>
  <c r="I464" i="1"/>
  <c r="J464" i="1"/>
  <c r="K464" i="1"/>
  <c r="M464" i="1"/>
  <c r="P464" i="1"/>
  <c r="R464" i="1"/>
  <c r="S464" i="1"/>
  <c r="T464" i="1"/>
  <c r="U464" i="1"/>
  <c r="X464" i="1"/>
  <c r="Y464" i="1"/>
  <c r="Z464" i="1"/>
  <c r="AA464" i="1"/>
  <c r="AB464" i="1"/>
  <c r="AC464" i="1"/>
  <c r="AD464" i="1"/>
  <c r="AE464" i="1"/>
  <c r="AF464" i="1"/>
  <c r="AG464" i="1"/>
  <c r="AH464" i="1"/>
  <c r="AI464" i="1"/>
  <c r="AJ464" i="1"/>
  <c r="AK464" i="1"/>
  <c r="C465" i="1"/>
  <c r="H465" i="1"/>
  <c r="I465" i="1"/>
  <c r="J465" i="1"/>
  <c r="K465" i="1"/>
  <c r="M465" i="1"/>
  <c r="P465" i="1"/>
  <c r="R465" i="1"/>
  <c r="S465" i="1"/>
  <c r="T465" i="1"/>
  <c r="U465" i="1"/>
  <c r="X465" i="1"/>
  <c r="Y465" i="1"/>
  <c r="Z465" i="1"/>
  <c r="AA465" i="1"/>
  <c r="AB465" i="1"/>
  <c r="AC465" i="1"/>
  <c r="AD465" i="1"/>
  <c r="AE465" i="1"/>
  <c r="AF465" i="1"/>
  <c r="AG465" i="1"/>
  <c r="AH465" i="1"/>
  <c r="AI465" i="1"/>
  <c r="AJ465" i="1"/>
  <c r="AK465" i="1"/>
  <c r="C466" i="1"/>
  <c r="H466" i="1"/>
  <c r="I466" i="1"/>
  <c r="J466" i="1"/>
  <c r="K466" i="1"/>
  <c r="M466" i="1"/>
  <c r="P466" i="1"/>
  <c r="R466" i="1"/>
  <c r="S466" i="1"/>
  <c r="T466" i="1"/>
  <c r="U466" i="1"/>
  <c r="X466" i="1"/>
  <c r="Y466" i="1"/>
  <c r="Z466" i="1"/>
  <c r="AA466" i="1"/>
  <c r="AB466" i="1"/>
  <c r="AC466" i="1"/>
  <c r="AD466" i="1"/>
  <c r="AE466" i="1"/>
  <c r="AF466" i="1"/>
  <c r="AG466" i="1"/>
  <c r="AH466" i="1"/>
  <c r="AI466" i="1"/>
  <c r="AJ466" i="1"/>
  <c r="AK466" i="1"/>
  <c r="C467" i="1"/>
  <c r="H467" i="1"/>
  <c r="I467" i="1"/>
  <c r="J467" i="1"/>
  <c r="K467" i="1"/>
  <c r="M467" i="1"/>
  <c r="P467" i="1"/>
  <c r="R467" i="1"/>
  <c r="S467" i="1"/>
  <c r="T467" i="1"/>
  <c r="U467" i="1"/>
  <c r="X467" i="1"/>
  <c r="Y467" i="1"/>
  <c r="Z467" i="1"/>
  <c r="AA467" i="1"/>
  <c r="AB467" i="1"/>
  <c r="AC467" i="1"/>
  <c r="AD467" i="1"/>
  <c r="AE467" i="1"/>
  <c r="AF467" i="1"/>
  <c r="AG467" i="1"/>
  <c r="AH467" i="1"/>
  <c r="AI467" i="1"/>
  <c r="AJ467" i="1"/>
  <c r="AK467" i="1"/>
  <c r="C468" i="1"/>
  <c r="H468" i="1"/>
  <c r="I468" i="1"/>
  <c r="J468" i="1"/>
  <c r="K468" i="1"/>
  <c r="M468" i="1"/>
  <c r="P468" i="1"/>
  <c r="R468" i="1"/>
  <c r="S468" i="1"/>
  <c r="T468" i="1"/>
  <c r="U468" i="1"/>
  <c r="X468" i="1"/>
  <c r="Y468" i="1"/>
  <c r="Z468" i="1"/>
  <c r="AA468" i="1"/>
  <c r="AB468" i="1"/>
  <c r="AC468" i="1"/>
  <c r="AD468" i="1"/>
  <c r="AE468" i="1"/>
  <c r="AF468" i="1"/>
  <c r="AG468" i="1"/>
  <c r="AH468" i="1"/>
  <c r="AI468" i="1"/>
  <c r="AJ468" i="1"/>
  <c r="AK468" i="1"/>
  <c r="C469" i="1"/>
  <c r="H469" i="1"/>
  <c r="I469" i="1"/>
  <c r="J469" i="1"/>
  <c r="K469" i="1"/>
  <c r="M469" i="1"/>
  <c r="P469" i="1"/>
  <c r="R469" i="1"/>
  <c r="S469" i="1"/>
  <c r="T469" i="1"/>
  <c r="U469" i="1"/>
  <c r="X469" i="1"/>
  <c r="Y469" i="1"/>
  <c r="Z469" i="1"/>
  <c r="AA469" i="1"/>
  <c r="AB469" i="1"/>
  <c r="AC469" i="1"/>
  <c r="AD469" i="1"/>
  <c r="AE469" i="1"/>
  <c r="AF469" i="1"/>
  <c r="AG469" i="1"/>
  <c r="AH469" i="1"/>
  <c r="AI469" i="1"/>
  <c r="AJ469" i="1"/>
  <c r="AK469" i="1"/>
  <c r="C470" i="1"/>
  <c r="H470" i="1"/>
  <c r="I470" i="1"/>
  <c r="J470" i="1"/>
  <c r="K470" i="1"/>
  <c r="M470" i="1"/>
  <c r="P470" i="1"/>
  <c r="R470" i="1"/>
  <c r="S470" i="1"/>
  <c r="T470" i="1"/>
  <c r="U470" i="1"/>
  <c r="X470" i="1"/>
  <c r="Y470" i="1"/>
  <c r="Z470" i="1"/>
  <c r="AA470" i="1"/>
  <c r="AB470" i="1"/>
  <c r="AC470" i="1"/>
  <c r="AD470" i="1"/>
  <c r="AE470" i="1"/>
  <c r="AF470" i="1"/>
  <c r="AG470" i="1"/>
  <c r="AH470" i="1"/>
  <c r="AI470" i="1"/>
  <c r="AJ470" i="1"/>
  <c r="AK470" i="1"/>
  <c r="C471" i="1"/>
  <c r="H471" i="1"/>
  <c r="I471" i="1"/>
  <c r="J471" i="1"/>
  <c r="K471" i="1"/>
  <c r="M471" i="1"/>
  <c r="P471" i="1"/>
  <c r="R471" i="1"/>
  <c r="S471" i="1"/>
  <c r="T471" i="1"/>
  <c r="U471" i="1"/>
  <c r="X471" i="1"/>
  <c r="Y471" i="1"/>
  <c r="Z471" i="1"/>
  <c r="AA471" i="1"/>
  <c r="AB471" i="1"/>
  <c r="AC471" i="1"/>
  <c r="AD471" i="1"/>
  <c r="AE471" i="1"/>
  <c r="AF471" i="1"/>
  <c r="AG471" i="1"/>
  <c r="AH471" i="1"/>
  <c r="AI471" i="1"/>
  <c r="AJ471" i="1"/>
  <c r="AK471" i="1"/>
  <c r="C452" i="1"/>
  <c r="H452" i="1"/>
  <c r="I452" i="1"/>
  <c r="J452" i="1"/>
  <c r="K452" i="1"/>
  <c r="M452" i="1"/>
  <c r="P452" i="1"/>
  <c r="R452" i="1"/>
  <c r="S452" i="1"/>
  <c r="T452" i="1"/>
  <c r="U452" i="1"/>
  <c r="X452" i="1"/>
  <c r="Y452" i="1"/>
  <c r="Z452" i="1"/>
  <c r="AA452" i="1"/>
  <c r="AB452" i="1"/>
  <c r="AC452" i="1"/>
  <c r="AD452" i="1"/>
  <c r="AE452" i="1"/>
  <c r="AF452" i="1"/>
  <c r="AG452" i="1"/>
  <c r="AH452" i="1"/>
  <c r="AI452" i="1"/>
  <c r="AJ452" i="1"/>
  <c r="AK452" i="1"/>
  <c r="C453" i="1"/>
  <c r="H453" i="1"/>
  <c r="I453" i="1"/>
  <c r="J453" i="1"/>
  <c r="K453" i="1"/>
  <c r="M453" i="1"/>
  <c r="P453" i="1"/>
  <c r="R453" i="1"/>
  <c r="S453" i="1"/>
  <c r="T453" i="1"/>
  <c r="U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C454" i="1"/>
  <c r="H454" i="1"/>
  <c r="I454" i="1"/>
  <c r="J454" i="1"/>
  <c r="K454" i="1"/>
  <c r="M454" i="1"/>
  <c r="P454" i="1"/>
  <c r="R454" i="1"/>
  <c r="S454" i="1"/>
  <c r="T454" i="1"/>
  <c r="U454" i="1"/>
  <c r="X454" i="1"/>
  <c r="Y454" i="1"/>
  <c r="Z454" i="1"/>
  <c r="AA454" i="1"/>
  <c r="AB454" i="1"/>
  <c r="AC454" i="1"/>
  <c r="AD454" i="1"/>
  <c r="AE454" i="1"/>
  <c r="AF454" i="1"/>
  <c r="AG454" i="1"/>
  <c r="AH454" i="1"/>
  <c r="AI454" i="1"/>
  <c r="AJ454" i="1"/>
  <c r="AK454" i="1"/>
  <c r="C455" i="1"/>
  <c r="H455" i="1"/>
  <c r="I455" i="1"/>
  <c r="J455" i="1"/>
  <c r="K455" i="1"/>
  <c r="M455" i="1"/>
  <c r="P455" i="1"/>
  <c r="R455" i="1"/>
  <c r="S455" i="1"/>
  <c r="T455" i="1"/>
  <c r="U455" i="1"/>
  <c r="X455" i="1"/>
  <c r="Y455" i="1"/>
  <c r="Z455" i="1"/>
  <c r="AA455" i="1"/>
  <c r="AB455" i="1"/>
  <c r="AC455" i="1"/>
  <c r="AD455" i="1"/>
  <c r="AE455" i="1"/>
  <c r="AF455" i="1"/>
  <c r="AG455" i="1"/>
  <c r="AH455" i="1"/>
  <c r="AI455" i="1"/>
  <c r="AJ455" i="1"/>
  <c r="AK455" i="1"/>
  <c r="C456" i="1"/>
  <c r="H456" i="1"/>
  <c r="I456" i="1"/>
  <c r="J456" i="1"/>
  <c r="K456" i="1"/>
  <c r="M456" i="1"/>
  <c r="P456" i="1"/>
  <c r="R456" i="1"/>
  <c r="S456" i="1"/>
  <c r="T456" i="1"/>
  <c r="U456" i="1"/>
  <c r="X456" i="1"/>
  <c r="Y456" i="1"/>
  <c r="Z456" i="1"/>
  <c r="AA456" i="1"/>
  <c r="AB456" i="1"/>
  <c r="AC456" i="1"/>
  <c r="AD456" i="1"/>
  <c r="AE456" i="1"/>
  <c r="AF456" i="1"/>
  <c r="AG456" i="1"/>
  <c r="AH456" i="1"/>
  <c r="AI456" i="1"/>
  <c r="AJ456" i="1"/>
  <c r="AK456" i="1"/>
  <c r="C457" i="1"/>
  <c r="H457" i="1"/>
  <c r="I457" i="1"/>
  <c r="J457" i="1"/>
  <c r="K457" i="1"/>
  <c r="M457" i="1"/>
  <c r="P457" i="1"/>
  <c r="R457" i="1"/>
  <c r="S457" i="1"/>
  <c r="T457" i="1"/>
  <c r="U457" i="1"/>
  <c r="X457" i="1"/>
  <c r="Y457" i="1"/>
  <c r="Z457" i="1"/>
  <c r="AA457" i="1"/>
  <c r="AB457" i="1"/>
  <c r="AC457" i="1"/>
  <c r="AD457" i="1"/>
  <c r="AE457" i="1"/>
  <c r="AF457" i="1"/>
  <c r="AG457" i="1"/>
  <c r="AH457" i="1"/>
  <c r="AI457" i="1"/>
  <c r="AJ457" i="1"/>
  <c r="AK457" i="1"/>
  <c r="C458" i="1"/>
  <c r="H458" i="1"/>
  <c r="I458" i="1"/>
  <c r="J458" i="1"/>
  <c r="K458" i="1"/>
  <c r="M458" i="1"/>
  <c r="P458" i="1"/>
  <c r="R458" i="1"/>
  <c r="S458" i="1"/>
  <c r="T458" i="1"/>
  <c r="U458" i="1"/>
  <c r="X458" i="1"/>
  <c r="Y458" i="1"/>
  <c r="Z458" i="1"/>
  <c r="AA458" i="1"/>
  <c r="AB458" i="1"/>
  <c r="AC458" i="1"/>
  <c r="AD458" i="1"/>
  <c r="AE458" i="1"/>
  <c r="AF458" i="1"/>
  <c r="AG458" i="1"/>
  <c r="AH458" i="1"/>
  <c r="AI458" i="1"/>
  <c r="AJ458" i="1"/>
  <c r="AK458" i="1"/>
  <c r="C459" i="1"/>
  <c r="H459" i="1"/>
  <c r="I459" i="1"/>
  <c r="J459" i="1"/>
  <c r="K459" i="1"/>
  <c r="M459" i="1"/>
  <c r="P459" i="1"/>
  <c r="R459" i="1"/>
  <c r="S459" i="1"/>
  <c r="T459" i="1"/>
  <c r="U459" i="1"/>
  <c r="X459" i="1"/>
  <c r="Y459" i="1"/>
  <c r="Z459" i="1"/>
  <c r="AA459" i="1"/>
  <c r="AB459" i="1"/>
  <c r="AC459" i="1"/>
  <c r="AD459" i="1"/>
  <c r="AE459" i="1"/>
  <c r="AF459" i="1"/>
  <c r="AG459" i="1"/>
  <c r="AH459" i="1"/>
  <c r="AI459" i="1"/>
  <c r="AJ459" i="1"/>
  <c r="AK459" i="1"/>
  <c r="C460" i="1"/>
  <c r="H460" i="1"/>
  <c r="I460" i="1"/>
  <c r="J460" i="1"/>
  <c r="K460" i="1"/>
  <c r="M460" i="1"/>
  <c r="P460" i="1"/>
  <c r="R460" i="1"/>
  <c r="S460" i="1"/>
  <c r="T460" i="1"/>
  <c r="U460" i="1"/>
  <c r="X460" i="1"/>
  <c r="Y460" i="1"/>
  <c r="Z460" i="1"/>
  <c r="AA460" i="1"/>
  <c r="AB460" i="1"/>
  <c r="AC460" i="1"/>
  <c r="AD460" i="1"/>
  <c r="AE460" i="1"/>
  <c r="AF460" i="1"/>
  <c r="AG460" i="1"/>
  <c r="AH460" i="1"/>
  <c r="AI460" i="1"/>
  <c r="AJ460" i="1"/>
  <c r="AK460" i="1"/>
  <c r="C461" i="1"/>
  <c r="H461" i="1"/>
  <c r="I461" i="1"/>
  <c r="J461" i="1"/>
  <c r="K461" i="1"/>
  <c r="M461" i="1"/>
  <c r="P461" i="1"/>
  <c r="R461" i="1"/>
  <c r="S461" i="1"/>
  <c r="T461" i="1"/>
  <c r="U461" i="1"/>
  <c r="X461" i="1"/>
  <c r="Y461" i="1"/>
  <c r="Z461" i="1"/>
  <c r="AA461" i="1"/>
  <c r="AB461" i="1"/>
  <c r="AC461" i="1"/>
  <c r="AD461" i="1"/>
  <c r="AE461" i="1"/>
  <c r="AF461" i="1"/>
  <c r="AG461" i="1"/>
  <c r="AH461" i="1"/>
  <c r="AI461" i="1"/>
  <c r="AJ461" i="1"/>
  <c r="AK461" i="1"/>
  <c r="C442" i="1"/>
  <c r="H442" i="1"/>
  <c r="I442" i="1"/>
  <c r="J442" i="1"/>
  <c r="K442" i="1"/>
  <c r="M442" i="1"/>
  <c r="P442" i="1"/>
  <c r="R442" i="1"/>
  <c r="S442" i="1"/>
  <c r="T442" i="1"/>
  <c r="U442" i="1"/>
  <c r="X442" i="1"/>
  <c r="Y442" i="1"/>
  <c r="Z442" i="1"/>
  <c r="AA442" i="1"/>
  <c r="AB442" i="1"/>
  <c r="AC442" i="1"/>
  <c r="AD442" i="1"/>
  <c r="AE442" i="1"/>
  <c r="AF442" i="1"/>
  <c r="AG442" i="1"/>
  <c r="AH442" i="1"/>
  <c r="AI442" i="1"/>
  <c r="AJ442" i="1"/>
  <c r="AK442" i="1"/>
  <c r="C443" i="1"/>
  <c r="H443" i="1"/>
  <c r="I443" i="1"/>
  <c r="J443" i="1"/>
  <c r="K443" i="1"/>
  <c r="M443" i="1"/>
  <c r="P443" i="1"/>
  <c r="R443" i="1"/>
  <c r="S443" i="1"/>
  <c r="T443" i="1"/>
  <c r="U443" i="1"/>
  <c r="X443" i="1"/>
  <c r="Y443" i="1"/>
  <c r="Z443" i="1"/>
  <c r="AA443" i="1"/>
  <c r="AB443" i="1"/>
  <c r="AC443" i="1"/>
  <c r="AD443" i="1"/>
  <c r="AE443" i="1"/>
  <c r="AF443" i="1"/>
  <c r="AG443" i="1"/>
  <c r="AH443" i="1"/>
  <c r="AI443" i="1"/>
  <c r="AJ443" i="1"/>
  <c r="AK443" i="1"/>
  <c r="C444" i="1"/>
  <c r="H444" i="1"/>
  <c r="I444" i="1"/>
  <c r="J444" i="1"/>
  <c r="K444" i="1"/>
  <c r="M444" i="1"/>
  <c r="P444" i="1"/>
  <c r="R444" i="1"/>
  <c r="S444" i="1"/>
  <c r="T444" i="1"/>
  <c r="U444" i="1"/>
  <c r="X444" i="1"/>
  <c r="Y444" i="1"/>
  <c r="Z444" i="1"/>
  <c r="AA444" i="1"/>
  <c r="AB444" i="1"/>
  <c r="AC444" i="1"/>
  <c r="AD444" i="1"/>
  <c r="AE444" i="1"/>
  <c r="AF444" i="1"/>
  <c r="AG444" i="1"/>
  <c r="AH444" i="1"/>
  <c r="AI444" i="1"/>
  <c r="AJ444" i="1"/>
  <c r="AK444" i="1"/>
  <c r="C445" i="1"/>
  <c r="H445" i="1"/>
  <c r="I445" i="1"/>
  <c r="J445" i="1"/>
  <c r="K445" i="1"/>
  <c r="M445" i="1"/>
  <c r="P445" i="1"/>
  <c r="R445" i="1"/>
  <c r="S445" i="1"/>
  <c r="T445" i="1"/>
  <c r="U445" i="1"/>
  <c r="X445" i="1"/>
  <c r="Y445" i="1"/>
  <c r="Z445" i="1"/>
  <c r="AA445" i="1"/>
  <c r="AB445" i="1"/>
  <c r="AC445" i="1"/>
  <c r="AD445" i="1"/>
  <c r="AE445" i="1"/>
  <c r="AF445" i="1"/>
  <c r="AG445" i="1"/>
  <c r="AH445" i="1"/>
  <c r="AI445" i="1"/>
  <c r="AJ445" i="1"/>
  <c r="AK445" i="1"/>
  <c r="C446" i="1"/>
  <c r="H446" i="1"/>
  <c r="I446" i="1"/>
  <c r="J446" i="1"/>
  <c r="K446" i="1"/>
  <c r="M446" i="1"/>
  <c r="P446" i="1"/>
  <c r="R446" i="1"/>
  <c r="S446" i="1"/>
  <c r="T446" i="1"/>
  <c r="U446" i="1"/>
  <c r="X446" i="1"/>
  <c r="Y446" i="1"/>
  <c r="Z446" i="1"/>
  <c r="AA446" i="1"/>
  <c r="AB446" i="1"/>
  <c r="AC446" i="1"/>
  <c r="AD446" i="1"/>
  <c r="AE446" i="1"/>
  <c r="AF446" i="1"/>
  <c r="AG446" i="1"/>
  <c r="AH446" i="1"/>
  <c r="AI446" i="1"/>
  <c r="AJ446" i="1"/>
  <c r="AK446" i="1"/>
  <c r="C447" i="1"/>
  <c r="H447" i="1"/>
  <c r="I447" i="1"/>
  <c r="J447" i="1"/>
  <c r="K447" i="1"/>
  <c r="M447" i="1"/>
  <c r="P447" i="1"/>
  <c r="R447" i="1"/>
  <c r="S447" i="1"/>
  <c r="T447" i="1"/>
  <c r="U447" i="1"/>
  <c r="X447" i="1"/>
  <c r="Y447" i="1"/>
  <c r="Z447" i="1"/>
  <c r="AA447" i="1"/>
  <c r="AB447" i="1"/>
  <c r="AC447" i="1"/>
  <c r="AD447" i="1"/>
  <c r="AE447" i="1"/>
  <c r="AF447" i="1"/>
  <c r="AG447" i="1"/>
  <c r="AH447" i="1"/>
  <c r="AI447" i="1"/>
  <c r="AJ447" i="1"/>
  <c r="AK447" i="1"/>
  <c r="C448" i="1"/>
  <c r="H448" i="1"/>
  <c r="I448" i="1"/>
  <c r="J448" i="1"/>
  <c r="K448" i="1"/>
  <c r="M448" i="1"/>
  <c r="P448" i="1"/>
  <c r="R448" i="1"/>
  <c r="S448" i="1"/>
  <c r="T448" i="1"/>
  <c r="U448" i="1"/>
  <c r="X448" i="1"/>
  <c r="Y448" i="1"/>
  <c r="Z448" i="1"/>
  <c r="AA448" i="1"/>
  <c r="AB448" i="1"/>
  <c r="AC448" i="1"/>
  <c r="AD448" i="1"/>
  <c r="AE448" i="1"/>
  <c r="AF448" i="1"/>
  <c r="AG448" i="1"/>
  <c r="AH448" i="1"/>
  <c r="AI448" i="1"/>
  <c r="AJ448" i="1"/>
  <c r="AK448" i="1"/>
  <c r="C449" i="1"/>
  <c r="H449" i="1"/>
  <c r="I449" i="1"/>
  <c r="J449" i="1"/>
  <c r="K449" i="1"/>
  <c r="M449" i="1"/>
  <c r="P449" i="1"/>
  <c r="R449" i="1"/>
  <c r="S449" i="1"/>
  <c r="T449" i="1"/>
  <c r="U449" i="1"/>
  <c r="X449" i="1"/>
  <c r="Y449" i="1"/>
  <c r="Z449" i="1"/>
  <c r="AA449" i="1"/>
  <c r="AB449" i="1"/>
  <c r="AC449" i="1"/>
  <c r="AD449" i="1"/>
  <c r="AE449" i="1"/>
  <c r="AF449" i="1"/>
  <c r="AG449" i="1"/>
  <c r="AH449" i="1"/>
  <c r="AI449" i="1"/>
  <c r="AJ449" i="1"/>
  <c r="AK449" i="1"/>
  <c r="C450" i="1"/>
  <c r="H450" i="1"/>
  <c r="I450" i="1"/>
  <c r="J450" i="1"/>
  <c r="K450" i="1"/>
  <c r="M450" i="1"/>
  <c r="P450" i="1"/>
  <c r="R450" i="1"/>
  <c r="S450" i="1"/>
  <c r="T450" i="1"/>
  <c r="U450" i="1"/>
  <c r="X450" i="1"/>
  <c r="Y450" i="1"/>
  <c r="Z450" i="1"/>
  <c r="AA450" i="1"/>
  <c r="AB450" i="1"/>
  <c r="AC450" i="1"/>
  <c r="AD450" i="1"/>
  <c r="AE450" i="1"/>
  <c r="AF450" i="1"/>
  <c r="AG450" i="1"/>
  <c r="AH450" i="1"/>
  <c r="AI450" i="1"/>
  <c r="AJ450" i="1"/>
  <c r="AK450" i="1"/>
  <c r="C451" i="1"/>
  <c r="H451" i="1"/>
  <c r="I451" i="1"/>
  <c r="J451" i="1"/>
  <c r="K451" i="1"/>
  <c r="M451" i="1"/>
  <c r="P451" i="1"/>
  <c r="R451" i="1"/>
  <c r="S451" i="1"/>
  <c r="T451" i="1"/>
  <c r="U451" i="1"/>
  <c r="X451" i="1"/>
  <c r="Y451" i="1"/>
  <c r="Z451" i="1"/>
  <c r="AA451" i="1"/>
  <c r="AB451" i="1"/>
  <c r="AC451" i="1"/>
  <c r="AD451" i="1"/>
  <c r="AE451" i="1"/>
  <c r="AF451" i="1"/>
  <c r="AG451" i="1"/>
  <c r="AH451" i="1"/>
  <c r="AI451" i="1"/>
  <c r="AJ451" i="1"/>
  <c r="AK451" i="1"/>
  <c r="C432" i="1"/>
  <c r="H432" i="1"/>
  <c r="I432" i="1"/>
  <c r="J432" i="1"/>
  <c r="K432" i="1"/>
  <c r="M432" i="1"/>
  <c r="P432" i="1"/>
  <c r="R432" i="1"/>
  <c r="S432" i="1"/>
  <c r="T432" i="1"/>
  <c r="U432" i="1"/>
  <c r="X432" i="1"/>
  <c r="Y432" i="1"/>
  <c r="Z432" i="1"/>
  <c r="AA432" i="1"/>
  <c r="AB432" i="1"/>
  <c r="AC432" i="1"/>
  <c r="AD432" i="1"/>
  <c r="AE432" i="1"/>
  <c r="AF432" i="1"/>
  <c r="AG432" i="1"/>
  <c r="AH432" i="1"/>
  <c r="AI432" i="1"/>
  <c r="AJ432" i="1"/>
  <c r="AK432" i="1"/>
  <c r="C433" i="1"/>
  <c r="H433" i="1"/>
  <c r="I433" i="1"/>
  <c r="J433" i="1"/>
  <c r="K433" i="1"/>
  <c r="M433" i="1"/>
  <c r="P433" i="1"/>
  <c r="R433" i="1"/>
  <c r="S433" i="1"/>
  <c r="T433" i="1"/>
  <c r="U433" i="1"/>
  <c r="X433" i="1"/>
  <c r="Y433" i="1"/>
  <c r="Z433" i="1"/>
  <c r="AA433" i="1"/>
  <c r="AB433" i="1"/>
  <c r="AC433" i="1"/>
  <c r="AD433" i="1"/>
  <c r="AE433" i="1"/>
  <c r="AF433" i="1"/>
  <c r="AG433" i="1"/>
  <c r="AH433" i="1"/>
  <c r="AI433" i="1"/>
  <c r="AJ433" i="1"/>
  <c r="AK433" i="1"/>
  <c r="C434" i="1"/>
  <c r="H434" i="1"/>
  <c r="I434" i="1"/>
  <c r="J434" i="1"/>
  <c r="K434" i="1"/>
  <c r="M434" i="1"/>
  <c r="P434" i="1"/>
  <c r="R434" i="1"/>
  <c r="S434" i="1"/>
  <c r="T434" i="1"/>
  <c r="U434" i="1"/>
  <c r="X434" i="1"/>
  <c r="Y434" i="1"/>
  <c r="Z434" i="1"/>
  <c r="AA434" i="1"/>
  <c r="AB434" i="1"/>
  <c r="AC434" i="1"/>
  <c r="AD434" i="1"/>
  <c r="AE434" i="1"/>
  <c r="AF434" i="1"/>
  <c r="AG434" i="1"/>
  <c r="AH434" i="1"/>
  <c r="AI434" i="1"/>
  <c r="AJ434" i="1"/>
  <c r="AK434" i="1"/>
  <c r="C435" i="1"/>
  <c r="H435" i="1"/>
  <c r="I435" i="1"/>
  <c r="J435" i="1"/>
  <c r="K435" i="1"/>
  <c r="M435" i="1"/>
  <c r="P435" i="1"/>
  <c r="R435" i="1"/>
  <c r="S435" i="1"/>
  <c r="T435" i="1"/>
  <c r="U435" i="1"/>
  <c r="X435" i="1"/>
  <c r="Y435" i="1"/>
  <c r="Z435" i="1"/>
  <c r="AA435" i="1"/>
  <c r="AB435" i="1"/>
  <c r="AC435" i="1"/>
  <c r="AD435" i="1"/>
  <c r="AE435" i="1"/>
  <c r="AF435" i="1"/>
  <c r="AG435" i="1"/>
  <c r="AH435" i="1"/>
  <c r="AI435" i="1"/>
  <c r="AJ435" i="1"/>
  <c r="AK435" i="1"/>
  <c r="C436" i="1"/>
  <c r="H436" i="1"/>
  <c r="I436" i="1"/>
  <c r="J436" i="1"/>
  <c r="K436" i="1"/>
  <c r="M436" i="1"/>
  <c r="P436" i="1"/>
  <c r="R436" i="1"/>
  <c r="S436" i="1"/>
  <c r="T436" i="1"/>
  <c r="U436" i="1"/>
  <c r="X436" i="1"/>
  <c r="Y436" i="1"/>
  <c r="Z436" i="1"/>
  <c r="AA436" i="1"/>
  <c r="AB436" i="1"/>
  <c r="AC436" i="1"/>
  <c r="AD436" i="1"/>
  <c r="AE436" i="1"/>
  <c r="AF436" i="1"/>
  <c r="AG436" i="1"/>
  <c r="AH436" i="1"/>
  <c r="AI436" i="1"/>
  <c r="AJ436" i="1"/>
  <c r="AK436" i="1"/>
  <c r="C437" i="1"/>
  <c r="H437" i="1"/>
  <c r="I437" i="1"/>
  <c r="J437" i="1"/>
  <c r="K437" i="1"/>
  <c r="M437" i="1"/>
  <c r="P437" i="1"/>
  <c r="R437" i="1"/>
  <c r="S437" i="1"/>
  <c r="T437" i="1"/>
  <c r="U437" i="1"/>
  <c r="X437" i="1"/>
  <c r="Y437" i="1"/>
  <c r="Z437" i="1"/>
  <c r="AA437" i="1"/>
  <c r="AB437" i="1"/>
  <c r="AC437" i="1"/>
  <c r="AD437" i="1"/>
  <c r="AE437" i="1"/>
  <c r="AF437" i="1"/>
  <c r="AG437" i="1"/>
  <c r="AH437" i="1"/>
  <c r="AI437" i="1"/>
  <c r="AJ437" i="1"/>
  <c r="AK437" i="1"/>
  <c r="C438" i="1"/>
  <c r="H438" i="1"/>
  <c r="I438" i="1"/>
  <c r="J438" i="1"/>
  <c r="K438" i="1"/>
  <c r="M438" i="1"/>
  <c r="P438" i="1"/>
  <c r="R438" i="1"/>
  <c r="S438" i="1"/>
  <c r="T438" i="1"/>
  <c r="U438" i="1"/>
  <c r="X438" i="1"/>
  <c r="Y438" i="1"/>
  <c r="Z438" i="1"/>
  <c r="AA438" i="1"/>
  <c r="AB438" i="1"/>
  <c r="AC438" i="1"/>
  <c r="AD438" i="1"/>
  <c r="AE438" i="1"/>
  <c r="AF438" i="1"/>
  <c r="AG438" i="1"/>
  <c r="AH438" i="1"/>
  <c r="AI438" i="1"/>
  <c r="AJ438" i="1"/>
  <c r="AK438" i="1"/>
  <c r="C439" i="1"/>
  <c r="H439" i="1"/>
  <c r="I439" i="1"/>
  <c r="J439" i="1"/>
  <c r="K439" i="1"/>
  <c r="M439" i="1"/>
  <c r="P439" i="1"/>
  <c r="R439" i="1"/>
  <c r="S439" i="1"/>
  <c r="T439" i="1"/>
  <c r="U439" i="1"/>
  <c r="X439" i="1"/>
  <c r="Y439" i="1"/>
  <c r="Z439" i="1"/>
  <c r="AA439" i="1"/>
  <c r="AB439" i="1"/>
  <c r="AC439" i="1"/>
  <c r="AD439" i="1"/>
  <c r="AE439" i="1"/>
  <c r="AF439" i="1"/>
  <c r="AG439" i="1"/>
  <c r="AH439" i="1"/>
  <c r="AI439" i="1"/>
  <c r="AJ439" i="1"/>
  <c r="AK439" i="1"/>
  <c r="C440" i="1"/>
  <c r="H440" i="1"/>
  <c r="I440" i="1"/>
  <c r="J440" i="1"/>
  <c r="K440" i="1"/>
  <c r="M440" i="1"/>
  <c r="P440" i="1"/>
  <c r="R440" i="1"/>
  <c r="S440" i="1"/>
  <c r="T440" i="1"/>
  <c r="U440" i="1"/>
  <c r="X440" i="1"/>
  <c r="Y440" i="1"/>
  <c r="Z440" i="1"/>
  <c r="AA440" i="1"/>
  <c r="AB440" i="1"/>
  <c r="AC440" i="1"/>
  <c r="AD440" i="1"/>
  <c r="AE440" i="1"/>
  <c r="AF440" i="1"/>
  <c r="AG440" i="1"/>
  <c r="AH440" i="1"/>
  <c r="AI440" i="1"/>
  <c r="AJ440" i="1"/>
  <c r="AK440" i="1"/>
  <c r="C441" i="1"/>
  <c r="H441" i="1"/>
  <c r="I441" i="1"/>
  <c r="J441" i="1"/>
  <c r="K441" i="1"/>
  <c r="M441" i="1"/>
  <c r="P441" i="1"/>
  <c r="R441" i="1"/>
  <c r="S441" i="1"/>
  <c r="T441" i="1"/>
  <c r="U441" i="1"/>
  <c r="X441" i="1"/>
  <c r="Y441" i="1"/>
  <c r="Z441" i="1"/>
  <c r="AA441" i="1"/>
  <c r="AB441" i="1"/>
  <c r="AC441" i="1"/>
  <c r="AD441" i="1"/>
  <c r="AE441" i="1"/>
  <c r="AF441" i="1"/>
  <c r="AG441" i="1"/>
  <c r="AH441" i="1"/>
  <c r="AI441" i="1"/>
  <c r="AJ441" i="1"/>
  <c r="AK441" i="1"/>
  <c r="C422" i="1"/>
  <c r="H422" i="1"/>
  <c r="I422" i="1"/>
  <c r="J422" i="1"/>
  <c r="K422" i="1"/>
  <c r="M422" i="1"/>
  <c r="P422" i="1"/>
  <c r="R422" i="1"/>
  <c r="S422" i="1"/>
  <c r="T422" i="1"/>
  <c r="U422" i="1"/>
  <c r="X422" i="1"/>
  <c r="Y422" i="1"/>
  <c r="Z422" i="1"/>
  <c r="AA422" i="1"/>
  <c r="AB422" i="1"/>
  <c r="AC422" i="1"/>
  <c r="AD422" i="1"/>
  <c r="AE422" i="1"/>
  <c r="AF422" i="1"/>
  <c r="AG422" i="1"/>
  <c r="AH422" i="1"/>
  <c r="AI422" i="1"/>
  <c r="AJ422" i="1"/>
  <c r="AK422" i="1"/>
  <c r="C423" i="1"/>
  <c r="H423" i="1"/>
  <c r="I423" i="1"/>
  <c r="J423" i="1"/>
  <c r="K423" i="1"/>
  <c r="M423" i="1"/>
  <c r="P423" i="1"/>
  <c r="R423" i="1"/>
  <c r="S423" i="1"/>
  <c r="T423" i="1"/>
  <c r="U423" i="1"/>
  <c r="X423" i="1"/>
  <c r="Y423" i="1"/>
  <c r="Z423" i="1"/>
  <c r="AA423" i="1"/>
  <c r="AB423" i="1"/>
  <c r="AC423" i="1"/>
  <c r="AD423" i="1"/>
  <c r="AE423" i="1"/>
  <c r="AF423" i="1"/>
  <c r="AG423" i="1"/>
  <c r="AH423" i="1"/>
  <c r="AI423" i="1"/>
  <c r="AJ423" i="1"/>
  <c r="AK423" i="1"/>
  <c r="C424" i="1"/>
  <c r="H424" i="1"/>
  <c r="I424" i="1"/>
  <c r="J424" i="1"/>
  <c r="K424" i="1"/>
  <c r="M424" i="1"/>
  <c r="P424" i="1"/>
  <c r="R424" i="1"/>
  <c r="S424" i="1"/>
  <c r="T424" i="1"/>
  <c r="U424" i="1"/>
  <c r="X424" i="1"/>
  <c r="Y424" i="1"/>
  <c r="Z424" i="1"/>
  <c r="AA424" i="1"/>
  <c r="AB424" i="1"/>
  <c r="AC424" i="1"/>
  <c r="AD424" i="1"/>
  <c r="AE424" i="1"/>
  <c r="AF424" i="1"/>
  <c r="AG424" i="1"/>
  <c r="AH424" i="1"/>
  <c r="AI424" i="1"/>
  <c r="AJ424" i="1"/>
  <c r="AK424" i="1"/>
  <c r="C425" i="1"/>
  <c r="H425" i="1"/>
  <c r="I425" i="1"/>
  <c r="J425" i="1"/>
  <c r="K425" i="1"/>
  <c r="M425" i="1"/>
  <c r="P425" i="1"/>
  <c r="R425" i="1"/>
  <c r="S425" i="1"/>
  <c r="T425" i="1"/>
  <c r="U425" i="1"/>
  <c r="X425" i="1"/>
  <c r="Y425" i="1"/>
  <c r="Z425" i="1"/>
  <c r="AA425" i="1"/>
  <c r="AB425" i="1"/>
  <c r="AC425" i="1"/>
  <c r="AD425" i="1"/>
  <c r="AE425" i="1"/>
  <c r="AF425" i="1"/>
  <c r="AG425" i="1"/>
  <c r="AH425" i="1"/>
  <c r="AI425" i="1"/>
  <c r="AJ425" i="1"/>
  <c r="AK425" i="1"/>
  <c r="C426" i="1"/>
  <c r="H426" i="1"/>
  <c r="I426" i="1"/>
  <c r="J426" i="1"/>
  <c r="K426" i="1"/>
  <c r="M426" i="1"/>
  <c r="P426" i="1"/>
  <c r="R426" i="1"/>
  <c r="S426" i="1"/>
  <c r="T426" i="1"/>
  <c r="U426" i="1"/>
  <c r="X426" i="1"/>
  <c r="Y426" i="1"/>
  <c r="Z426" i="1"/>
  <c r="AA426" i="1"/>
  <c r="AB426" i="1"/>
  <c r="AC426" i="1"/>
  <c r="AD426" i="1"/>
  <c r="AE426" i="1"/>
  <c r="AF426" i="1"/>
  <c r="AG426" i="1"/>
  <c r="AH426" i="1"/>
  <c r="AI426" i="1"/>
  <c r="AJ426" i="1"/>
  <c r="AK426" i="1"/>
  <c r="C427" i="1"/>
  <c r="H427" i="1"/>
  <c r="I427" i="1"/>
  <c r="J427" i="1"/>
  <c r="K427" i="1"/>
  <c r="M427" i="1"/>
  <c r="P427" i="1"/>
  <c r="R427" i="1"/>
  <c r="S427" i="1"/>
  <c r="T427" i="1"/>
  <c r="U427" i="1"/>
  <c r="X427" i="1"/>
  <c r="Y427" i="1"/>
  <c r="Z427" i="1"/>
  <c r="AA427" i="1"/>
  <c r="AB427" i="1"/>
  <c r="AC427" i="1"/>
  <c r="AD427" i="1"/>
  <c r="AE427" i="1"/>
  <c r="AF427" i="1"/>
  <c r="AG427" i="1"/>
  <c r="AH427" i="1"/>
  <c r="AI427" i="1"/>
  <c r="AJ427" i="1"/>
  <c r="AK427" i="1"/>
  <c r="C428" i="1"/>
  <c r="H428" i="1"/>
  <c r="I428" i="1"/>
  <c r="J428" i="1"/>
  <c r="K428" i="1"/>
  <c r="M428" i="1"/>
  <c r="P428" i="1"/>
  <c r="R428" i="1"/>
  <c r="S428" i="1"/>
  <c r="T428" i="1"/>
  <c r="U428" i="1"/>
  <c r="X428" i="1"/>
  <c r="Y428" i="1"/>
  <c r="Z428" i="1"/>
  <c r="AA428" i="1"/>
  <c r="AB428" i="1"/>
  <c r="AC428" i="1"/>
  <c r="AD428" i="1"/>
  <c r="AE428" i="1"/>
  <c r="AF428" i="1"/>
  <c r="AG428" i="1"/>
  <c r="AH428" i="1"/>
  <c r="AI428" i="1"/>
  <c r="AJ428" i="1"/>
  <c r="AK428" i="1"/>
  <c r="C429" i="1"/>
  <c r="H429" i="1"/>
  <c r="I429" i="1"/>
  <c r="J429" i="1"/>
  <c r="K429" i="1"/>
  <c r="M429" i="1"/>
  <c r="P429" i="1"/>
  <c r="R429" i="1"/>
  <c r="S429" i="1"/>
  <c r="T429" i="1"/>
  <c r="U429" i="1"/>
  <c r="X429" i="1"/>
  <c r="Y429" i="1"/>
  <c r="Z429" i="1"/>
  <c r="AA429" i="1"/>
  <c r="AB429" i="1"/>
  <c r="AC429" i="1"/>
  <c r="AD429" i="1"/>
  <c r="AE429" i="1"/>
  <c r="AF429" i="1"/>
  <c r="AG429" i="1"/>
  <c r="AH429" i="1"/>
  <c r="AI429" i="1"/>
  <c r="AJ429" i="1"/>
  <c r="AK429" i="1"/>
  <c r="C430" i="1"/>
  <c r="H430" i="1"/>
  <c r="I430" i="1"/>
  <c r="J430" i="1"/>
  <c r="K430" i="1"/>
  <c r="M430" i="1"/>
  <c r="P430" i="1"/>
  <c r="R430" i="1"/>
  <c r="S430" i="1"/>
  <c r="T430" i="1"/>
  <c r="U430" i="1"/>
  <c r="X430" i="1"/>
  <c r="Y430" i="1"/>
  <c r="Z430" i="1"/>
  <c r="AA430" i="1"/>
  <c r="AB430" i="1"/>
  <c r="AC430" i="1"/>
  <c r="AD430" i="1"/>
  <c r="AE430" i="1"/>
  <c r="AF430" i="1"/>
  <c r="AG430" i="1"/>
  <c r="AH430" i="1"/>
  <c r="AI430" i="1"/>
  <c r="AJ430" i="1"/>
  <c r="AK430" i="1"/>
  <c r="C431" i="1"/>
  <c r="H431" i="1"/>
  <c r="I431" i="1"/>
  <c r="J431" i="1"/>
  <c r="K431" i="1"/>
  <c r="M431" i="1"/>
  <c r="P431" i="1"/>
  <c r="R431" i="1"/>
  <c r="S431" i="1"/>
  <c r="T431" i="1"/>
  <c r="U431" i="1"/>
  <c r="X431" i="1"/>
  <c r="Y431" i="1"/>
  <c r="Z431" i="1"/>
  <c r="AA431" i="1"/>
  <c r="AB431" i="1"/>
  <c r="AC431" i="1"/>
  <c r="AD431" i="1"/>
  <c r="AE431" i="1"/>
  <c r="AF431" i="1"/>
  <c r="AG431" i="1"/>
  <c r="AH431" i="1"/>
  <c r="AI431" i="1"/>
  <c r="AJ431" i="1"/>
  <c r="AK431" i="1"/>
  <c r="C412" i="1"/>
  <c r="H412" i="1"/>
  <c r="I412" i="1"/>
  <c r="J412" i="1"/>
  <c r="K412" i="1"/>
  <c r="M412" i="1"/>
  <c r="P412" i="1"/>
  <c r="R412" i="1"/>
  <c r="S412" i="1"/>
  <c r="T412" i="1"/>
  <c r="U412" i="1"/>
  <c r="X412" i="1"/>
  <c r="Y412" i="1"/>
  <c r="Z412" i="1"/>
  <c r="AA412" i="1"/>
  <c r="AB412" i="1"/>
  <c r="AC412" i="1"/>
  <c r="AD412" i="1"/>
  <c r="AE412" i="1"/>
  <c r="AF412" i="1"/>
  <c r="AG412" i="1"/>
  <c r="AH412" i="1"/>
  <c r="AI412" i="1"/>
  <c r="AJ412" i="1"/>
  <c r="AK412" i="1"/>
  <c r="C413" i="1"/>
  <c r="H413" i="1"/>
  <c r="I413" i="1"/>
  <c r="J413" i="1"/>
  <c r="K413" i="1"/>
  <c r="M413" i="1"/>
  <c r="P413" i="1"/>
  <c r="R413" i="1"/>
  <c r="S413" i="1"/>
  <c r="T413" i="1"/>
  <c r="U413" i="1"/>
  <c r="X413" i="1"/>
  <c r="Y413" i="1"/>
  <c r="Z413" i="1"/>
  <c r="AA413" i="1"/>
  <c r="AB413" i="1"/>
  <c r="AC413" i="1"/>
  <c r="AD413" i="1"/>
  <c r="AE413" i="1"/>
  <c r="AF413" i="1"/>
  <c r="AG413" i="1"/>
  <c r="AH413" i="1"/>
  <c r="AI413" i="1"/>
  <c r="AJ413" i="1"/>
  <c r="AK413" i="1"/>
  <c r="C414" i="1"/>
  <c r="H414" i="1"/>
  <c r="I414" i="1"/>
  <c r="J414" i="1"/>
  <c r="K414" i="1"/>
  <c r="M414" i="1"/>
  <c r="P414" i="1"/>
  <c r="R414" i="1"/>
  <c r="S414" i="1"/>
  <c r="T414" i="1"/>
  <c r="U414" i="1"/>
  <c r="X414" i="1"/>
  <c r="Y414" i="1"/>
  <c r="Z414" i="1"/>
  <c r="AA414" i="1"/>
  <c r="AB414" i="1"/>
  <c r="AC414" i="1"/>
  <c r="AD414" i="1"/>
  <c r="AE414" i="1"/>
  <c r="AF414" i="1"/>
  <c r="AG414" i="1"/>
  <c r="AH414" i="1"/>
  <c r="AI414" i="1"/>
  <c r="AJ414" i="1"/>
  <c r="AK414" i="1"/>
  <c r="C415" i="1"/>
  <c r="H415" i="1"/>
  <c r="I415" i="1"/>
  <c r="J415" i="1"/>
  <c r="K415" i="1"/>
  <c r="M415" i="1"/>
  <c r="P415" i="1"/>
  <c r="R415" i="1"/>
  <c r="S415" i="1"/>
  <c r="T415" i="1"/>
  <c r="U415" i="1"/>
  <c r="X415" i="1"/>
  <c r="Y415" i="1"/>
  <c r="Z415" i="1"/>
  <c r="AA415" i="1"/>
  <c r="AB415" i="1"/>
  <c r="AC415" i="1"/>
  <c r="AD415" i="1"/>
  <c r="AE415" i="1"/>
  <c r="AF415" i="1"/>
  <c r="AG415" i="1"/>
  <c r="AH415" i="1"/>
  <c r="AI415" i="1"/>
  <c r="AJ415" i="1"/>
  <c r="AK415" i="1"/>
  <c r="C416" i="1"/>
  <c r="H416" i="1"/>
  <c r="I416" i="1"/>
  <c r="J416" i="1"/>
  <c r="K416" i="1"/>
  <c r="M416" i="1"/>
  <c r="P416" i="1"/>
  <c r="R416" i="1"/>
  <c r="S416" i="1"/>
  <c r="T416" i="1"/>
  <c r="U416" i="1"/>
  <c r="X416" i="1"/>
  <c r="Y416" i="1"/>
  <c r="Z416" i="1"/>
  <c r="AA416" i="1"/>
  <c r="AB416" i="1"/>
  <c r="AC416" i="1"/>
  <c r="AD416" i="1"/>
  <c r="AE416" i="1"/>
  <c r="AF416" i="1"/>
  <c r="AG416" i="1"/>
  <c r="AH416" i="1"/>
  <c r="AI416" i="1"/>
  <c r="AJ416" i="1"/>
  <c r="AK416" i="1"/>
  <c r="C417" i="1"/>
  <c r="H417" i="1"/>
  <c r="I417" i="1"/>
  <c r="J417" i="1"/>
  <c r="K417" i="1"/>
  <c r="M417" i="1"/>
  <c r="P417" i="1"/>
  <c r="R417" i="1"/>
  <c r="S417" i="1"/>
  <c r="T417" i="1"/>
  <c r="U417" i="1"/>
  <c r="X417" i="1"/>
  <c r="Y417" i="1"/>
  <c r="Z417" i="1"/>
  <c r="AA417" i="1"/>
  <c r="AB417" i="1"/>
  <c r="AC417" i="1"/>
  <c r="AD417" i="1"/>
  <c r="AE417" i="1"/>
  <c r="AF417" i="1"/>
  <c r="AG417" i="1"/>
  <c r="AH417" i="1"/>
  <c r="AI417" i="1"/>
  <c r="AJ417" i="1"/>
  <c r="AK417" i="1"/>
  <c r="C418" i="1"/>
  <c r="H418" i="1"/>
  <c r="I418" i="1"/>
  <c r="J418" i="1"/>
  <c r="K418" i="1"/>
  <c r="M418" i="1"/>
  <c r="P418" i="1"/>
  <c r="R418" i="1"/>
  <c r="S418" i="1"/>
  <c r="T418" i="1"/>
  <c r="U418" i="1"/>
  <c r="X418" i="1"/>
  <c r="Y418" i="1"/>
  <c r="Z418" i="1"/>
  <c r="AA418" i="1"/>
  <c r="AB418" i="1"/>
  <c r="AC418" i="1"/>
  <c r="AD418" i="1"/>
  <c r="AE418" i="1"/>
  <c r="AF418" i="1"/>
  <c r="AG418" i="1"/>
  <c r="AH418" i="1"/>
  <c r="AI418" i="1"/>
  <c r="AJ418" i="1"/>
  <c r="AK418" i="1"/>
  <c r="C419" i="1"/>
  <c r="H419" i="1"/>
  <c r="I419" i="1"/>
  <c r="J419" i="1"/>
  <c r="K419" i="1"/>
  <c r="M419" i="1"/>
  <c r="P419" i="1"/>
  <c r="R419" i="1"/>
  <c r="S419" i="1"/>
  <c r="T419" i="1"/>
  <c r="U419" i="1"/>
  <c r="X419" i="1"/>
  <c r="Y419" i="1"/>
  <c r="Z419" i="1"/>
  <c r="AA419" i="1"/>
  <c r="AB419" i="1"/>
  <c r="AC419" i="1"/>
  <c r="AD419" i="1"/>
  <c r="AE419" i="1"/>
  <c r="AF419" i="1"/>
  <c r="AG419" i="1"/>
  <c r="AH419" i="1"/>
  <c r="AI419" i="1"/>
  <c r="AJ419" i="1"/>
  <c r="AK419" i="1"/>
  <c r="C420" i="1"/>
  <c r="H420" i="1"/>
  <c r="I420" i="1"/>
  <c r="J420" i="1"/>
  <c r="K420" i="1"/>
  <c r="M420" i="1"/>
  <c r="P420" i="1"/>
  <c r="R420" i="1"/>
  <c r="S420" i="1"/>
  <c r="T420" i="1"/>
  <c r="U420" i="1"/>
  <c r="X420" i="1"/>
  <c r="Y420" i="1"/>
  <c r="Z420" i="1"/>
  <c r="AA420" i="1"/>
  <c r="AB420" i="1"/>
  <c r="AC420" i="1"/>
  <c r="AD420" i="1"/>
  <c r="AE420" i="1"/>
  <c r="AF420" i="1"/>
  <c r="AG420" i="1"/>
  <c r="AH420" i="1"/>
  <c r="AI420" i="1"/>
  <c r="AJ420" i="1"/>
  <c r="AK420" i="1"/>
  <c r="C421" i="1"/>
  <c r="H421" i="1"/>
  <c r="I421" i="1"/>
  <c r="J421" i="1"/>
  <c r="K421" i="1"/>
  <c r="M421" i="1"/>
  <c r="P421" i="1"/>
  <c r="R421" i="1"/>
  <c r="S421" i="1"/>
  <c r="T421" i="1"/>
  <c r="U421" i="1"/>
  <c r="X421" i="1"/>
  <c r="Y421" i="1"/>
  <c r="Z421" i="1"/>
  <c r="AA421" i="1"/>
  <c r="AB421" i="1"/>
  <c r="AC421" i="1"/>
  <c r="AD421" i="1"/>
  <c r="AE421" i="1"/>
  <c r="AF421" i="1"/>
  <c r="AG421" i="1"/>
  <c r="AH421" i="1"/>
  <c r="AI421" i="1"/>
  <c r="AJ421" i="1"/>
  <c r="AK421" i="1"/>
  <c r="C402" i="1"/>
  <c r="H402" i="1"/>
  <c r="I402" i="1"/>
  <c r="J402" i="1"/>
  <c r="K402" i="1"/>
  <c r="M402" i="1"/>
  <c r="P402" i="1"/>
  <c r="R402" i="1"/>
  <c r="S402" i="1"/>
  <c r="T402" i="1"/>
  <c r="U402" i="1"/>
  <c r="X402" i="1"/>
  <c r="Y402" i="1"/>
  <c r="Z402" i="1"/>
  <c r="AA402" i="1"/>
  <c r="AB402" i="1"/>
  <c r="AC402" i="1"/>
  <c r="AD402" i="1"/>
  <c r="AE402" i="1"/>
  <c r="AF402" i="1"/>
  <c r="AG402" i="1"/>
  <c r="AH402" i="1"/>
  <c r="AI402" i="1"/>
  <c r="AJ402" i="1"/>
  <c r="AK402" i="1"/>
  <c r="C403" i="1"/>
  <c r="H403" i="1"/>
  <c r="I403" i="1"/>
  <c r="J403" i="1"/>
  <c r="K403" i="1"/>
  <c r="M403" i="1"/>
  <c r="P403" i="1"/>
  <c r="R403" i="1"/>
  <c r="S403" i="1"/>
  <c r="T403" i="1"/>
  <c r="U403" i="1"/>
  <c r="X403" i="1"/>
  <c r="Y403" i="1"/>
  <c r="Z403" i="1"/>
  <c r="AA403" i="1"/>
  <c r="AB403" i="1"/>
  <c r="AC403" i="1"/>
  <c r="AD403" i="1"/>
  <c r="AE403" i="1"/>
  <c r="AF403" i="1"/>
  <c r="AG403" i="1"/>
  <c r="AH403" i="1"/>
  <c r="AI403" i="1"/>
  <c r="AJ403" i="1"/>
  <c r="AK403" i="1"/>
  <c r="C404" i="1"/>
  <c r="H404" i="1"/>
  <c r="I404" i="1"/>
  <c r="J404" i="1"/>
  <c r="K404" i="1"/>
  <c r="M404" i="1"/>
  <c r="P404" i="1"/>
  <c r="R404" i="1"/>
  <c r="S404" i="1"/>
  <c r="T404" i="1"/>
  <c r="U404" i="1"/>
  <c r="X404" i="1"/>
  <c r="Y404" i="1"/>
  <c r="Z404" i="1"/>
  <c r="AA404" i="1"/>
  <c r="AB404" i="1"/>
  <c r="AC404" i="1"/>
  <c r="AD404" i="1"/>
  <c r="AE404" i="1"/>
  <c r="AF404" i="1"/>
  <c r="AG404" i="1"/>
  <c r="AH404" i="1"/>
  <c r="AI404" i="1"/>
  <c r="AJ404" i="1"/>
  <c r="AK404" i="1"/>
  <c r="C405" i="1"/>
  <c r="H405" i="1"/>
  <c r="I405" i="1"/>
  <c r="J405" i="1"/>
  <c r="K405" i="1"/>
  <c r="M405" i="1"/>
  <c r="P405" i="1"/>
  <c r="R405" i="1"/>
  <c r="S405" i="1"/>
  <c r="T405" i="1"/>
  <c r="U405" i="1"/>
  <c r="X405" i="1"/>
  <c r="Y405" i="1"/>
  <c r="Z405" i="1"/>
  <c r="AA405" i="1"/>
  <c r="AB405" i="1"/>
  <c r="AC405" i="1"/>
  <c r="AD405" i="1"/>
  <c r="AE405" i="1"/>
  <c r="AF405" i="1"/>
  <c r="AG405" i="1"/>
  <c r="AH405" i="1"/>
  <c r="AI405" i="1"/>
  <c r="AJ405" i="1"/>
  <c r="AK405" i="1"/>
  <c r="C406" i="1"/>
  <c r="H406" i="1"/>
  <c r="I406" i="1"/>
  <c r="J406" i="1"/>
  <c r="K406" i="1"/>
  <c r="M406" i="1"/>
  <c r="P406" i="1"/>
  <c r="R406" i="1"/>
  <c r="S406" i="1"/>
  <c r="T406" i="1"/>
  <c r="U406" i="1"/>
  <c r="X406" i="1"/>
  <c r="Y406" i="1"/>
  <c r="Z406" i="1"/>
  <c r="AA406" i="1"/>
  <c r="AB406" i="1"/>
  <c r="AC406" i="1"/>
  <c r="AD406" i="1"/>
  <c r="AE406" i="1"/>
  <c r="AF406" i="1"/>
  <c r="AG406" i="1"/>
  <c r="AH406" i="1"/>
  <c r="AI406" i="1"/>
  <c r="AJ406" i="1"/>
  <c r="AK406" i="1"/>
  <c r="C407" i="1"/>
  <c r="H407" i="1"/>
  <c r="I407" i="1"/>
  <c r="J407" i="1"/>
  <c r="K407" i="1"/>
  <c r="M407" i="1"/>
  <c r="P407" i="1"/>
  <c r="R407" i="1"/>
  <c r="S407" i="1"/>
  <c r="T407" i="1"/>
  <c r="U407" i="1"/>
  <c r="X407" i="1"/>
  <c r="Y407" i="1"/>
  <c r="Z407" i="1"/>
  <c r="AA407" i="1"/>
  <c r="AB407" i="1"/>
  <c r="AC407" i="1"/>
  <c r="AD407" i="1"/>
  <c r="AE407" i="1"/>
  <c r="AF407" i="1"/>
  <c r="AG407" i="1"/>
  <c r="AH407" i="1"/>
  <c r="AI407" i="1"/>
  <c r="AJ407" i="1"/>
  <c r="AK407" i="1"/>
  <c r="C408" i="1"/>
  <c r="H408" i="1"/>
  <c r="I408" i="1"/>
  <c r="J408" i="1"/>
  <c r="K408" i="1"/>
  <c r="M408" i="1"/>
  <c r="P408" i="1"/>
  <c r="R408" i="1"/>
  <c r="S408" i="1"/>
  <c r="T408" i="1"/>
  <c r="U408" i="1"/>
  <c r="X408" i="1"/>
  <c r="Y408" i="1"/>
  <c r="Z408" i="1"/>
  <c r="AA408" i="1"/>
  <c r="AB408" i="1"/>
  <c r="AC408" i="1"/>
  <c r="AD408" i="1"/>
  <c r="AE408" i="1"/>
  <c r="AF408" i="1"/>
  <c r="AG408" i="1"/>
  <c r="AH408" i="1"/>
  <c r="AI408" i="1"/>
  <c r="AJ408" i="1"/>
  <c r="AK408" i="1"/>
  <c r="C409" i="1"/>
  <c r="H409" i="1"/>
  <c r="I409" i="1"/>
  <c r="J409" i="1"/>
  <c r="K409" i="1"/>
  <c r="M409" i="1"/>
  <c r="P409" i="1"/>
  <c r="R409" i="1"/>
  <c r="S409" i="1"/>
  <c r="T409" i="1"/>
  <c r="U409" i="1"/>
  <c r="X409" i="1"/>
  <c r="Y409" i="1"/>
  <c r="Z409" i="1"/>
  <c r="AA409" i="1"/>
  <c r="AB409" i="1"/>
  <c r="AC409" i="1"/>
  <c r="AD409" i="1"/>
  <c r="AE409" i="1"/>
  <c r="AF409" i="1"/>
  <c r="AG409" i="1"/>
  <c r="AH409" i="1"/>
  <c r="AI409" i="1"/>
  <c r="AJ409" i="1"/>
  <c r="AK409" i="1"/>
  <c r="C410" i="1"/>
  <c r="H410" i="1"/>
  <c r="I410" i="1"/>
  <c r="J410" i="1"/>
  <c r="K410" i="1"/>
  <c r="M410" i="1"/>
  <c r="P410" i="1"/>
  <c r="R410" i="1"/>
  <c r="S410" i="1"/>
  <c r="T410" i="1"/>
  <c r="U410" i="1"/>
  <c r="X410" i="1"/>
  <c r="Y410" i="1"/>
  <c r="Z410" i="1"/>
  <c r="AA410" i="1"/>
  <c r="AB410" i="1"/>
  <c r="AC410" i="1"/>
  <c r="AD410" i="1"/>
  <c r="AE410" i="1"/>
  <c r="AF410" i="1"/>
  <c r="AG410" i="1"/>
  <c r="AH410" i="1"/>
  <c r="AI410" i="1"/>
  <c r="AJ410" i="1"/>
  <c r="AK410" i="1"/>
  <c r="C411" i="1"/>
  <c r="H411" i="1"/>
  <c r="I411" i="1"/>
  <c r="J411" i="1"/>
  <c r="K411" i="1"/>
  <c r="M411" i="1"/>
  <c r="P411" i="1"/>
  <c r="R411" i="1"/>
  <c r="S411" i="1"/>
  <c r="T411" i="1"/>
  <c r="U411" i="1"/>
  <c r="X411" i="1"/>
  <c r="Y411" i="1"/>
  <c r="Z411" i="1"/>
  <c r="AA411" i="1"/>
  <c r="AB411" i="1"/>
  <c r="AC411" i="1"/>
  <c r="AD411" i="1"/>
  <c r="AE411" i="1"/>
  <c r="AF411" i="1"/>
  <c r="AG411" i="1"/>
  <c r="AH411" i="1"/>
  <c r="AI411" i="1"/>
  <c r="AJ411" i="1"/>
  <c r="AK411" i="1"/>
  <c r="C392" i="1"/>
  <c r="H392" i="1"/>
  <c r="I392" i="1"/>
  <c r="J392" i="1"/>
  <c r="K392" i="1"/>
  <c r="M392" i="1"/>
  <c r="P392" i="1"/>
  <c r="R392" i="1"/>
  <c r="S392" i="1"/>
  <c r="T392" i="1"/>
  <c r="U392" i="1"/>
  <c r="X392" i="1"/>
  <c r="Y392" i="1"/>
  <c r="Z392" i="1"/>
  <c r="AA392" i="1"/>
  <c r="AB392" i="1"/>
  <c r="AC392" i="1"/>
  <c r="AD392" i="1"/>
  <c r="AE392" i="1"/>
  <c r="AF392" i="1"/>
  <c r="AG392" i="1"/>
  <c r="AH392" i="1"/>
  <c r="AI392" i="1"/>
  <c r="AJ392" i="1"/>
  <c r="AK392" i="1"/>
  <c r="C393" i="1"/>
  <c r="H393" i="1"/>
  <c r="I393" i="1"/>
  <c r="J393" i="1"/>
  <c r="K393" i="1"/>
  <c r="M393" i="1"/>
  <c r="P393" i="1"/>
  <c r="R393" i="1"/>
  <c r="S393" i="1"/>
  <c r="T393" i="1"/>
  <c r="U393" i="1"/>
  <c r="X393" i="1"/>
  <c r="Y393" i="1"/>
  <c r="Z393" i="1"/>
  <c r="AA393" i="1"/>
  <c r="AB393" i="1"/>
  <c r="AC393" i="1"/>
  <c r="AD393" i="1"/>
  <c r="AE393" i="1"/>
  <c r="AF393" i="1"/>
  <c r="AG393" i="1"/>
  <c r="AH393" i="1"/>
  <c r="AI393" i="1"/>
  <c r="AJ393" i="1"/>
  <c r="AK393" i="1"/>
  <c r="C394" i="1"/>
  <c r="H394" i="1"/>
  <c r="I394" i="1"/>
  <c r="J394" i="1"/>
  <c r="K394" i="1"/>
  <c r="M394" i="1"/>
  <c r="P394" i="1"/>
  <c r="R394" i="1"/>
  <c r="S394" i="1"/>
  <c r="T394" i="1"/>
  <c r="U394" i="1"/>
  <c r="X394" i="1"/>
  <c r="Y394" i="1"/>
  <c r="Z394" i="1"/>
  <c r="AA394" i="1"/>
  <c r="AB394" i="1"/>
  <c r="AC394" i="1"/>
  <c r="AD394" i="1"/>
  <c r="AE394" i="1"/>
  <c r="AF394" i="1"/>
  <c r="AG394" i="1"/>
  <c r="AH394" i="1"/>
  <c r="AI394" i="1"/>
  <c r="AJ394" i="1"/>
  <c r="AK394" i="1"/>
  <c r="C395" i="1"/>
  <c r="H395" i="1"/>
  <c r="I395" i="1"/>
  <c r="J395" i="1"/>
  <c r="K395" i="1"/>
  <c r="M395" i="1"/>
  <c r="P395" i="1"/>
  <c r="R395" i="1"/>
  <c r="S395" i="1"/>
  <c r="T395" i="1"/>
  <c r="U395" i="1"/>
  <c r="X395" i="1"/>
  <c r="Y395" i="1"/>
  <c r="Z395" i="1"/>
  <c r="AA395" i="1"/>
  <c r="AB395" i="1"/>
  <c r="AC395" i="1"/>
  <c r="AD395" i="1"/>
  <c r="AE395" i="1"/>
  <c r="AF395" i="1"/>
  <c r="AG395" i="1"/>
  <c r="AH395" i="1"/>
  <c r="AI395" i="1"/>
  <c r="AJ395" i="1"/>
  <c r="AK395" i="1"/>
  <c r="C396" i="1"/>
  <c r="H396" i="1"/>
  <c r="I396" i="1"/>
  <c r="J396" i="1"/>
  <c r="K396" i="1"/>
  <c r="M396" i="1"/>
  <c r="P396" i="1"/>
  <c r="R396" i="1"/>
  <c r="S396" i="1"/>
  <c r="T396" i="1"/>
  <c r="U396" i="1"/>
  <c r="X396" i="1"/>
  <c r="Y396" i="1"/>
  <c r="Z396" i="1"/>
  <c r="AA396" i="1"/>
  <c r="AB396" i="1"/>
  <c r="AC396" i="1"/>
  <c r="AD396" i="1"/>
  <c r="AE396" i="1"/>
  <c r="AF396" i="1"/>
  <c r="AG396" i="1"/>
  <c r="AH396" i="1"/>
  <c r="AI396" i="1"/>
  <c r="AJ396" i="1"/>
  <c r="AK396" i="1"/>
  <c r="C397" i="1"/>
  <c r="H397" i="1"/>
  <c r="I397" i="1"/>
  <c r="J397" i="1"/>
  <c r="K397" i="1"/>
  <c r="M397" i="1"/>
  <c r="P397" i="1"/>
  <c r="R397" i="1"/>
  <c r="S397" i="1"/>
  <c r="T397" i="1"/>
  <c r="U397" i="1"/>
  <c r="X397" i="1"/>
  <c r="Y397" i="1"/>
  <c r="Z397" i="1"/>
  <c r="AA397" i="1"/>
  <c r="AB397" i="1"/>
  <c r="AC397" i="1"/>
  <c r="AD397" i="1"/>
  <c r="AE397" i="1"/>
  <c r="AF397" i="1"/>
  <c r="AG397" i="1"/>
  <c r="AH397" i="1"/>
  <c r="AI397" i="1"/>
  <c r="AJ397" i="1"/>
  <c r="AK397" i="1"/>
  <c r="C398" i="1"/>
  <c r="H398" i="1"/>
  <c r="I398" i="1"/>
  <c r="J398" i="1"/>
  <c r="K398" i="1"/>
  <c r="M398" i="1"/>
  <c r="P398" i="1"/>
  <c r="R398" i="1"/>
  <c r="S398" i="1"/>
  <c r="T398" i="1"/>
  <c r="U398" i="1"/>
  <c r="X398" i="1"/>
  <c r="Y398" i="1"/>
  <c r="Z398" i="1"/>
  <c r="AA398" i="1"/>
  <c r="AB398" i="1"/>
  <c r="AC398" i="1"/>
  <c r="AD398" i="1"/>
  <c r="AE398" i="1"/>
  <c r="AF398" i="1"/>
  <c r="AG398" i="1"/>
  <c r="AH398" i="1"/>
  <c r="AI398" i="1"/>
  <c r="AJ398" i="1"/>
  <c r="AK398" i="1"/>
  <c r="C399" i="1"/>
  <c r="H399" i="1"/>
  <c r="I399" i="1"/>
  <c r="J399" i="1"/>
  <c r="K399" i="1"/>
  <c r="M399" i="1"/>
  <c r="P399" i="1"/>
  <c r="R399" i="1"/>
  <c r="S399" i="1"/>
  <c r="T399" i="1"/>
  <c r="U399" i="1"/>
  <c r="X399" i="1"/>
  <c r="Y399" i="1"/>
  <c r="Z399" i="1"/>
  <c r="AA399" i="1"/>
  <c r="AB399" i="1"/>
  <c r="AC399" i="1"/>
  <c r="AD399" i="1"/>
  <c r="AE399" i="1"/>
  <c r="AF399" i="1"/>
  <c r="AG399" i="1"/>
  <c r="AH399" i="1"/>
  <c r="AI399" i="1"/>
  <c r="AJ399" i="1"/>
  <c r="AK399" i="1"/>
  <c r="C400" i="1"/>
  <c r="H400" i="1"/>
  <c r="I400" i="1"/>
  <c r="J400" i="1"/>
  <c r="K400" i="1"/>
  <c r="M400" i="1"/>
  <c r="P400" i="1"/>
  <c r="R400" i="1"/>
  <c r="S400" i="1"/>
  <c r="T400" i="1"/>
  <c r="U400" i="1"/>
  <c r="X400" i="1"/>
  <c r="Y400" i="1"/>
  <c r="Z400" i="1"/>
  <c r="AA400" i="1"/>
  <c r="AB400" i="1"/>
  <c r="AC400" i="1"/>
  <c r="AD400" i="1"/>
  <c r="AE400" i="1"/>
  <c r="AF400" i="1"/>
  <c r="AG400" i="1"/>
  <c r="AH400" i="1"/>
  <c r="AI400" i="1"/>
  <c r="AJ400" i="1"/>
  <c r="AK400" i="1"/>
  <c r="C401" i="1"/>
  <c r="H401" i="1"/>
  <c r="I401" i="1"/>
  <c r="J401" i="1"/>
  <c r="K401" i="1"/>
  <c r="M401" i="1"/>
  <c r="P401" i="1"/>
  <c r="R401" i="1"/>
  <c r="S401" i="1"/>
  <c r="T401" i="1"/>
  <c r="U401" i="1"/>
  <c r="X401" i="1"/>
  <c r="Y401" i="1"/>
  <c r="Z401" i="1"/>
  <c r="AA401" i="1"/>
  <c r="AB401" i="1"/>
  <c r="AC401" i="1"/>
  <c r="AD401" i="1"/>
  <c r="AE401" i="1"/>
  <c r="AF401" i="1"/>
  <c r="AG401" i="1"/>
  <c r="AH401" i="1"/>
  <c r="AI401" i="1"/>
  <c r="AJ401" i="1"/>
  <c r="AK401" i="1"/>
  <c r="C382" i="1"/>
  <c r="H382" i="1"/>
  <c r="I382" i="1"/>
  <c r="J382" i="1"/>
  <c r="K382" i="1"/>
  <c r="M382" i="1"/>
  <c r="P382" i="1"/>
  <c r="R382" i="1"/>
  <c r="S382" i="1"/>
  <c r="T382" i="1"/>
  <c r="U382" i="1"/>
  <c r="X382" i="1"/>
  <c r="Y382" i="1"/>
  <c r="Z382" i="1"/>
  <c r="AA382" i="1"/>
  <c r="AB382" i="1"/>
  <c r="AC382" i="1"/>
  <c r="AD382" i="1"/>
  <c r="AE382" i="1"/>
  <c r="AF382" i="1"/>
  <c r="AG382" i="1"/>
  <c r="AH382" i="1"/>
  <c r="AI382" i="1"/>
  <c r="AJ382" i="1"/>
  <c r="AK382" i="1"/>
  <c r="C383" i="1"/>
  <c r="H383" i="1"/>
  <c r="I383" i="1"/>
  <c r="J383" i="1"/>
  <c r="K383" i="1"/>
  <c r="M383" i="1"/>
  <c r="P383" i="1"/>
  <c r="R383" i="1"/>
  <c r="S383" i="1"/>
  <c r="T383" i="1"/>
  <c r="U383" i="1"/>
  <c r="X383" i="1"/>
  <c r="Y383" i="1"/>
  <c r="Z383" i="1"/>
  <c r="AA383" i="1"/>
  <c r="AB383" i="1"/>
  <c r="AC383" i="1"/>
  <c r="AD383" i="1"/>
  <c r="AE383" i="1"/>
  <c r="AF383" i="1"/>
  <c r="AG383" i="1"/>
  <c r="AH383" i="1"/>
  <c r="AI383" i="1"/>
  <c r="AJ383" i="1"/>
  <c r="AK383" i="1"/>
  <c r="C384" i="1"/>
  <c r="H384" i="1"/>
  <c r="I384" i="1"/>
  <c r="J384" i="1"/>
  <c r="K384" i="1"/>
  <c r="M384" i="1"/>
  <c r="P384" i="1"/>
  <c r="R384" i="1"/>
  <c r="S384" i="1"/>
  <c r="T384" i="1"/>
  <c r="U384" i="1"/>
  <c r="X384" i="1"/>
  <c r="Y384" i="1"/>
  <c r="Z384" i="1"/>
  <c r="AA384" i="1"/>
  <c r="AB384" i="1"/>
  <c r="AC384" i="1"/>
  <c r="AD384" i="1"/>
  <c r="AE384" i="1"/>
  <c r="AF384" i="1"/>
  <c r="AG384" i="1"/>
  <c r="AH384" i="1"/>
  <c r="AI384" i="1"/>
  <c r="AJ384" i="1"/>
  <c r="AK384" i="1"/>
  <c r="C385" i="1"/>
  <c r="H385" i="1"/>
  <c r="I385" i="1"/>
  <c r="J385" i="1"/>
  <c r="K385" i="1"/>
  <c r="M385" i="1"/>
  <c r="P385" i="1"/>
  <c r="R385" i="1"/>
  <c r="S385" i="1"/>
  <c r="T385" i="1"/>
  <c r="U385" i="1"/>
  <c r="X385" i="1"/>
  <c r="Y385" i="1"/>
  <c r="Z385" i="1"/>
  <c r="AA385" i="1"/>
  <c r="AB385" i="1"/>
  <c r="AC385" i="1"/>
  <c r="AD385" i="1"/>
  <c r="AE385" i="1"/>
  <c r="AF385" i="1"/>
  <c r="AG385" i="1"/>
  <c r="AH385" i="1"/>
  <c r="AI385" i="1"/>
  <c r="AJ385" i="1"/>
  <c r="AK385" i="1"/>
  <c r="C386" i="1"/>
  <c r="H386" i="1"/>
  <c r="I386" i="1"/>
  <c r="J386" i="1"/>
  <c r="K386" i="1"/>
  <c r="M386" i="1"/>
  <c r="P386" i="1"/>
  <c r="R386" i="1"/>
  <c r="S386" i="1"/>
  <c r="T386" i="1"/>
  <c r="U386" i="1"/>
  <c r="X386" i="1"/>
  <c r="Y386" i="1"/>
  <c r="Z386" i="1"/>
  <c r="AA386" i="1"/>
  <c r="AB386" i="1"/>
  <c r="AC386" i="1"/>
  <c r="AD386" i="1"/>
  <c r="AE386" i="1"/>
  <c r="AF386" i="1"/>
  <c r="AG386" i="1"/>
  <c r="AH386" i="1"/>
  <c r="AI386" i="1"/>
  <c r="AJ386" i="1"/>
  <c r="AK386" i="1"/>
  <c r="C387" i="1"/>
  <c r="H387" i="1"/>
  <c r="I387" i="1"/>
  <c r="J387" i="1"/>
  <c r="K387" i="1"/>
  <c r="M387" i="1"/>
  <c r="P387" i="1"/>
  <c r="R387" i="1"/>
  <c r="S387" i="1"/>
  <c r="T387" i="1"/>
  <c r="U387" i="1"/>
  <c r="X387" i="1"/>
  <c r="Y387" i="1"/>
  <c r="Z387" i="1"/>
  <c r="AA387" i="1"/>
  <c r="AB387" i="1"/>
  <c r="AC387" i="1"/>
  <c r="AD387" i="1"/>
  <c r="AE387" i="1"/>
  <c r="AF387" i="1"/>
  <c r="AG387" i="1"/>
  <c r="AH387" i="1"/>
  <c r="AI387" i="1"/>
  <c r="AJ387" i="1"/>
  <c r="AK387" i="1"/>
  <c r="C388" i="1"/>
  <c r="H388" i="1"/>
  <c r="I388" i="1"/>
  <c r="J388" i="1"/>
  <c r="K388" i="1"/>
  <c r="M388" i="1"/>
  <c r="P388" i="1"/>
  <c r="R388" i="1"/>
  <c r="S388" i="1"/>
  <c r="T388" i="1"/>
  <c r="U388" i="1"/>
  <c r="X388" i="1"/>
  <c r="Y388" i="1"/>
  <c r="Z388" i="1"/>
  <c r="AA388" i="1"/>
  <c r="AB388" i="1"/>
  <c r="AC388" i="1"/>
  <c r="AD388" i="1"/>
  <c r="AE388" i="1"/>
  <c r="AF388" i="1"/>
  <c r="AG388" i="1"/>
  <c r="AH388" i="1"/>
  <c r="AI388" i="1"/>
  <c r="AJ388" i="1"/>
  <c r="AK388" i="1"/>
  <c r="C389" i="1"/>
  <c r="H389" i="1"/>
  <c r="I389" i="1"/>
  <c r="J389" i="1"/>
  <c r="K389" i="1"/>
  <c r="M389" i="1"/>
  <c r="P389" i="1"/>
  <c r="R389" i="1"/>
  <c r="S389" i="1"/>
  <c r="T389" i="1"/>
  <c r="U389" i="1"/>
  <c r="X389" i="1"/>
  <c r="Y389" i="1"/>
  <c r="Z389" i="1"/>
  <c r="AA389" i="1"/>
  <c r="AB389" i="1"/>
  <c r="AC389" i="1"/>
  <c r="AD389" i="1"/>
  <c r="AE389" i="1"/>
  <c r="AF389" i="1"/>
  <c r="AG389" i="1"/>
  <c r="AH389" i="1"/>
  <c r="AI389" i="1"/>
  <c r="AJ389" i="1"/>
  <c r="AK389" i="1"/>
  <c r="C390" i="1"/>
  <c r="H390" i="1"/>
  <c r="I390" i="1"/>
  <c r="J390" i="1"/>
  <c r="K390" i="1"/>
  <c r="M390" i="1"/>
  <c r="P390" i="1"/>
  <c r="R390" i="1"/>
  <c r="S390" i="1"/>
  <c r="T390" i="1"/>
  <c r="U390" i="1"/>
  <c r="X390" i="1"/>
  <c r="Y390" i="1"/>
  <c r="Z390" i="1"/>
  <c r="AA390" i="1"/>
  <c r="AB390" i="1"/>
  <c r="AC390" i="1"/>
  <c r="AD390" i="1"/>
  <c r="AE390" i="1"/>
  <c r="AF390" i="1"/>
  <c r="AG390" i="1"/>
  <c r="AH390" i="1"/>
  <c r="AI390" i="1"/>
  <c r="AJ390" i="1"/>
  <c r="AK390" i="1"/>
  <c r="C391" i="1"/>
  <c r="H391" i="1"/>
  <c r="I391" i="1"/>
  <c r="J391" i="1"/>
  <c r="K391" i="1"/>
  <c r="M391" i="1"/>
  <c r="P391" i="1"/>
  <c r="R391" i="1"/>
  <c r="S391" i="1"/>
  <c r="T391" i="1"/>
  <c r="U391" i="1"/>
  <c r="X391" i="1"/>
  <c r="Y391" i="1"/>
  <c r="Z391" i="1"/>
  <c r="AA391" i="1"/>
  <c r="AB391" i="1"/>
  <c r="AC391" i="1"/>
  <c r="AD391" i="1"/>
  <c r="AE391" i="1"/>
  <c r="AF391" i="1"/>
  <c r="AG391" i="1"/>
  <c r="AH391" i="1"/>
  <c r="AI391" i="1"/>
  <c r="AJ391" i="1"/>
  <c r="AK391" i="1"/>
  <c r="C372" i="1"/>
  <c r="H372" i="1"/>
  <c r="I372" i="1"/>
  <c r="J372" i="1"/>
  <c r="K372" i="1"/>
  <c r="M372" i="1"/>
  <c r="P372" i="1"/>
  <c r="R372" i="1"/>
  <c r="S372" i="1"/>
  <c r="T372" i="1"/>
  <c r="U372" i="1"/>
  <c r="X372" i="1"/>
  <c r="Y372" i="1"/>
  <c r="Z372" i="1"/>
  <c r="AA372" i="1"/>
  <c r="AB372" i="1"/>
  <c r="AC372" i="1"/>
  <c r="AD372" i="1"/>
  <c r="AE372" i="1"/>
  <c r="AF372" i="1"/>
  <c r="AG372" i="1"/>
  <c r="AH372" i="1"/>
  <c r="AI372" i="1"/>
  <c r="AJ372" i="1"/>
  <c r="AK372" i="1"/>
  <c r="C373" i="1"/>
  <c r="H373" i="1"/>
  <c r="I373" i="1"/>
  <c r="J373" i="1"/>
  <c r="K373" i="1"/>
  <c r="M373" i="1"/>
  <c r="P373" i="1"/>
  <c r="R373" i="1"/>
  <c r="S373" i="1"/>
  <c r="T373" i="1"/>
  <c r="U373" i="1"/>
  <c r="X373" i="1"/>
  <c r="Y373" i="1"/>
  <c r="Z373" i="1"/>
  <c r="AA373" i="1"/>
  <c r="AB373" i="1"/>
  <c r="AC373" i="1"/>
  <c r="AD373" i="1"/>
  <c r="AE373" i="1"/>
  <c r="AF373" i="1"/>
  <c r="AG373" i="1"/>
  <c r="AH373" i="1"/>
  <c r="AI373" i="1"/>
  <c r="AJ373" i="1"/>
  <c r="AK373" i="1"/>
  <c r="C374" i="1"/>
  <c r="H374" i="1"/>
  <c r="I374" i="1"/>
  <c r="J374" i="1"/>
  <c r="K374" i="1"/>
  <c r="M374" i="1"/>
  <c r="P374" i="1"/>
  <c r="R374" i="1"/>
  <c r="S374" i="1"/>
  <c r="T374" i="1"/>
  <c r="U374" i="1"/>
  <c r="X374" i="1"/>
  <c r="Y374" i="1"/>
  <c r="Z374" i="1"/>
  <c r="AA374" i="1"/>
  <c r="AB374" i="1"/>
  <c r="AC374" i="1"/>
  <c r="AD374" i="1"/>
  <c r="AE374" i="1"/>
  <c r="AF374" i="1"/>
  <c r="AG374" i="1"/>
  <c r="AH374" i="1"/>
  <c r="AI374" i="1"/>
  <c r="AJ374" i="1"/>
  <c r="AK374" i="1"/>
  <c r="C375" i="1"/>
  <c r="H375" i="1"/>
  <c r="I375" i="1"/>
  <c r="J375" i="1"/>
  <c r="K375" i="1"/>
  <c r="M375" i="1"/>
  <c r="P375" i="1"/>
  <c r="R375" i="1"/>
  <c r="S375" i="1"/>
  <c r="T375" i="1"/>
  <c r="U375" i="1"/>
  <c r="X375" i="1"/>
  <c r="Y375" i="1"/>
  <c r="Z375" i="1"/>
  <c r="AA375" i="1"/>
  <c r="AB375" i="1"/>
  <c r="AC375" i="1"/>
  <c r="AD375" i="1"/>
  <c r="AE375" i="1"/>
  <c r="AF375" i="1"/>
  <c r="AG375" i="1"/>
  <c r="AH375" i="1"/>
  <c r="AI375" i="1"/>
  <c r="AJ375" i="1"/>
  <c r="AK375" i="1"/>
  <c r="C376" i="1"/>
  <c r="H376" i="1"/>
  <c r="I376" i="1"/>
  <c r="J376" i="1"/>
  <c r="K376" i="1"/>
  <c r="M376" i="1"/>
  <c r="P376" i="1"/>
  <c r="R376" i="1"/>
  <c r="S376" i="1"/>
  <c r="T376" i="1"/>
  <c r="U376" i="1"/>
  <c r="X376" i="1"/>
  <c r="Y376" i="1"/>
  <c r="Z376" i="1"/>
  <c r="AA376" i="1"/>
  <c r="AB376" i="1"/>
  <c r="AC376" i="1"/>
  <c r="AD376" i="1"/>
  <c r="AE376" i="1"/>
  <c r="AF376" i="1"/>
  <c r="AG376" i="1"/>
  <c r="AH376" i="1"/>
  <c r="AI376" i="1"/>
  <c r="AJ376" i="1"/>
  <c r="AK376" i="1"/>
  <c r="C377" i="1"/>
  <c r="H377" i="1"/>
  <c r="I377" i="1"/>
  <c r="J377" i="1"/>
  <c r="K377" i="1"/>
  <c r="M377" i="1"/>
  <c r="P377" i="1"/>
  <c r="R377" i="1"/>
  <c r="S377" i="1"/>
  <c r="T377" i="1"/>
  <c r="U377" i="1"/>
  <c r="X377" i="1"/>
  <c r="Y377" i="1"/>
  <c r="Z377" i="1"/>
  <c r="AA377" i="1"/>
  <c r="AB377" i="1"/>
  <c r="AC377" i="1"/>
  <c r="AD377" i="1"/>
  <c r="AE377" i="1"/>
  <c r="AF377" i="1"/>
  <c r="AG377" i="1"/>
  <c r="AH377" i="1"/>
  <c r="AI377" i="1"/>
  <c r="AJ377" i="1"/>
  <c r="AK377" i="1"/>
  <c r="C378" i="1"/>
  <c r="H378" i="1"/>
  <c r="I378" i="1"/>
  <c r="J378" i="1"/>
  <c r="K378" i="1"/>
  <c r="M378" i="1"/>
  <c r="P378" i="1"/>
  <c r="R378" i="1"/>
  <c r="S378" i="1"/>
  <c r="T378" i="1"/>
  <c r="U378" i="1"/>
  <c r="X378" i="1"/>
  <c r="Y378" i="1"/>
  <c r="Z378" i="1"/>
  <c r="AA378" i="1"/>
  <c r="AB378" i="1"/>
  <c r="AC378" i="1"/>
  <c r="AD378" i="1"/>
  <c r="AE378" i="1"/>
  <c r="AF378" i="1"/>
  <c r="AG378" i="1"/>
  <c r="AH378" i="1"/>
  <c r="AI378" i="1"/>
  <c r="AJ378" i="1"/>
  <c r="AK378" i="1"/>
  <c r="C379" i="1"/>
  <c r="H379" i="1"/>
  <c r="I379" i="1"/>
  <c r="J379" i="1"/>
  <c r="K379" i="1"/>
  <c r="M379" i="1"/>
  <c r="P379" i="1"/>
  <c r="R379" i="1"/>
  <c r="S379" i="1"/>
  <c r="T379" i="1"/>
  <c r="U379" i="1"/>
  <c r="X379" i="1"/>
  <c r="Y379" i="1"/>
  <c r="Z379" i="1"/>
  <c r="AA379" i="1"/>
  <c r="AB379" i="1"/>
  <c r="AC379" i="1"/>
  <c r="AD379" i="1"/>
  <c r="AE379" i="1"/>
  <c r="AF379" i="1"/>
  <c r="AG379" i="1"/>
  <c r="AH379" i="1"/>
  <c r="AI379" i="1"/>
  <c r="AJ379" i="1"/>
  <c r="AK379" i="1"/>
  <c r="C380" i="1"/>
  <c r="H380" i="1"/>
  <c r="I380" i="1"/>
  <c r="J380" i="1"/>
  <c r="K380" i="1"/>
  <c r="M380" i="1"/>
  <c r="P380" i="1"/>
  <c r="R380" i="1"/>
  <c r="S380" i="1"/>
  <c r="T380" i="1"/>
  <c r="U380" i="1"/>
  <c r="X380" i="1"/>
  <c r="Y380" i="1"/>
  <c r="Z380" i="1"/>
  <c r="AA380" i="1"/>
  <c r="AB380" i="1"/>
  <c r="AC380" i="1"/>
  <c r="AD380" i="1"/>
  <c r="AE380" i="1"/>
  <c r="AF380" i="1"/>
  <c r="AG380" i="1"/>
  <c r="AH380" i="1"/>
  <c r="AI380" i="1"/>
  <c r="AJ380" i="1"/>
  <c r="AK380" i="1"/>
  <c r="C381" i="1"/>
  <c r="H381" i="1"/>
  <c r="I381" i="1"/>
  <c r="J381" i="1"/>
  <c r="K381" i="1"/>
  <c r="M381" i="1"/>
  <c r="P381" i="1"/>
  <c r="R381" i="1"/>
  <c r="S381" i="1"/>
  <c r="T381" i="1"/>
  <c r="U381" i="1"/>
  <c r="X381" i="1"/>
  <c r="Y381" i="1"/>
  <c r="Z381" i="1"/>
  <c r="AA381" i="1"/>
  <c r="AB381" i="1"/>
  <c r="AC381" i="1"/>
  <c r="AD381" i="1"/>
  <c r="AE381" i="1"/>
  <c r="AF381" i="1"/>
  <c r="AG381" i="1"/>
  <c r="AH381" i="1"/>
  <c r="AI381" i="1"/>
  <c r="AJ381" i="1"/>
  <c r="AK381" i="1"/>
  <c r="C362" i="1"/>
  <c r="H362" i="1"/>
  <c r="I362" i="1"/>
  <c r="J362" i="1"/>
  <c r="K362" i="1"/>
  <c r="M362" i="1"/>
  <c r="P362" i="1"/>
  <c r="R362" i="1"/>
  <c r="S362" i="1"/>
  <c r="T362" i="1"/>
  <c r="U362" i="1"/>
  <c r="X362" i="1"/>
  <c r="Y362" i="1"/>
  <c r="Z362" i="1"/>
  <c r="AA362" i="1"/>
  <c r="AB362" i="1"/>
  <c r="AC362" i="1"/>
  <c r="AD362" i="1"/>
  <c r="AE362" i="1"/>
  <c r="AF362" i="1"/>
  <c r="AG362" i="1"/>
  <c r="AH362" i="1"/>
  <c r="AI362" i="1"/>
  <c r="AJ362" i="1"/>
  <c r="AK362" i="1"/>
  <c r="C363" i="1"/>
  <c r="H363" i="1"/>
  <c r="I363" i="1"/>
  <c r="J363" i="1"/>
  <c r="K363" i="1"/>
  <c r="M363" i="1"/>
  <c r="P363" i="1"/>
  <c r="R363" i="1"/>
  <c r="S363" i="1"/>
  <c r="T363" i="1"/>
  <c r="U363" i="1"/>
  <c r="X363" i="1"/>
  <c r="Y363" i="1"/>
  <c r="Z363" i="1"/>
  <c r="AA363" i="1"/>
  <c r="AB363" i="1"/>
  <c r="AC363" i="1"/>
  <c r="AD363" i="1"/>
  <c r="AE363" i="1"/>
  <c r="AF363" i="1"/>
  <c r="AG363" i="1"/>
  <c r="AH363" i="1"/>
  <c r="AI363" i="1"/>
  <c r="AJ363" i="1"/>
  <c r="AK363" i="1"/>
  <c r="C364" i="1"/>
  <c r="H364" i="1"/>
  <c r="I364" i="1"/>
  <c r="J364" i="1"/>
  <c r="K364" i="1"/>
  <c r="M364" i="1"/>
  <c r="P364" i="1"/>
  <c r="R364" i="1"/>
  <c r="S364" i="1"/>
  <c r="T364" i="1"/>
  <c r="U364" i="1"/>
  <c r="X364" i="1"/>
  <c r="Y364" i="1"/>
  <c r="Z364" i="1"/>
  <c r="AA364" i="1"/>
  <c r="AB364" i="1"/>
  <c r="AC364" i="1"/>
  <c r="AD364" i="1"/>
  <c r="AE364" i="1"/>
  <c r="AF364" i="1"/>
  <c r="AG364" i="1"/>
  <c r="AH364" i="1"/>
  <c r="AI364" i="1"/>
  <c r="AJ364" i="1"/>
  <c r="AK364" i="1"/>
  <c r="C365" i="1"/>
  <c r="H365" i="1"/>
  <c r="I365" i="1"/>
  <c r="J365" i="1"/>
  <c r="K365" i="1"/>
  <c r="M365" i="1"/>
  <c r="P365" i="1"/>
  <c r="R365" i="1"/>
  <c r="S365" i="1"/>
  <c r="T365" i="1"/>
  <c r="U365" i="1"/>
  <c r="X365" i="1"/>
  <c r="Y365" i="1"/>
  <c r="Z365" i="1"/>
  <c r="AA365" i="1"/>
  <c r="AB365" i="1"/>
  <c r="AC365" i="1"/>
  <c r="AD365" i="1"/>
  <c r="AE365" i="1"/>
  <c r="AF365" i="1"/>
  <c r="AG365" i="1"/>
  <c r="AH365" i="1"/>
  <c r="AI365" i="1"/>
  <c r="AJ365" i="1"/>
  <c r="AK365" i="1"/>
  <c r="C366" i="1"/>
  <c r="H366" i="1"/>
  <c r="I366" i="1"/>
  <c r="J366" i="1"/>
  <c r="K366" i="1"/>
  <c r="M366" i="1"/>
  <c r="P366" i="1"/>
  <c r="R366" i="1"/>
  <c r="S366" i="1"/>
  <c r="T366" i="1"/>
  <c r="U366" i="1"/>
  <c r="X366" i="1"/>
  <c r="Y366" i="1"/>
  <c r="Z366" i="1"/>
  <c r="AA366" i="1"/>
  <c r="AB366" i="1"/>
  <c r="AC366" i="1"/>
  <c r="AD366" i="1"/>
  <c r="AE366" i="1"/>
  <c r="AF366" i="1"/>
  <c r="AG366" i="1"/>
  <c r="AH366" i="1"/>
  <c r="AI366" i="1"/>
  <c r="AJ366" i="1"/>
  <c r="AK366" i="1"/>
  <c r="C367" i="1"/>
  <c r="H367" i="1"/>
  <c r="I367" i="1"/>
  <c r="J367" i="1"/>
  <c r="K367" i="1"/>
  <c r="M367" i="1"/>
  <c r="P367" i="1"/>
  <c r="R367" i="1"/>
  <c r="S367" i="1"/>
  <c r="T367" i="1"/>
  <c r="U367" i="1"/>
  <c r="X367" i="1"/>
  <c r="Y367" i="1"/>
  <c r="Z367" i="1"/>
  <c r="AA367" i="1"/>
  <c r="AB367" i="1"/>
  <c r="AC367" i="1"/>
  <c r="AD367" i="1"/>
  <c r="AE367" i="1"/>
  <c r="AF367" i="1"/>
  <c r="AG367" i="1"/>
  <c r="AH367" i="1"/>
  <c r="AI367" i="1"/>
  <c r="AJ367" i="1"/>
  <c r="AK367" i="1"/>
  <c r="C368" i="1"/>
  <c r="H368" i="1"/>
  <c r="I368" i="1"/>
  <c r="J368" i="1"/>
  <c r="K368" i="1"/>
  <c r="M368" i="1"/>
  <c r="P368" i="1"/>
  <c r="R368" i="1"/>
  <c r="S368" i="1"/>
  <c r="T368" i="1"/>
  <c r="U368" i="1"/>
  <c r="X368" i="1"/>
  <c r="Y368" i="1"/>
  <c r="Z368" i="1"/>
  <c r="AA368" i="1"/>
  <c r="AB368" i="1"/>
  <c r="AC368" i="1"/>
  <c r="AD368" i="1"/>
  <c r="AE368" i="1"/>
  <c r="AF368" i="1"/>
  <c r="AG368" i="1"/>
  <c r="AH368" i="1"/>
  <c r="AI368" i="1"/>
  <c r="AJ368" i="1"/>
  <c r="AK368" i="1"/>
  <c r="C369" i="1"/>
  <c r="H369" i="1"/>
  <c r="I369" i="1"/>
  <c r="J369" i="1"/>
  <c r="K369" i="1"/>
  <c r="M369" i="1"/>
  <c r="P369" i="1"/>
  <c r="R369" i="1"/>
  <c r="S369" i="1"/>
  <c r="T369" i="1"/>
  <c r="U369" i="1"/>
  <c r="X369" i="1"/>
  <c r="Y369" i="1"/>
  <c r="Z369" i="1"/>
  <c r="AA369" i="1"/>
  <c r="AB369" i="1"/>
  <c r="AC369" i="1"/>
  <c r="AD369" i="1"/>
  <c r="AE369" i="1"/>
  <c r="AF369" i="1"/>
  <c r="AG369" i="1"/>
  <c r="AH369" i="1"/>
  <c r="AI369" i="1"/>
  <c r="AJ369" i="1"/>
  <c r="AK369" i="1"/>
  <c r="C370" i="1"/>
  <c r="H370" i="1"/>
  <c r="I370" i="1"/>
  <c r="J370" i="1"/>
  <c r="K370" i="1"/>
  <c r="M370" i="1"/>
  <c r="P370" i="1"/>
  <c r="R370" i="1"/>
  <c r="S370" i="1"/>
  <c r="T370" i="1"/>
  <c r="U370" i="1"/>
  <c r="X370" i="1"/>
  <c r="Y370" i="1"/>
  <c r="Z370" i="1"/>
  <c r="AA370" i="1"/>
  <c r="AB370" i="1"/>
  <c r="AC370" i="1"/>
  <c r="AD370" i="1"/>
  <c r="AE370" i="1"/>
  <c r="AF370" i="1"/>
  <c r="AG370" i="1"/>
  <c r="AH370" i="1"/>
  <c r="AI370" i="1"/>
  <c r="AJ370" i="1"/>
  <c r="AK370" i="1"/>
  <c r="C371" i="1"/>
  <c r="H371" i="1"/>
  <c r="I371" i="1"/>
  <c r="J371" i="1"/>
  <c r="K371" i="1"/>
  <c r="M371" i="1"/>
  <c r="P371" i="1"/>
  <c r="R371" i="1"/>
  <c r="S371" i="1"/>
  <c r="T371" i="1"/>
  <c r="U371" i="1"/>
  <c r="X371" i="1"/>
  <c r="Y371" i="1"/>
  <c r="Z371" i="1"/>
  <c r="AA371" i="1"/>
  <c r="AB371" i="1"/>
  <c r="AC371" i="1"/>
  <c r="AD371" i="1"/>
  <c r="AE371" i="1"/>
  <c r="AF371" i="1"/>
  <c r="AG371" i="1"/>
  <c r="AH371" i="1"/>
  <c r="AI371" i="1"/>
  <c r="AJ371" i="1"/>
  <c r="AK371" i="1"/>
  <c r="C352" i="1"/>
  <c r="H352" i="1"/>
  <c r="I352" i="1"/>
  <c r="J352" i="1"/>
  <c r="K352" i="1"/>
  <c r="M352" i="1"/>
  <c r="P352" i="1"/>
  <c r="R352" i="1"/>
  <c r="S352" i="1"/>
  <c r="T352" i="1"/>
  <c r="U352" i="1"/>
  <c r="X352" i="1"/>
  <c r="Y352" i="1"/>
  <c r="Z352" i="1"/>
  <c r="AA352" i="1"/>
  <c r="AB352" i="1"/>
  <c r="AC352" i="1"/>
  <c r="AD352" i="1"/>
  <c r="AE352" i="1"/>
  <c r="AF352" i="1"/>
  <c r="AG352" i="1"/>
  <c r="AH352" i="1"/>
  <c r="AI352" i="1"/>
  <c r="AJ352" i="1"/>
  <c r="AK352" i="1"/>
  <c r="C353" i="1"/>
  <c r="H353" i="1"/>
  <c r="I353" i="1"/>
  <c r="J353" i="1"/>
  <c r="K353" i="1"/>
  <c r="M353" i="1"/>
  <c r="P353" i="1"/>
  <c r="R353" i="1"/>
  <c r="S353" i="1"/>
  <c r="T353" i="1"/>
  <c r="U353" i="1"/>
  <c r="X353" i="1"/>
  <c r="Y353" i="1"/>
  <c r="Z353" i="1"/>
  <c r="AA353" i="1"/>
  <c r="AB353" i="1"/>
  <c r="AC353" i="1"/>
  <c r="AD353" i="1"/>
  <c r="AE353" i="1"/>
  <c r="AF353" i="1"/>
  <c r="AG353" i="1"/>
  <c r="AH353" i="1"/>
  <c r="AI353" i="1"/>
  <c r="AJ353" i="1"/>
  <c r="AK353" i="1"/>
  <c r="C354" i="1"/>
  <c r="H354" i="1"/>
  <c r="I354" i="1"/>
  <c r="J354" i="1"/>
  <c r="K354" i="1"/>
  <c r="M354" i="1"/>
  <c r="P354" i="1"/>
  <c r="R354" i="1"/>
  <c r="S354" i="1"/>
  <c r="T354" i="1"/>
  <c r="U354" i="1"/>
  <c r="X354" i="1"/>
  <c r="Y354" i="1"/>
  <c r="Z354" i="1"/>
  <c r="AA354" i="1"/>
  <c r="AB354" i="1"/>
  <c r="AC354" i="1"/>
  <c r="AD354" i="1"/>
  <c r="AE354" i="1"/>
  <c r="AF354" i="1"/>
  <c r="AG354" i="1"/>
  <c r="AH354" i="1"/>
  <c r="AI354" i="1"/>
  <c r="AJ354" i="1"/>
  <c r="AK354" i="1"/>
  <c r="C355" i="1"/>
  <c r="H355" i="1"/>
  <c r="I355" i="1"/>
  <c r="J355" i="1"/>
  <c r="K355" i="1"/>
  <c r="M355" i="1"/>
  <c r="P355" i="1"/>
  <c r="R355" i="1"/>
  <c r="S355" i="1"/>
  <c r="T355" i="1"/>
  <c r="U355" i="1"/>
  <c r="X355" i="1"/>
  <c r="Y355" i="1"/>
  <c r="Z355" i="1"/>
  <c r="AA355" i="1"/>
  <c r="AB355" i="1"/>
  <c r="AC355" i="1"/>
  <c r="AD355" i="1"/>
  <c r="AE355" i="1"/>
  <c r="AF355" i="1"/>
  <c r="AG355" i="1"/>
  <c r="AH355" i="1"/>
  <c r="AI355" i="1"/>
  <c r="AJ355" i="1"/>
  <c r="AK355" i="1"/>
  <c r="C356" i="1"/>
  <c r="H356" i="1"/>
  <c r="I356" i="1"/>
  <c r="J356" i="1"/>
  <c r="K356" i="1"/>
  <c r="M356" i="1"/>
  <c r="P356" i="1"/>
  <c r="R356" i="1"/>
  <c r="S356" i="1"/>
  <c r="T356" i="1"/>
  <c r="U356" i="1"/>
  <c r="X356" i="1"/>
  <c r="Y356" i="1"/>
  <c r="Z356" i="1"/>
  <c r="AA356" i="1"/>
  <c r="AB356" i="1"/>
  <c r="AC356" i="1"/>
  <c r="AD356" i="1"/>
  <c r="AE356" i="1"/>
  <c r="AF356" i="1"/>
  <c r="AG356" i="1"/>
  <c r="AH356" i="1"/>
  <c r="AI356" i="1"/>
  <c r="AJ356" i="1"/>
  <c r="AK356" i="1"/>
  <c r="C357" i="1"/>
  <c r="H357" i="1"/>
  <c r="I357" i="1"/>
  <c r="J357" i="1"/>
  <c r="K357" i="1"/>
  <c r="M357" i="1"/>
  <c r="P357" i="1"/>
  <c r="R357" i="1"/>
  <c r="S357" i="1"/>
  <c r="T357" i="1"/>
  <c r="U357" i="1"/>
  <c r="X357" i="1"/>
  <c r="Y357" i="1"/>
  <c r="Z357" i="1"/>
  <c r="AA357" i="1"/>
  <c r="AB357" i="1"/>
  <c r="AC357" i="1"/>
  <c r="AD357" i="1"/>
  <c r="AE357" i="1"/>
  <c r="AF357" i="1"/>
  <c r="AG357" i="1"/>
  <c r="AH357" i="1"/>
  <c r="AI357" i="1"/>
  <c r="AJ357" i="1"/>
  <c r="AK357" i="1"/>
  <c r="C358" i="1"/>
  <c r="H358" i="1"/>
  <c r="I358" i="1"/>
  <c r="J358" i="1"/>
  <c r="K358" i="1"/>
  <c r="M358" i="1"/>
  <c r="P358" i="1"/>
  <c r="R358" i="1"/>
  <c r="S358" i="1"/>
  <c r="T358" i="1"/>
  <c r="U358" i="1"/>
  <c r="X358" i="1"/>
  <c r="Y358" i="1"/>
  <c r="Z358" i="1"/>
  <c r="AA358" i="1"/>
  <c r="AB358" i="1"/>
  <c r="AC358" i="1"/>
  <c r="AD358" i="1"/>
  <c r="AE358" i="1"/>
  <c r="AF358" i="1"/>
  <c r="AG358" i="1"/>
  <c r="AH358" i="1"/>
  <c r="AI358" i="1"/>
  <c r="AJ358" i="1"/>
  <c r="AK358" i="1"/>
  <c r="C359" i="1"/>
  <c r="H359" i="1"/>
  <c r="I359" i="1"/>
  <c r="J359" i="1"/>
  <c r="K359" i="1"/>
  <c r="M359" i="1"/>
  <c r="P359" i="1"/>
  <c r="R359" i="1"/>
  <c r="S359" i="1"/>
  <c r="T359" i="1"/>
  <c r="U359" i="1"/>
  <c r="X359" i="1"/>
  <c r="Y359" i="1"/>
  <c r="Z359" i="1"/>
  <c r="AA359" i="1"/>
  <c r="AB359" i="1"/>
  <c r="AC359" i="1"/>
  <c r="AD359" i="1"/>
  <c r="AE359" i="1"/>
  <c r="AF359" i="1"/>
  <c r="AG359" i="1"/>
  <c r="AH359" i="1"/>
  <c r="AI359" i="1"/>
  <c r="AJ359" i="1"/>
  <c r="AK359" i="1"/>
  <c r="C360" i="1"/>
  <c r="H360" i="1"/>
  <c r="I360" i="1"/>
  <c r="J360" i="1"/>
  <c r="K360" i="1"/>
  <c r="M360" i="1"/>
  <c r="P360" i="1"/>
  <c r="R360" i="1"/>
  <c r="S360" i="1"/>
  <c r="T360" i="1"/>
  <c r="U360" i="1"/>
  <c r="X360" i="1"/>
  <c r="Y360" i="1"/>
  <c r="Z360" i="1"/>
  <c r="AA360" i="1"/>
  <c r="AB360" i="1"/>
  <c r="AC360" i="1"/>
  <c r="AD360" i="1"/>
  <c r="AE360" i="1"/>
  <c r="AF360" i="1"/>
  <c r="AG360" i="1"/>
  <c r="AH360" i="1"/>
  <c r="AI360" i="1"/>
  <c r="AJ360" i="1"/>
  <c r="AK360" i="1"/>
  <c r="C361" i="1"/>
  <c r="H361" i="1"/>
  <c r="I361" i="1"/>
  <c r="J361" i="1"/>
  <c r="K361" i="1"/>
  <c r="M361" i="1"/>
  <c r="P361" i="1"/>
  <c r="R361" i="1"/>
  <c r="S361" i="1"/>
  <c r="T361" i="1"/>
  <c r="U361" i="1"/>
  <c r="X361" i="1"/>
  <c r="Y361" i="1"/>
  <c r="Z361" i="1"/>
  <c r="AA361" i="1"/>
  <c r="AB361" i="1"/>
  <c r="AC361" i="1"/>
  <c r="AD361" i="1"/>
  <c r="AE361" i="1"/>
  <c r="AF361" i="1"/>
  <c r="AG361" i="1"/>
  <c r="AH361" i="1"/>
  <c r="AI361" i="1"/>
  <c r="AJ361" i="1"/>
  <c r="AK361" i="1"/>
  <c r="C342" i="1"/>
  <c r="H342" i="1"/>
  <c r="I342" i="1"/>
  <c r="J342" i="1"/>
  <c r="K342" i="1"/>
  <c r="M342" i="1"/>
  <c r="P342" i="1"/>
  <c r="R342" i="1"/>
  <c r="S342" i="1"/>
  <c r="T342" i="1"/>
  <c r="U342" i="1"/>
  <c r="X342" i="1"/>
  <c r="Y342" i="1"/>
  <c r="Z342" i="1"/>
  <c r="AA342" i="1"/>
  <c r="AB342" i="1"/>
  <c r="AC342" i="1"/>
  <c r="AD342" i="1"/>
  <c r="AE342" i="1"/>
  <c r="AF342" i="1"/>
  <c r="AG342" i="1"/>
  <c r="AH342" i="1"/>
  <c r="AI342" i="1"/>
  <c r="AJ342" i="1"/>
  <c r="AK342" i="1"/>
  <c r="C343" i="1"/>
  <c r="H343" i="1"/>
  <c r="I343" i="1"/>
  <c r="J343" i="1"/>
  <c r="K343" i="1"/>
  <c r="M343" i="1"/>
  <c r="P343" i="1"/>
  <c r="R343" i="1"/>
  <c r="S343" i="1"/>
  <c r="T343" i="1"/>
  <c r="U343" i="1"/>
  <c r="X343" i="1"/>
  <c r="Y343" i="1"/>
  <c r="Z343" i="1"/>
  <c r="AA343" i="1"/>
  <c r="AB343" i="1"/>
  <c r="AC343" i="1"/>
  <c r="AD343" i="1"/>
  <c r="AE343" i="1"/>
  <c r="AF343" i="1"/>
  <c r="AG343" i="1"/>
  <c r="AH343" i="1"/>
  <c r="AI343" i="1"/>
  <c r="AJ343" i="1"/>
  <c r="AK343" i="1"/>
  <c r="C344" i="1"/>
  <c r="H344" i="1"/>
  <c r="I344" i="1"/>
  <c r="J344" i="1"/>
  <c r="K344" i="1"/>
  <c r="M344" i="1"/>
  <c r="P344" i="1"/>
  <c r="R344" i="1"/>
  <c r="S344" i="1"/>
  <c r="T344" i="1"/>
  <c r="U344" i="1"/>
  <c r="X344" i="1"/>
  <c r="Y344" i="1"/>
  <c r="Z344" i="1"/>
  <c r="AA344" i="1"/>
  <c r="AB344" i="1"/>
  <c r="AC344" i="1"/>
  <c r="AD344" i="1"/>
  <c r="AE344" i="1"/>
  <c r="AF344" i="1"/>
  <c r="AG344" i="1"/>
  <c r="AH344" i="1"/>
  <c r="AI344" i="1"/>
  <c r="AJ344" i="1"/>
  <c r="AK344" i="1"/>
  <c r="C345" i="1"/>
  <c r="H345" i="1"/>
  <c r="I345" i="1"/>
  <c r="J345" i="1"/>
  <c r="K345" i="1"/>
  <c r="M345" i="1"/>
  <c r="P345" i="1"/>
  <c r="R345" i="1"/>
  <c r="S345" i="1"/>
  <c r="T345" i="1"/>
  <c r="U345" i="1"/>
  <c r="X345" i="1"/>
  <c r="Y345" i="1"/>
  <c r="Z345" i="1"/>
  <c r="AA345" i="1"/>
  <c r="AB345" i="1"/>
  <c r="AC345" i="1"/>
  <c r="AD345" i="1"/>
  <c r="AE345" i="1"/>
  <c r="AF345" i="1"/>
  <c r="AG345" i="1"/>
  <c r="AH345" i="1"/>
  <c r="AI345" i="1"/>
  <c r="AJ345" i="1"/>
  <c r="AK345" i="1"/>
  <c r="C346" i="1"/>
  <c r="H346" i="1"/>
  <c r="I346" i="1"/>
  <c r="J346" i="1"/>
  <c r="K346" i="1"/>
  <c r="M346" i="1"/>
  <c r="P346" i="1"/>
  <c r="R346" i="1"/>
  <c r="S346" i="1"/>
  <c r="T346" i="1"/>
  <c r="U346" i="1"/>
  <c r="X346" i="1"/>
  <c r="Y346" i="1"/>
  <c r="Z346" i="1"/>
  <c r="AA346" i="1"/>
  <c r="AB346" i="1"/>
  <c r="AC346" i="1"/>
  <c r="AD346" i="1"/>
  <c r="AE346" i="1"/>
  <c r="AF346" i="1"/>
  <c r="AG346" i="1"/>
  <c r="AH346" i="1"/>
  <c r="AI346" i="1"/>
  <c r="AJ346" i="1"/>
  <c r="AK346" i="1"/>
  <c r="C347" i="1"/>
  <c r="H347" i="1"/>
  <c r="I347" i="1"/>
  <c r="J347" i="1"/>
  <c r="K347" i="1"/>
  <c r="M347" i="1"/>
  <c r="P347" i="1"/>
  <c r="R347" i="1"/>
  <c r="S347" i="1"/>
  <c r="T347" i="1"/>
  <c r="U347" i="1"/>
  <c r="X347" i="1"/>
  <c r="Y347" i="1"/>
  <c r="Z347" i="1"/>
  <c r="AA347" i="1"/>
  <c r="AB347" i="1"/>
  <c r="AC347" i="1"/>
  <c r="AD347" i="1"/>
  <c r="AE347" i="1"/>
  <c r="AF347" i="1"/>
  <c r="AG347" i="1"/>
  <c r="AH347" i="1"/>
  <c r="AI347" i="1"/>
  <c r="AJ347" i="1"/>
  <c r="AK347" i="1"/>
  <c r="C348" i="1"/>
  <c r="H348" i="1"/>
  <c r="I348" i="1"/>
  <c r="J348" i="1"/>
  <c r="K348" i="1"/>
  <c r="M348" i="1"/>
  <c r="P348" i="1"/>
  <c r="R348" i="1"/>
  <c r="S348" i="1"/>
  <c r="T348" i="1"/>
  <c r="U348" i="1"/>
  <c r="X348" i="1"/>
  <c r="Y348" i="1"/>
  <c r="Z348" i="1"/>
  <c r="AA348" i="1"/>
  <c r="AB348" i="1"/>
  <c r="AC348" i="1"/>
  <c r="AD348" i="1"/>
  <c r="AE348" i="1"/>
  <c r="AF348" i="1"/>
  <c r="AG348" i="1"/>
  <c r="AH348" i="1"/>
  <c r="AI348" i="1"/>
  <c r="AJ348" i="1"/>
  <c r="AK348" i="1"/>
  <c r="C349" i="1"/>
  <c r="H349" i="1"/>
  <c r="I349" i="1"/>
  <c r="J349" i="1"/>
  <c r="K349" i="1"/>
  <c r="M349" i="1"/>
  <c r="P349" i="1"/>
  <c r="R349" i="1"/>
  <c r="S349" i="1"/>
  <c r="T349" i="1"/>
  <c r="U349" i="1"/>
  <c r="X349" i="1"/>
  <c r="Y349" i="1"/>
  <c r="Z349" i="1"/>
  <c r="AA349" i="1"/>
  <c r="AB349" i="1"/>
  <c r="AC349" i="1"/>
  <c r="AD349" i="1"/>
  <c r="AE349" i="1"/>
  <c r="AF349" i="1"/>
  <c r="AG349" i="1"/>
  <c r="AH349" i="1"/>
  <c r="AI349" i="1"/>
  <c r="AJ349" i="1"/>
  <c r="AK349" i="1"/>
  <c r="C350" i="1"/>
  <c r="H350" i="1"/>
  <c r="I350" i="1"/>
  <c r="J350" i="1"/>
  <c r="K350" i="1"/>
  <c r="M350" i="1"/>
  <c r="P350" i="1"/>
  <c r="R350" i="1"/>
  <c r="S350" i="1"/>
  <c r="T350" i="1"/>
  <c r="U350" i="1"/>
  <c r="X350" i="1"/>
  <c r="Y350" i="1"/>
  <c r="Z350" i="1"/>
  <c r="AA350" i="1"/>
  <c r="AB350" i="1"/>
  <c r="AC350" i="1"/>
  <c r="AD350" i="1"/>
  <c r="AE350" i="1"/>
  <c r="AF350" i="1"/>
  <c r="AG350" i="1"/>
  <c r="AH350" i="1"/>
  <c r="AI350" i="1"/>
  <c r="AJ350" i="1"/>
  <c r="AK350" i="1"/>
  <c r="C351" i="1"/>
  <c r="H351" i="1"/>
  <c r="I351" i="1"/>
  <c r="J351" i="1"/>
  <c r="K351" i="1"/>
  <c r="M351" i="1"/>
  <c r="P351" i="1"/>
  <c r="R351" i="1"/>
  <c r="S351" i="1"/>
  <c r="T351" i="1"/>
  <c r="U351" i="1"/>
  <c r="X351" i="1"/>
  <c r="Y351" i="1"/>
  <c r="Z351" i="1"/>
  <c r="AA351" i="1"/>
  <c r="AB351" i="1"/>
  <c r="AC351" i="1"/>
  <c r="AD351" i="1"/>
  <c r="AE351" i="1"/>
  <c r="AF351" i="1"/>
  <c r="AG351" i="1"/>
  <c r="AH351" i="1"/>
  <c r="AI351" i="1"/>
  <c r="AJ351" i="1"/>
  <c r="AK351" i="1"/>
  <c r="C332" i="1"/>
  <c r="H332" i="1"/>
  <c r="I332" i="1"/>
  <c r="J332" i="1"/>
  <c r="K332" i="1"/>
  <c r="M332" i="1"/>
  <c r="P332" i="1"/>
  <c r="R332" i="1"/>
  <c r="S332" i="1"/>
  <c r="T332" i="1"/>
  <c r="U332" i="1"/>
  <c r="X332" i="1"/>
  <c r="Y332" i="1"/>
  <c r="Z332" i="1"/>
  <c r="AA332" i="1"/>
  <c r="AB332" i="1"/>
  <c r="AC332" i="1"/>
  <c r="AD332" i="1"/>
  <c r="AE332" i="1"/>
  <c r="AF332" i="1"/>
  <c r="AG332" i="1"/>
  <c r="AH332" i="1"/>
  <c r="AI332" i="1"/>
  <c r="AJ332" i="1"/>
  <c r="AK332" i="1"/>
  <c r="C333" i="1"/>
  <c r="H333" i="1"/>
  <c r="I333" i="1"/>
  <c r="J333" i="1"/>
  <c r="K333" i="1"/>
  <c r="M333" i="1"/>
  <c r="P333" i="1"/>
  <c r="R333" i="1"/>
  <c r="S333" i="1"/>
  <c r="T333" i="1"/>
  <c r="U333" i="1"/>
  <c r="X333" i="1"/>
  <c r="Y333" i="1"/>
  <c r="Z333" i="1"/>
  <c r="AA333" i="1"/>
  <c r="AB333" i="1"/>
  <c r="AC333" i="1"/>
  <c r="AD333" i="1"/>
  <c r="AE333" i="1"/>
  <c r="AF333" i="1"/>
  <c r="AG333" i="1"/>
  <c r="AH333" i="1"/>
  <c r="AI333" i="1"/>
  <c r="AJ333" i="1"/>
  <c r="AK333" i="1"/>
  <c r="C334" i="1"/>
  <c r="H334" i="1"/>
  <c r="I334" i="1"/>
  <c r="J334" i="1"/>
  <c r="K334" i="1"/>
  <c r="M334" i="1"/>
  <c r="P334" i="1"/>
  <c r="R334" i="1"/>
  <c r="S334" i="1"/>
  <c r="T334" i="1"/>
  <c r="U334" i="1"/>
  <c r="X334" i="1"/>
  <c r="Y334" i="1"/>
  <c r="Z334" i="1"/>
  <c r="AA334" i="1"/>
  <c r="AB334" i="1"/>
  <c r="AC334" i="1"/>
  <c r="AD334" i="1"/>
  <c r="AE334" i="1"/>
  <c r="AF334" i="1"/>
  <c r="AG334" i="1"/>
  <c r="AH334" i="1"/>
  <c r="AI334" i="1"/>
  <c r="AJ334" i="1"/>
  <c r="AK334" i="1"/>
  <c r="C335" i="1"/>
  <c r="H335" i="1"/>
  <c r="I335" i="1"/>
  <c r="J335" i="1"/>
  <c r="K335" i="1"/>
  <c r="M335" i="1"/>
  <c r="P335" i="1"/>
  <c r="R335" i="1"/>
  <c r="S335" i="1"/>
  <c r="T335" i="1"/>
  <c r="U335" i="1"/>
  <c r="X335" i="1"/>
  <c r="Y335" i="1"/>
  <c r="Z335" i="1"/>
  <c r="AA335" i="1"/>
  <c r="AB335" i="1"/>
  <c r="AC335" i="1"/>
  <c r="AD335" i="1"/>
  <c r="AE335" i="1"/>
  <c r="AF335" i="1"/>
  <c r="AG335" i="1"/>
  <c r="AH335" i="1"/>
  <c r="AI335" i="1"/>
  <c r="AJ335" i="1"/>
  <c r="AK335" i="1"/>
  <c r="C336" i="1"/>
  <c r="H336" i="1"/>
  <c r="I336" i="1"/>
  <c r="J336" i="1"/>
  <c r="K336" i="1"/>
  <c r="M336" i="1"/>
  <c r="P336" i="1"/>
  <c r="R336" i="1"/>
  <c r="S336" i="1"/>
  <c r="T336" i="1"/>
  <c r="U336" i="1"/>
  <c r="X336" i="1"/>
  <c r="Y336" i="1"/>
  <c r="Z336" i="1"/>
  <c r="AA336" i="1"/>
  <c r="AB336" i="1"/>
  <c r="AC336" i="1"/>
  <c r="AD336" i="1"/>
  <c r="AE336" i="1"/>
  <c r="AF336" i="1"/>
  <c r="AG336" i="1"/>
  <c r="AH336" i="1"/>
  <c r="AI336" i="1"/>
  <c r="AJ336" i="1"/>
  <c r="AK336" i="1"/>
  <c r="C337" i="1"/>
  <c r="H337" i="1"/>
  <c r="I337" i="1"/>
  <c r="J337" i="1"/>
  <c r="K337" i="1"/>
  <c r="M337" i="1"/>
  <c r="P337" i="1"/>
  <c r="R337" i="1"/>
  <c r="S337" i="1"/>
  <c r="T337" i="1"/>
  <c r="U337" i="1"/>
  <c r="X337" i="1"/>
  <c r="Y337" i="1"/>
  <c r="Z337" i="1"/>
  <c r="AA337" i="1"/>
  <c r="AB337" i="1"/>
  <c r="AC337" i="1"/>
  <c r="AD337" i="1"/>
  <c r="AE337" i="1"/>
  <c r="AF337" i="1"/>
  <c r="AG337" i="1"/>
  <c r="AH337" i="1"/>
  <c r="AI337" i="1"/>
  <c r="AJ337" i="1"/>
  <c r="AK337" i="1"/>
  <c r="C338" i="1"/>
  <c r="H338" i="1"/>
  <c r="I338" i="1"/>
  <c r="J338" i="1"/>
  <c r="K338" i="1"/>
  <c r="M338" i="1"/>
  <c r="P338" i="1"/>
  <c r="R338" i="1"/>
  <c r="S338" i="1"/>
  <c r="T338" i="1"/>
  <c r="U338" i="1"/>
  <c r="X338" i="1"/>
  <c r="Y338" i="1"/>
  <c r="Z338" i="1"/>
  <c r="AA338" i="1"/>
  <c r="AB338" i="1"/>
  <c r="AC338" i="1"/>
  <c r="AD338" i="1"/>
  <c r="AE338" i="1"/>
  <c r="AF338" i="1"/>
  <c r="AG338" i="1"/>
  <c r="AH338" i="1"/>
  <c r="AI338" i="1"/>
  <c r="AJ338" i="1"/>
  <c r="AK338" i="1"/>
  <c r="C339" i="1"/>
  <c r="H339" i="1"/>
  <c r="I339" i="1"/>
  <c r="J339" i="1"/>
  <c r="K339" i="1"/>
  <c r="M339" i="1"/>
  <c r="P339" i="1"/>
  <c r="R339" i="1"/>
  <c r="S339" i="1"/>
  <c r="T339" i="1"/>
  <c r="U339" i="1"/>
  <c r="X339" i="1"/>
  <c r="Y339" i="1"/>
  <c r="Z339" i="1"/>
  <c r="AA339" i="1"/>
  <c r="AB339" i="1"/>
  <c r="AC339" i="1"/>
  <c r="AD339" i="1"/>
  <c r="AE339" i="1"/>
  <c r="AF339" i="1"/>
  <c r="AG339" i="1"/>
  <c r="AH339" i="1"/>
  <c r="AI339" i="1"/>
  <c r="AJ339" i="1"/>
  <c r="AK339" i="1"/>
  <c r="C340" i="1"/>
  <c r="H340" i="1"/>
  <c r="I340" i="1"/>
  <c r="J340" i="1"/>
  <c r="K340" i="1"/>
  <c r="M340" i="1"/>
  <c r="P340" i="1"/>
  <c r="R340" i="1"/>
  <c r="S340" i="1"/>
  <c r="T340" i="1"/>
  <c r="U340" i="1"/>
  <c r="X340" i="1"/>
  <c r="Y340" i="1"/>
  <c r="Z340" i="1"/>
  <c r="AA340" i="1"/>
  <c r="AB340" i="1"/>
  <c r="AC340" i="1"/>
  <c r="AD340" i="1"/>
  <c r="AE340" i="1"/>
  <c r="AF340" i="1"/>
  <c r="AG340" i="1"/>
  <c r="AH340" i="1"/>
  <c r="AI340" i="1"/>
  <c r="AJ340" i="1"/>
  <c r="AK340" i="1"/>
  <c r="C341" i="1"/>
  <c r="H341" i="1"/>
  <c r="I341" i="1"/>
  <c r="J341" i="1"/>
  <c r="K341" i="1"/>
  <c r="M341" i="1"/>
  <c r="P341" i="1"/>
  <c r="R341" i="1"/>
  <c r="S341" i="1"/>
  <c r="T341" i="1"/>
  <c r="U341" i="1"/>
  <c r="X341" i="1"/>
  <c r="Y341" i="1"/>
  <c r="Z341" i="1"/>
  <c r="AA341" i="1"/>
  <c r="AB341" i="1"/>
  <c r="AC341" i="1"/>
  <c r="AD341" i="1"/>
  <c r="AE341" i="1"/>
  <c r="AF341" i="1"/>
  <c r="AG341" i="1"/>
  <c r="AH341" i="1"/>
  <c r="AI341" i="1"/>
  <c r="AJ341" i="1"/>
  <c r="AK341" i="1"/>
  <c r="C322" i="1"/>
  <c r="H322" i="1"/>
  <c r="I322" i="1"/>
  <c r="J322" i="1"/>
  <c r="K322" i="1"/>
  <c r="M322" i="1"/>
  <c r="P322" i="1"/>
  <c r="R322" i="1"/>
  <c r="S322" i="1"/>
  <c r="T322" i="1"/>
  <c r="U322" i="1"/>
  <c r="X322" i="1"/>
  <c r="Y322" i="1"/>
  <c r="Z322" i="1"/>
  <c r="AA322" i="1"/>
  <c r="AB322" i="1"/>
  <c r="AC322" i="1"/>
  <c r="AD322" i="1"/>
  <c r="AE322" i="1"/>
  <c r="AF322" i="1"/>
  <c r="AG322" i="1"/>
  <c r="AH322" i="1"/>
  <c r="AI322" i="1"/>
  <c r="AJ322" i="1"/>
  <c r="AK322" i="1"/>
  <c r="C323" i="1"/>
  <c r="H323" i="1"/>
  <c r="I323" i="1"/>
  <c r="J323" i="1"/>
  <c r="K323" i="1"/>
  <c r="M323" i="1"/>
  <c r="P323" i="1"/>
  <c r="R323" i="1"/>
  <c r="S323" i="1"/>
  <c r="T323" i="1"/>
  <c r="U323" i="1"/>
  <c r="X323" i="1"/>
  <c r="Y323" i="1"/>
  <c r="Z323" i="1"/>
  <c r="AA323" i="1"/>
  <c r="AB323" i="1"/>
  <c r="AC323" i="1"/>
  <c r="AD323" i="1"/>
  <c r="AE323" i="1"/>
  <c r="AF323" i="1"/>
  <c r="AG323" i="1"/>
  <c r="AH323" i="1"/>
  <c r="AI323" i="1"/>
  <c r="AJ323" i="1"/>
  <c r="AK323" i="1"/>
  <c r="C324" i="1"/>
  <c r="H324" i="1"/>
  <c r="I324" i="1"/>
  <c r="J324" i="1"/>
  <c r="K324" i="1"/>
  <c r="M324" i="1"/>
  <c r="P324" i="1"/>
  <c r="R324" i="1"/>
  <c r="S324" i="1"/>
  <c r="T324" i="1"/>
  <c r="U324" i="1"/>
  <c r="X324" i="1"/>
  <c r="Y324" i="1"/>
  <c r="Z324" i="1"/>
  <c r="AA324" i="1"/>
  <c r="AB324" i="1"/>
  <c r="AC324" i="1"/>
  <c r="AD324" i="1"/>
  <c r="AE324" i="1"/>
  <c r="AF324" i="1"/>
  <c r="AG324" i="1"/>
  <c r="AH324" i="1"/>
  <c r="AI324" i="1"/>
  <c r="AJ324" i="1"/>
  <c r="AK324" i="1"/>
  <c r="C325" i="1"/>
  <c r="H325" i="1"/>
  <c r="I325" i="1"/>
  <c r="J325" i="1"/>
  <c r="K325" i="1"/>
  <c r="M325" i="1"/>
  <c r="P325" i="1"/>
  <c r="R325" i="1"/>
  <c r="S325" i="1"/>
  <c r="T325" i="1"/>
  <c r="U325" i="1"/>
  <c r="X325" i="1"/>
  <c r="Y325" i="1"/>
  <c r="Z325" i="1"/>
  <c r="AA325" i="1"/>
  <c r="AB325" i="1"/>
  <c r="AC325" i="1"/>
  <c r="AD325" i="1"/>
  <c r="AE325" i="1"/>
  <c r="AF325" i="1"/>
  <c r="AG325" i="1"/>
  <c r="AH325" i="1"/>
  <c r="AI325" i="1"/>
  <c r="AJ325" i="1"/>
  <c r="AK325" i="1"/>
  <c r="C326" i="1"/>
  <c r="H326" i="1"/>
  <c r="I326" i="1"/>
  <c r="J326" i="1"/>
  <c r="K326" i="1"/>
  <c r="M326" i="1"/>
  <c r="P326" i="1"/>
  <c r="R326" i="1"/>
  <c r="S326" i="1"/>
  <c r="T326" i="1"/>
  <c r="U326" i="1"/>
  <c r="X326" i="1"/>
  <c r="Y326" i="1"/>
  <c r="Z326" i="1"/>
  <c r="AA326" i="1"/>
  <c r="AB326" i="1"/>
  <c r="AC326" i="1"/>
  <c r="AD326" i="1"/>
  <c r="AE326" i="1"/>
  <c r="AF326" i="1"/>
  <c r="AG326" i="1"/>
  <c r="AH326" i="1"/>
  <c r="AI326" i="1"/>
  <c r="AJ326" i="1"/>
  <c r="AK326" i="1"/>
  <c r="C327" i="1"/>
  <c r="H327" i="1"/>
  <c r="I327" i="1"/>
  <c r="J327" i="1"/>
  <c r="K327" i="1"/>
  <c r="M327" i="1"/>
  <c r="P327" i="1"/>
  <c r="R327" i="1"/>
  <c r="S327" i="1"/>
  <c r="T327" i="1"/>
  <c r="U327" i="1"/>
  <c r="X327" i="1"/>
  <c r="Y327" i="1"/>
  <c r="Z327" i="1"/>
  <c r="AA327" i="1"/>
  <c r="AB327" i="1"/>
  <c r="AC327" i="1"/>
  <c r="AD327" i="1"/>
  <c r="AE327" i="1"/>
  <c r="AF327" i="1"/>
  <c r="AG327" i="1"/>
  <c r="AH327" i="1"/>
  <c r="AI327" i="1"/>
  <c r="AJ327" i="1"/>
  <c r="AK327" i="1"/>
  <c r="C328" i="1"/>
  <c r="H328" i="1"/>
  <c r="I328" i="1"/>
  <c r="J328" i="1"/>
  <c r="K328" i="1"/>
  <c r="M328" i="1"/>
  <c r="P328" i="1"/>
  <c r="R328" i="1"/>
  <c r="S328" i="1"/>
  <c r="T328" i="1"/>
  <c r="U328" i="1"/>
  <c r="X328" i="1"/>
  <c r="Y328" i="1"/>
  <c r="Z328" i="1"/>
  <c r="AA328" i="1"/>
  <c r="AB328" i="1"/>
  <c r="AC328" i="1"/>
  <c r="AD328" i="1"/>
  <c r="AE328" i="1"/>
  <c r="AF328" i="1"/>
  <c r="AG328" i="1"/>
  <c r="AH328" i="1"/>
  <c r="AI328" i="1"/>
  <c r="AJ328" i="1"/>
  <c r="AK328" i="1"/>
  <c r="C329" i="1"/>
  <c r="H329" i="1"/>
  <c r="I329" i="1"/>
  <c r="J329" i="1"/>
  <c r="K329" i="1"/>
  <c r="M329" i="1"/>
  <c r="P329" i="1"/>
  <c r="R329" i="1"/>
  <c r="S329" i="1"/>
  <c r="T329" i="1"/>
  <c r="U329" i="1"/>
  <c r="X329" i="1"/>
  <c r="Y329" i="1"/>
  <c r="Z329" i="1"/>
  <c r="AA329" i="1"/>
  <c r="AB329" i="1"/>
  <c r="AC329" i="1"/>
  <c r="AD329" i="1"/>
  <c r="AE329" i="1"/>
  <c r="AF329" i="1"/>
  <c r="AG329" i="1"/>
  <c r="AH329" i="1"/>
  <c r="AI329" i="1"/>
  <c r="AJ329" i="1"/>
  <c r="AK329" i="1"/>
  <c r="C330" i="1"/>
  <c r="H330" i="1"/>
  <c r="I330" i="1"/>
  <c r="J330" i="1"/>
  <c r="K330" i="1"/>
  <c r="M330" i="1"/>
  <c r="P330" i="1"/>
  <c r="R330" i="1"/>
  <c r="S330" i="1"/>
  <c r="T330" i="1"/>
  <c r="U330" i="1"/>
  <c r="X330" i="1"/>
  <c r="Y330" i="1"/>
  <c r="Z330" i="1"/>
  <c r="AA330" i="1"/>
  <c r="AB330" i="1"/>
  <c r="AC330" i="1"/>
  <c r="AD330" i="1"/>
  <c r="AE330" i="1"/>
  <c r="AF330" i="1"/>
  <c r="AG330" i="1"/>
  <c r="AH330" i="1"/>
  <c r="AI330" i="1"/>
  <c r="AJ330" i="1"/>
  <c r="AK330" i="1"/>
  <c r="C331" i="1"/>
  <c r="H331" i="1"/>
  <c r="I331" i="1"/>
  <c r="J331" i="1"/>
  <c r="K331" i="1"/>
  <c r="M331" i="1"/>
  <c r="P331" i="1"/>
  <c r="R331" i="1"/>
  <c r="S331" i="1"/>
  <c r="T331" i="1"/>
  <c r="U331" i="1"/>
  <c r="X331" i="1"/>
  <c r="Y331" i="1"/>
  <c r="Z331" i="1"/>
  <c r="AA331" i="1"/>
  <c r="AB331" i="1"/>
  <c r="AC331" i="1"/>
  <c r="AD331" i="1"/>
  <c r="AE331" i="1"/>
  <c r="AF331" i="1"/>
  <c r="AG331" i="1"/>
  <c r="AH331" i="1"/>
  <c r="AI331" i="1"/>
  <c r="AJ331" i="1"/>
  <c r="AK331" i="1"/>
  <c r="C312" i="1"/>
  <c r="H312" i="1"/>
  <c r="I312" i="1"/>
  <c r="J312" i="1"/>
  <c r="K312" i="1"/>
  <c r="M312" i="1"/>
  <c r="P312" i="1"/>
  <c r="R312" i="1"/>
  <c r="S312" i="1"/>
  <c r="T312" i="1"/>
  <c r="U312" i="1"/>
  <c r="X312" i="1"/>
  <c r="Y312" i="1"/>
  <c r="Z312" i="1"/>
  <c r="AA312" i="1"/>
  <c r="AB312" i="1"/>
  <c r="AC312" i="1"/>
  <c r="AD312" i="1"/>
  <c r="AE312" i="1"/>
  <c r="AF312" i="1"/>
  <c r="AG312" i="1"/>
  <c r="AH312" i="1"/>
  <c r="AI312" i="1"/>
  <c r="AJ312" i="1"/>
  <c r="AK312" i="1"/>
  <c r="C313" i="1"/>
  <c r="H313" i="1"/>
  <c r="I313" i="1"/>
  <c r="J313" i="1"/>
  <c r="K313" i="1"/>
  <c r="M313" i="1"/>
  <c r="P313" i="1"/>
  <c r="R313" i="1"/>
  <c r="S313" i="1"/>
  <c r="T313" i="1"/>
  <c r="U313" i="1"/>
  <c r="X313" i="1"/>
  <c r="Y313" i="1"/>
  <c r="Z313" i="1"/>
  <c r="AA313" i="1"/>
  <c r="AB313" i="1"/>
  <c r="AC313" i="1"/>
  <c r="AD313" i="1"/>
  <c r="AE313" i="1"/>
  <c r="AF313" i="1"/>
  <c r="AG313" i="1"/>
  <c r="AH313" i="1"/>
  <c r="AI313" i="1"/>
  <c r="AJ313" i="1"/>
  <c r="AK313" i="1"/>
  <c r="C314" i="1"/>
  <c r="H314" i="1"/>
  <c r="I314" i="1"/>
  <c r="J314" i="1"/>
  <c r="K314" i="1"/>
  <c r="M314" i="1"/>
  <c r="P314" i="1"/>
  <c r="R314" i="1"/>
  <c r="S314" i="1"/>
  <c r="T314" i="1"/>
  <c r="U314" i="1"/>
  <c r="X314" i="1"/>
  <c r="Y314" i="1"/>
  <c r="Z314" i="1"/>
  <c r="AA314" i="1"/>
  <c r="AB314" i="1"/>
  <c r="AC314" i="1"/>
  <c r="AD314" i="1"/>
  <c r="AE314" i="1"/>
  <c r="AF314" i="1"/>
  <c r="AG314" i="1"/>
  <c r="AH314" i="1"/>
  <c r="AI314" i="1"/>
  <c r="AJ314" i="1"/>
  <c r="AK314" i="1"/>
  <c r="C315" i="1"/>
  <c r="H315" i="1"/>
  <c r="I315" i="1"/>
  <c r="J315" i="1"/>
  <c r="K315" i="1"/>
  <c r="M315" i="1"/>
  <c r="P315" i="1"/>
  <c r="R315" i="1"/>
  <c r="S315" i="1"/>
  <c r="T315" i="1"/>
  <c r="U315" i="1"/>
  <c r="X315" i="1"/>
  <c r="Y315" i="1"/>
  <c r="Z315" i="1"/>
  <c r="AA315" i="1"/>
  <c r="AB315" i="1"/>
  <c r="AC315" i="1"/>
  <c r="AD315" i="1"/>
  <c r="AE315" i="1"/>
  <c r="AF315" i="1"/>
  <c r="AG315" i="1"/>
  <c r="AH315" i="1"/>
  <c r="AI315" i="1"/>
  <c r="AJ315" i="1"/>
  <c r="AK315" i="1"/>
  <c r="C316" i="1"/>
  <c r="H316" i="1"/>
  <c r="I316" i="1"/>
  <c r="J316" i="1"/>
  <c r="K316" i="1"/>
  <c r="M316" i="1"/>
  <c r="P316" i="1"/>
  <c r="R316" i="1"/>
  <c r="S316" i="1"/>
  <c r="T316" i="1"/>
  <c r="U316" i="1"/>
  <c r="X316" i="1"/>
  <c r="Y316" i="1"/>
  <c r="Z316" i="1"/>
  <c r="AA316" i="1"/>
  <c r="AB316" i="1"/>
  <c r="AC316" i="1"/>
  <c r="AD316" i="1"/>
  <c r="AE316" i="1"/>
  <c r="AF316" i="1"/>
  <c r="AG316" i="1"/>
  <c r="AH316" i="1"/>
  <c r="AI316" i="1"/>
  <c r="AJ316" i="1"/>
  <c r="AK316" i="1"/>
  <c r="C317" i="1"/>
  <c r="H317" i="1"/>
  <c r="I317" i="1"/>
  <c r="J317" i="1"/>
  <c r="K317" i="1"/>
  <c r="M317" i="1"/>
  <c r="P317" i="1"/>
  <c r="R317" i="1"/>
  <c r="S317" i="1"/>
  <c r="T317" i="1"/>
  <c r="U317" i="1"/>
  <c r="X317" i="1"/>
  <c r="Y317" i="1"/>
  <c r="Z317" i="1"/>
  <c r="AA317" i="1"/>
  <c r="AB317" i="1"/>
  <c r="AC317" i="1"/>
  <c r="AD317" i="1"/>
  <c r="AE317" i="1"/>
  <c r="AF317" i="1"/>
  <c r="AG317" i="1"/>
  <c r="AH317" i="1"/>
  <c r="AI317" i="1"/>
  <c r="AJ317" i="1"/>
  <c r="AK317" i="1"/>
  <c r="C318" i="1"/>
  <c r="H318" i="1"/>
  <c r="I318" i="1"/>
  <c r="J318" i="1"/>
  <c r="K318" i="1"/>
  <c r="M318" i="1"/>
  <c r="P318" i="1"/>
  <c r="R318" i="1"/>
  <c r="S318" i="1"/>
  <c r="T318" i="1"/>
  <c r="U318" i="1"/>
  <c r="X318" i="1"/>
  <c r="Y318" i="1"/>
  <c r="Z318" i="1"/>
  <c r="AA318" i="1"/>
  <c r="AB318" i="1"/>
  <c r="AC318" i="1"/>
  <c r="AD318" i="1"/>
  <c r="AE318" i="1"/>
  <c r="AF318" i="1"/>
  <c r="AG318" i="1"/>
  <c r="AH318" i="1"/>
  <c r="AI318" i="1"/>
  <c r="AJ318" i="1"/>
  <c r="AK318" i="1"/>
  <c r="C319" i="1"/>
  <c r="H319" i="1"/>
  <c r="I319" i="1"/>
  <c r="J319" i="1"/>
  <c r="K319" i="1"/>
  <c r="M319" i="1"/>
  <c r="P319" i="1"/>
  <c r="R319" i="1"/>
  <c r="S319" i="1"/>
  <c r="T319" i="1"/>
  <c r="U319" i="1"/>
  <c r="X319" i="1"/>
  <c r="Y319" i="1"/>
  <c r="Z319" i="1"/>
  <c r="AA319" i="1"/>
  <c r="AB319" i="1"/>
  <c r="AC319" i="1"/>
  <c r="AD319" i="1"/>
  <c r="AE319" i="1"/>
  <c r="AF319" i="1"/>
  <c r="AG319" i="1"/>
  <c r="AH319" i="1"/>
  <c r="AI319" i="1"/>
  <c r="AJ319" i="1"/>
  <c r="AK319" i="1"/>
  <c r="C320" i="1"/>
  <c r="H320" i="1"/>
  <c r="I320" i="1"/>
  <c r="J320" i="1"/>
  <c r="K320" i="1"/>
  <c r="M320" i="1"/>
  <c r="P320" i="1"/>
  <c r="R320" i="1"/>
  <c r="S320" i="1"/>
  <c r="T320" i="1"/>
  <c r="U320" i="1"/>
  <c r="X320" i="1"/>
  <c r="Y320" i="1"/>
  <c r="Z320" i="1"/>
  <c r="AA320" i="1"/>
  <c r="AB320" i="1"/>
  <c r="AC320" i="1"/>
  <c r="AD320" i="1"/>
  <c r="AE320" i="1"/>
  <c r="AF320" i="1"/>
  <c r="AG320" i="1"/>
  <c r="AH320" i="1"/>
  <c r="AI320" i="1"/>
  <c r="AJ320" i="1"/>
  <c r="AK320" i="1"/>
  <c r="C321" i="1"/>
  <c r="H321" i="1"/>
  <c r="I321" i="1"/>
  <c r="J321" i="1"/>
  <c r="K321" i="1"/>
  <c r="M321" i="1"/>
  <c r="P321" i="1"/>
  <c r="R321" i="1"/>
  <c r="S321" i="1"/>
  <c r="T321" i="1"/>
  <c r="U321" i="1"/>
  <c r="X321" i="1"/>
  <c r="Y321" i="1"/>
  <c r="Z321" i="1"/>
  <c r="AA321" i="1"/>
  <c r="AB321" i="1"/>
  <c r="AC321" i="1"/>
  <c r="AD321" i="1"/>
  <c r="AE321" i="1"/>
  <c r="AF321" i="1"/>
  <c r="AG321" i="1"/>
  <c r="AH321" i="1"/>
  <c r="AI321" i="1"/>
  <c r="AJ321" i="1"/>
  <c r="AK321" i="1"/>
  <c r="C302" i="1"/>
  <c r="H302" i="1"/>
  <c r="I302" i="1"/>
  <c r="J302" i="1"/>
  <c r="K302" i="1"/>
  <c r="M302" i="1"/>
  <c r="P302" i="1"/>
  <c r="R302" i="1"/>
  <c r="S302" i="1"/>
  <c r="T302" i="1"/>
  <c r="U302" i="1"/>
  <c r="X302" i="1"/>
  <c r="Y302" i="1"/>
  <c r="Z302" i="1"/>
  <c r="AA302" i="1"/>
  <c r="AB302" i="1"/>
  <c r="AC302" i="1"/>
  <c r="AD302" i="1"/>
  <c r="AE302" i="1"/>
  <c r="AF302" i="1"/>
  <c r="AG302" i="1"/>
  <c r="AH302" i="1"/>
  <c r="AI302" i="1"/>
  <c r="AJ302" i="1"/>
  <c r="AK302" i="1"/>
  <c r="C303" i="1"/>
  <c r="H303" i="1"/>
  <c r="I303" i="1"/>
  <c r="J303" i="1"/>
  <c r="K303" i="1"/>
  <c r="M303" i="1"/>
  <c r="P303" i="1"/>
  <c r="R303" i="1"/>
  <c r="S303" i="1"/>
  <c r="T303" i="1"/>
  <c r="U303" i="1"/>
  <c r="X303" i="1"/>
  <c r="Y303" i="1"/>
  <c r="Z303" i="1"/>
  <c r="AA303" i="1"/>
  <c r="AB303" i="1"/>
  <c r="AC303" i="1"/>
  <c r="AD303" i="1"/>
  <c r="AE303" i="1"/>
  <c r="AF303" i="1"/>
  <c r="AG303" i="1"/>
  <c r="AH303" i="1"/>
  <c r="AI303" i="1"/>
  <c r="AJ303" i="1"/>
  <c r="AK303" i="1"/>
  <c r="C304" i="1"/>
  <c r="H304" i="1"/>
  <c r="I304" i="1"/>
  <c r="J304" i="1"/>
  <c r="K304" i="1"/>
  <c r="M304" i="1"/>
  <c r="P304" i="1"/>
  <c r="R304" i="1"/>
  <c r="S304" i="1"/>
  <c r="T304" i="1"/>
  <c r="U304" i="1"/>
  <c r="X304" i="1"/>
  <c r="Y304" i="1"/>
  <c r="Z304" i="1"/>
  <c r="AA304" i="1"/>
  <c r="AB304" i="1"/>
  <c r="AC304" i="1"/>
  <c r="AD304" i="1"/>
  <c r="AE304" i="1"/>
  <c r="AF304" i="1"/>
  <c r="AG304" i="1"/>
  <c r="AH304" i="1"/>
  <c r="AI304" i="1"/>
  <c r="AJ304" i="1"/>
  <c r="AK304" i="1"/>
  <c r="C305" i="1"/>
  <c r="H305" i="1"/>
  <c r="I305" i="1"/>
  <c r="J305" i="1"/>
  <c r="K305" i="1"/>
  <c r="M305" i="1"/>
  <c r="P305" i="1"/>
  <c r="R305" i="1"/>
  <c r="S305" i="1"/>
  <c r="T305" i="1"/>
  <c r="U305" i="1"/>
  <c r="X305" i="1"/>
  <c r="Y305" i="1"/>
  <c r="Z305" i="1"/>
  <c r="AA305" i="1"/>
  <c r="AB305" i="1"/>
  <c r="AC305" i="1"/>
  <c r="AD305" i="1"/>
  <c r="AE305" i="1"/>
  <c r="AF305" i="1"/>
  <c r="AG305" i="1"/>
  <c r="AH305" i="1"/>
  <c r="AI305" i="1"/>
  <c r="AJ305" i="1"/>
  <c r="AK305" i="1"/>
  <c r="C306" i="1"/>
  <c r="H306" i="1"/>
  <c r="I306" i="1"/>
  <c r="J306" i="1"/>
  <c r="K306" i="1"/>
  <c r="M306" i="1"/>
  <c r="P306" i="1"/>
  <c r="R306" i="1"/>
  <c r="S306" i="1"/>
  <c r="T306" i="1"/>
  <c r="U306" i="1"/>
  <c r="X306" i="1"/>
  <c r="Y306" i="1"/>
  <c r="Z306" i="1"/>
  <c r="AA306" i="1"/>
  <c r="AB306" i="1"/>
  <c r="AC306" i="1"/>
  <c r="AD306" i="1"/>
  <c r="AE306" i="1"/>
  <c r="AF306" i="1"/>
  <c r="AG306" i="1"/>
  <c r="AH306" i="1"/>
  <c r="AI306" i="1"/>
  <c r="AJ306" i="1"/>
  <c r="AK306" i="1"/>
  <c r="C307" i="1"/>
  <c r="H307" i="1"/>
  <c r="I307" i="1"/>
  <c r="J307" i="1"/>
  <c r="K307" i="1"/>
  <c r="M307" i="1"/>
  <c r="P307" i="1"/>
  <c r="R307" i="1"/>
  <c r="S307" i="1"/>
  <c r="T307" i="1"/>
  <c r="U307" i="1"/>
  <c r="X307" i="1"/>
  <c r="Y307" i="1"/>
  <c r="Z307" i="1"/>
  <c r="AA307" i="1"/>
  <c r="AB307" i="1"/>
  <c r="AC307" i="1"/>
  <c r="AD307" i="1"/>
  <c r="AE307" i="1"/>
  <c r="AF307" i="1"/>
  <c r="AG307" i="1"/>
  <c r="AH307" i="1"/>
  <c r="AI307" i="1"/>
  <c r="AJ307" i="1"/>
  <c r="AK307" i="1"/>
  <c r="C308" i="1"/>
  <c r="H308" i="1"/>
  <c r="I308" i="1"/>
  <c r="J308" i="1"/>
  <c r="K308" i="1"/>
  <c r="M308" i="1"/>
  <c r="P308" i="1"/>
  <c r="R308" i="1"/>
  <c r="S308" i="1"/>
  <c r="T308" i="1"/>
  <c r="U308" i="1"/>
  <c r="X308" i="1"/>
  <c r="Y308" i="1"/>
  <c r="Z308" i="1"/>
  <c r="AA308" i="1"/>
  <c r="AB308" i="1"/>
  <c r="AC308" i="1"/>
  <c r="AD308" i="1"/>
  <c r="AE308" i="1"/>
  <c r="AF308" i="1"/>
  <c r="AG308" i="1"/>
  <c r="AH308" i="1"/>
  <c r="AI308" i="1"/>
  <c r="AJ308" i="1"/>
  <c r="AK308" i="1"/>
  <c r="C309" i="1"/>
  <c r="H309" i="1"/>
  <c r="I309" i="1"/>
  <c r="J309" i="1"/>
  <c r="K309" i="1"/>
  <c r="M309" i="1"/>
  <c r="P309" i="1"/>
  <c r="R309" i="1"/>
  <c r="S309" i="1"/>
  <c r="T309" i="1"/>
  <c r="U309" i="1"/>
  <c r="X309" i="1"/>
  <c r="Y309" i="1"/>
  <c r="Z309" i="1"/>
  <c r="AA309" i="1"/>
  <c r="AB309" i="1"/>
  <c r="AC309" i="1"/>
  <c r="AD309" i="1"/>
  <c r="AE309" i="1"/>
  <c r="AF309" i="1"/>
  <c r="AG309" i="1"/>
  <c r="AH309" i="1"/>
  <c r="AI309" i="1"/>
  <c r="AJ309" i="1"/>
  <c r="AK309" i="1"/>
  <c r="C310" i="1"/>
  <c r="H310" i="1"/>
  <c r="I310" i="1"/>
  <c r="J310" i="1"/>
  <c r="K310" i="1"/>
  <c r="M310" i="1"/>
  <c r="P310" i="1"/>
  <c r="R310" i="1"/>
  <c r="S310" i="1"/>
  <c r="T310" i="1"/>
  <c r="U310" i="1"/>
  <c r="X310" i="1"/>
  <c r="Y310" i="1"/>
  <c r="Z310" i="1"/>
  <c r="AA310" i="1"/>
  <c r="AB310" i="1"/>
  <c r="AC310" i="1"/>
  <c r="AD310" i="1"/>
  <c r="AE310" i="1"/>
  <c r="AF310" i="1"/>
  <c r="AG310" i="1"/>
  <c r="AH310" i="1"/>
  <c r="AI310" i="1"/>
  <c r="AJ310" i="1"/>
  <c r="AK310" i="1"/>
  <c r="C311" i="1"/>
  <c r="H311" i="1"/>
  <c r="I311" i="1"/>
  <c r="J311" i="1"/>
  <c r="K311" i="1"/>
  <c r="M311" i="1"/>
  <c r="P311" i="1"/>
  <c r="R311" i="1"/>
  <c r="S311" i="1"/>
  <c r="T311" i="1"/>
  <c r="U311" i="1"/>
  <c r="X311" i="1"/>
  <c r="Y311" i="1"/>
  <c r="Z311" i="1"/>
  <c r="AA311" i="1"/>
  <c r="AB311" i="1"/>
  <c r="AC311" i="1"/>
  <c r="AD311" i="1"/>
  <c r="AE311" i="1"/>
  <c r="AF311" i="1"/>
  <c r="AG311" i="1"/>
  <c r="AH311" i="1"/>
  <c r="AI311" i="1"/>
  <c r="AJ311" i="1"/>
  <c r="AK311" i="1"/>
  <c r="C292" i="1"/>
  <c r="H292" i="1"/>
  <c r="I292" i="1"/>
  <c r="J292" i="1"/>
  <c r="K292" i="1"/>
  <c r="M292" i="1"/>
  <c r="P292" i="1"/>
  <c r="R292" i="1"/>
  <c r="S292" i="1"/>
  <c r="T292" i="1"/>
  <c r="U292" i="1"/>
  <c r="X292" i="1"/>
  <c r="Y292" i="1"/>
  <c r="Z292" i="1"/>
  <c r="AA292" i="1"/>
  <c r="AB292" i="1"/>
  <c r="AC292" i="1"/>
  <c r="AD292" i="1"/>
  <c r="AE292" i="1"/>
  <c r="AF292" i="1"/>
  <c r="AG292" i="1"/>
  <c r="AH292" i="1"/>
  <c r="AI292" i="1"/>
  <c r="AJ292" i="1"/>
  <c r="AK292" i="1"/>
  <c r="C293" i="1"/>
  <c r="H293" i="1"/>
  <c r="I293" i="1"/>
  <c r="J293" i="1"/>
  <c r="K293" i="1"/>
  <c r="M293" i="1"/>
  <c r="P293" i="1"/>
  <c r="R293" i="1"/>
  <c r="S293" i="1"/>
  <c r="T293" i="1"/>
  <c r="U293" i="1"/>
  <c r="X293" i="1"/>
  <c r="Y293" i="1"/>
  <c r="Z293" i="1"/>
  <c r="AA293" i="1"/>
  <c r="AB293" i="1"/>
  <c r="AC293" i="1"/>
  <c r="AD293" i="1"/>
  <c r="AE293" i="1"/>
  <c r="AF293" i="1"/>
  <c r="AG293" i="1"/>
  <c r="AH293" i="1"/>
  <c r="AI293" i="1"/>
  <c r="AJ293" i="1"/>
  <c r="AK293" i="1"/>
  <c r="C294" i="1"/>
  <c r="H294" i="1"/>
  <c r="I294" i="1"/>
  <c r="J294" i="1"/>
  <c r="K294" i="1"/>
  <c r="M294" i="1"/>
  <c r="P294" i="1"/>
  <c r="R294" i="1"/>
  <c r="S294" i="1"/>
  <c r="T294" i="1"/>
  <c r="U294" i="1"/>
  <c r="X294" i="1"/>
  <c r="Y294" i="1"/>
  <c r="Z294" i="1"/>
  <c r="AA294" i="1"/>
  <c r="AB294" i="1"/>
  <c r="AC294" i="1"/>
  <c r="AD294" i="1"/>
  <c r="AE294" i="1"/>
  <c r="AF294" i="1"/>
  <c r="AG294" i="1"/>
  <c r="AH294" i="1"/>
  <c r="AI294" i="1"/>
  <c r="AJ294" i="1"/>
  <c r="AK294" i="1"/>
  <c r="C295" i="1"/>
  <c r="H295" i="1"/>
  <c r="I295" i="1"/>
  <c r="J295" i="1"/>
  <c r="K295" i="1"/>
  <c r="M295" i="1"/>
  <c r="P295" i="1"/>
  <c r="R295" i="1"/>
  <c r="S295" i="1"/>
  <c r="T295" i="1"/>
  <c r="U295" i="1"/>
  <c r="X295" i="1"/>
  <c r="Y295" i="1"/>
  <c r="Z295" i="1"/>
  <c r="AA295" i="1"/>
  <c r="AB295" i="1"/>
  <c r="AC295" i="1"/>
  <c r="AD295" i="1"/>
  <c r="AE295" i="1"/>
  <c r="AF295" i="1"/>
  <c r="AG295" i="1"/>
  <c r="AH295" i="1"/>
  <c r="AI295" i="1"/>
  <c r="AJ295" i="1"/>
  <c r="AK295" i="1"/>
  <c r="C296" i="1"/>
  <c r="H296" i="1"/>
  <c r="I296" i="1"/>
  <c r="J296" i="1"/>
  <c r="K296" i="1"/>
  <c r="M296" i="1"/>
  <c r="P296" i="1"/>
  <c r="R296" i="1"/>
  <c r="S296" i="1"/>
  <c r="T296" i="1"/>
  <c r="U296" i="1"/>
  <c r="X296" i="1"/>
  <c r="Y296" i="1"/>
  <c r="Z296" i="1"/>
  <c r="AA296" i="1"/>
  <c r="AB296" i="1"/>
  <c r="AC296" i="1"/>
  <c r="AD296" i="1"/>
  <c r="AE296" i="1"/>
  <c r="AF296" i="1"/>
  <c r="AG296" i="1"/>
  <c r="AH296" i="1"/>
  <c r="AI296" i="1"/>
  <c r="AJ296" i="1"/>
  <c r="AK296" i="1"/>
  <c r="C297" i="1"/>
  <c r="H297" i="1"/>
  <c r="I297" i="1"/>
  <c r="J297" i="1"/>
  <c r="K297" i="1"/>
  <c r="M297" i="1"/>
  <c r="P297" i="1"/>
  <c r="R297" i="1"/>
  <c r="S297" i="1"/>
  <c r="T297" i="1"/>
  <c r="U297" i="1"/>
  <c r="X297" i="1"/>
  <c r="Y297" i="1"/>
  <c r="Z297" i="1"/>
  <c r="AA297" i="1"/>
  <c r="AB297" i="1"/>
  <c r="AC297" i="1"/>
  <c r="AD297" i="1"/>
  <c r="AE297" i="1"/>
  <c r="AF297" i="1"/>
  <c r="AG297" i="1"/>
  <c r="AH297" i="1"/>
  <c r="AI297" i="1"/>
  <c r="AJ297" i="1"/>
  <c r="AK297" i="1"/>
  <c r="C298" i="1"/>
  <c r="H298" i="1"/>
  <c r="I298" i="1"/>
  <c r="J298" i="1"/>
  <c r="K298" i="1"/>
  <c r="M298" i="1"/>
  <c r="P298" i="1"/>
  <c r="R298" i="1"/>
  <c r="S298" i="1"/>
  <c r="T298" i="1"/>
  <c r="U298" i="1"/>
  <c r="X298" i="1"/>
  <c r="Y298" i="1"/>
  <c r="Z298" i="1"/>
  <c r="AA298" i="1"/>
  <c r="AB298" i="1"/>
  <c r="AC298" i="1"/>
  <c r="AD298" i="1"/>
  <c r="AE298" i="1"/>
  <c r="AF298" i="1"/>
  <c r="AG298" i="1"/>
  <c r="AH298" i="1"/>
  <c r="AI298" i="1"/>
  <c r="AJ298" i="1"/>
  <c r="AK298" i="1"/>
  <c r="C299" i="1"/>
  <c r="H299" i="1"/>
  <c r="I299" i="1"/>
  <c r="J299" i="1"/>
  <c r="K299" i="1"/>
  <c r="M299" i="1"/>
  <c r="P299" i="1"/>
  <c r="R299" i="1"/>
  <c r="S299" i="1"/>
  <c r="T299" i="1"/>
  <c r="U299" i="1"/>
  <c r="X299" i="1"/>
  <c r="Y299" i="1"/>
  <c r="Z299" i="1"/>
  <c r="AA299" i="1"/>
  <c r="AB299" i="1"/>
  <c r="AC299" i="1"/>
  <c r="AD299" i="1"/>
  <c r="AE299" i="1"/>
  <c r="AF299" i="1"/>
  <c r="AG299" i="1"/>
  <c r="AH299" i="1"/>
  <c r="AI299" i="1"/>
  <c r="AJ299" i="1"/>
  <c r="AK299" i="1"/>
  <c r="C300" i="1"/>
  <c r="H300" i="1"/>
  <c r="I300" i="1"/>
  <c r="J300" i="1"/>
  <c r="K300" i="1"/>
  <c r="M300" i="1"/>
  <c r="P300" i="1"/>
  <c r="R300" i="1"/>
  <c r="S300" i="1"/>
  <c r="T300" i="1"/>
  <c r="U300" i="1"/>
  <c r="X300" i="1"/>
  <c r="Y300" i="1"/>
  <c r="Z300" i="1"/>
  <c r="AA300" i="1"/>
  <c r="AB300" i="1"/>
  <c r="AC300" i="1"/>
  <c r="AD300" i="1"/>
  <c r="AE300" i="1"/>
  <c r="AF300" i="1"/>
  <c r="AG300" i="1"/>
  <c r="AH300" i="1"/>
  <c r="AI300" i="1"/>
  <c r="AJ300" i="1"/>
  <c r="AK300" i="1"/>
  <c r="C301" i="1"/>
  <c r="H301" i="1"/>
  <c r="I301" i="1"/>
  <c r="J301" i="1"/>
  <c r="K301" i="1"/>
  <c r="M301" i="1"/>
  <c r="P301" i="1"/>
  <c r="R301" i="1"/>
  <c r="S301" i="1"/>
  <c r="T301" i="1"/>
  <c r="U301" i="1"/>
  <c r="X301" i="1"/>
  <c r="Y301" i="1"/>
  <c r="Z301" i="1"/>
  <c r="AA301" i="1"/>
  <c r="AB301" i="1"/>
  <c r="AC301" i="1"/>
  <c r="AD301" i="1"/>
  <c r="AE301" i="1"/>
  <c r="AF301" i="1"/>
  <c r="AG301" i="1"/>
  <c r="AH301" i="1"/>
  <c r="AI301" i="1"/>
  <c r="AJ301" i="1"/>
  <c r="AK301" i="1"/>
  <c r="C282" i="1"/>
  <c r="H282" i="1"/>
  <c r="I282" i="1"/>
  <c r="J282" i="1"/>
  <c r="K282" i="1"/>
  <c r="M282" i="1"/>
  <c r="P282" i="1"/>
  <c r="R282" i="1"/>
  <c r="S282" i="1"/>
  <c r="T282" i="1"/>
  <c r="U282" i="1"/>
  <c r="X282" i="1"/>
  <c r="Y282" i="1"/>
  <c r="Z282" i="1"/>
  <c r="AA282" i="1"/>
  <c r="AB282" i="1"/>
  <c r="AC282" i="1"/>
  <c r="AD282" i="1"/>
  <c r="AE282" i="1"/>
  <c r="AF282" i="1"/>
  <c r="AG282" i="1"/>
  <c r="AH282" i="1"/>
  <c r="AI282" i="1"/>
  <c r="AJ282" i="1"/>
  <c r="AK282" i="1"/>
  <c r="C283" i="1"/>
  <c r="H283" i="1"/>
  <c r="I283" i="1"/>
  <c r="J283" i="1"/>
  <c r="K283" i="1"/>
  <c r="M283" i="1"/>
  <c r="P283" i="1"/>
  <c r="R283" i="1"/>
  <c r="S283" i="1"/>
  <c r="T283" i="1"/>
  <c r="U283" i="1"/>
  <c r="X283" i="1"/>
  <c r="Y283" i="1"/>
  <c r="Z283" i="1"/>
  <c r="AA283" i="1"/>
  <c r="AB283" i="1"/>
  <c r="AC283" i="1"/>
  <c r="AD283" i="1"/>
  <c r="AE283" i="1"/>
  <c r="AF283" i="1"/>
  <c r="AG283" i="1"/>
  <c r="AH283" i="1"/>
  <c r="AI283" i="1"/>
  <c r="AJ283" i="1"/>
  <c r="AK283" i="1"/>
  <c r="C284" i="1"/>
  <c r="H284" i="1"/>
  <c r="I284" i="1"/>
  <c r="J284" i="1"/>
  <c r="K284" i="1"/>
  <c r="M284" i="1"/>
  <c r="P284" i="1"/>
  <c r="R284" i="1"/>
  <c r="S284" i="1"/>
  <c r="T284" i="1"/>
  <c r="U284" i="1"/>
  <c r="X284" i="1"/>
  <c r="Y284" i="1"/>
  <c r="Z284" i="1"/>
  <c r="AA284" i="1"/>
  <c r="AB284" i="1"/>
  <c r="AC284" i="1"/>
  <c r="AD284" i="1"/>
  <c r="AE284" i="1"/>
  <c r="AF284" i="1"/>
  <c r="AG284" i="1"/>
  <c r="AH284" i="1"/>
  <c r="AI284" i="1"/>
  <c r="AJ284" i="1"/>
  <c r="AK284" i="1"/>
  <c r="C285" i="1"/>
  <c r="H285" i="1"/>
  <c r="I285" i="1"/>
  <c r="J285" i="1"/>
  <c r="K285" i="1"/>
  <c r="M285" i="1"/>
  <c r="P285" i="1"/>
  <c r="R285" i="1"/>
  <c r="S285" i="1"/>
  <c r="T285" i="1"/>
  <c r="U285" i="1"/>
  <c r="X285" i="1"/>
  <c r="Y285" i="1"/>
  <c r="Z285" i="1"/>
  <c r="AA285" i="1"/>
  <c r="AB285" i="1"/>
  <c r="AC285" i="1"/>
  <c r="AD285" i="1"/>
  <c r="AE285" i="1"/>
  <c r="AF285" i="1"/>
  <c r="AG285" i="1"/>
  <c r="AH285" i="1"/>
  <c r="AI285" i="1"/>
  <c r="AJ285" i="1"/>
  <c r="AK285" i="1"/>
  <c r="C286" i="1"/>
  <c r="H286" i="1"/>
  <c r="I286" i="1"/>
  <c r="J286" i="1"/>
  <c r="K286" i="1"/>
  <c r="M286" i="1"/>
  <c r="P286" i="1"/>
  <c r="R286" i="1"/>
  <c r="S286" i="1"/>
  <c r="T286" i="1"/>
  <c r="U286" i="1"/>
  <c r="X286" i="1"/>
  <c r="Y286" i="1"/>
  <c r="Z286" i="1"/>
  <c r="AA286" i="1"/>
  <c r="AB286" i="1"/>
  <c r="AC286" i="1"/>
  <c r="AD286" i="1"/>
  <c r="AE286" i="1"/>
  <c r="AF286" i="1"/>
  <c r="AG286" i="1"/>
  <c r="AH286" i="1"/>
  <c r="AI286" i="1"/>
  <c r="AJ286" i="1"/>
  <c r="AK286" i="1"/>
  <c r="C287" i="1"/>
  <c r="H287" i="1"/>
  <c r="I287" i="1"/>
  <c r="J287" i="1"/>
  <c r="K287" i="1"/>
  <c r="M287" i="1"/>
  <c r="P287" i="1"/>
  <c r="R287" i="1"/>
  <c r="S287" i="1"/>
  <c r="T287" i="1"/>
  <c r="U287" i="1"/>
  <c r="X287" i="1"/>
  <c r="Y287" i="1"/>
  <c r="Z287" i="1"/>
  <c r="AA287" i="1"/>
  <c r="AB287" i="1"/>
  <c r="AC287" i="1"/>
  <c r="AD287" i="1"/>
  <c r="AE287" i="1"/>
  <c r="AF287" i="1"/>
  <c r="AG287" i="1"/>
  <c r="AH287" i="1"/>
  <c r="AI287" i="1"/>
  <c r="AJ287" i="1"/>
  <c r="AK287" i="1"/>
  <c r="C288" i="1"/>
  <c r="H288" i="1"/>
  <c r="I288" i="1"/>
  <c r="J288" i="1"/>
  <c r="K288" i="1"/>
  <c r="M288" i="1"/>
  <c r="P288" i="1"/>
  <c r="R288" i="1"/>
  <c r="S288" i="1"/>
  <c r="T288" i="1"/>
  <c r="U288" i="1"/>
  <c r="X288" i="1"/>
  <c r="Y288" i="1"/>
  <c r="Z288" i="1"/>
  <c r="AA288" i="1"/>
  <c r="AB288" i="1"/>
  <c r="AC288" i="1"/>
  <c r="AD288" i="1"/>
  <c r="AE288" i="1"/>
  <c r="AF288" i="1"/>
  <c r="AG288" i="1"/>
  <c r="AH288" i="1"/>
  <c r="AI288" i="1"/>
  <c r="AJ288" i="1"/>
  <c r="AK288" i="1"/>
  <c r="C289" i="1"/>
  <c r="H289" i="1"/>
  <c r="I289" i="1"/>
  <c r="J289" i="1"/>
  <c r="K289" i="1"/>
  <c r="M289" i="1"/>
  <c r="P289" i="1"/>
  <c r="R289" i="1"/>
  <c r="S289" i="1"/>
  <c r="T289" i="1"/>
  <c r="U289" i="1"/>
  <c r="X289" i="1"/>
  <c r="Y289" i="1"/>
  <c r="Z289" i="1"/>
  <c r="AA289" i="1"/>
  <c r="AB289" i="1"/>
  <c r="AC289" i="1"/>
  <c r="AD289" i="1"/>
  <c r="AE289" i="1"/>
  <c r="AF289" i="1"/>
  <c r="AG289" i="1"/>
  <c r="AH289" i="1"/>
  <c r="AI289" i="1"/>
  <c r="AJ289" i="1"/>
  <c r="AK289" i="1"/>
  <c r="C290" i="1"/>
  <c r="H290" i="1"/>
  <c r="I290" i="1"/>
  <c r="J290" i="1"/>
  <c r="K290" i="1"/>
  <c r="M290" i="1"/>
  <c r="P290" i="1"/>
  <c r="R290" i="1"/>
  <c r="S290" i="1"/>
  <c r="T290" i="1"/>
  <c r="U290" i="1"/>
  <c r="X290" i="1"/>
  <c r="Y290" i="1"/>
  <c r="Z290" i="1"/>
  <c r="AA290" i="1"/>
  <c r="AB290" i="1"/>
  <c r="AC290" i="1"/>
  <c r="AD290" i="1"/>
  <c r="AE290" i="1"/>
  <c r="AF290" i="1"/>
  <c r="AG290" i="1"/>
  <c r="AH290" i="1"/>
  <c r="AI290" i="1"/>
  <c r="AJ290" i="1"/>
  <c r="AK290" i="1"/>
  <c r="C291" i="1"/>
  <c r="H291" i="1"/>
  <c r="I291" i="1"/>
  <c r="J291" i="1"/>
  <c r="K291" i="1"/>
  <c r="M291" i="1"/>
  <c r="P291" i="1"/>
  <c r="R291" i="1"/>
  <c r="S291" i="1"/>
  <c r="T291" i="1"/>
  <c r="U291" i="1"/>
  <c r="X291" i="1"/>
  <c r="Y291" i="1"/>
  <c r="Z291" i="1"/>
  <c r="AA291" i="1"/>
  <c r="AB291" i="1"/>
  <c r="AC291" i="1"/>
  <c r="AD291" i="1"/>
  <c r="AE291" i="1"/>
  <c r="AF291" i="1"/>
  <c r="AG291" i="1"/>
  <c r="AH291" i="1"/>
  <c r="AI291" i="1"/>
  <c r="AJ291" i="1"/>
  <c r="AK291" i="1"/>
  <c r="C272" i="1"/>
  <c r="H272" i="1"/>
  <c r="I272" i="1"/>
  <c r="J272" i="1"/>
  <c r="K272" i="1"/>
  <c r="M272" i="1"/>
  <c r="P272" i="1"/>
  <c r="R272" i="1"/>
  <c r="S272" i="1"/>
  <c r="T272" i="1"/>
  <c r="U272" i="1"/>
  <c r="X272" i="1"/>
  <c r="Y272" i="1"/>
  <c r="Z272" i="1"/>
  <c r="AA272" i="1"/>
  <c r="AB272" i="1"/>
  <c r="AC272" i="1"/>
  <c r="AD272" i="1"/>
  <c r="AE272" i="1"/>
  <c r="AF272" i="1"/>
  <c r="AG272" i="1"/>
  <c r="AH272" i="1"/>
  <c r="AI272" i="1"/>
  <c r="AJ272" i="1"/>
  <c r="AK272" i="1"/>
  <c r="C273" i="1"/>
  <c r="H273" i="1"/>
  <c r="I273" i="1"/>
  <c r="J273" i="1"/>
  <c r="K273" i="1"/>
  <c r="M273" i="1"/>
  <c r="P273" i="1"/>
  <c r="R273" i="1"/>
  <c r="S273" i="1"/>
  <c r="T273" i="1"/>
  <c r="U273" i="1"/>
  <c r="X273" i="1"/>
  <c r="Y273" i="1"/>
  <c r="Z273" i="1"/>
  <c r="AA273" i="1"/>
  <c r="AB273" i="1"/>
  <c r="AC273" i="1"/>
  <c r="AD273" i="1"/>
  <c r="AE273" i="1"/>
  <c r="AF273" i="1"/>
  <c r="AG273" i="1"/>
  <c r="AH273" i="1"/>
  <c r="AI273" i="1"/>
  <c r="AJ273" i="1"/>
  <c r="AK273" i="1"/>
  <c r="C274" i="1"/>
  <c r="H274" i="1"/>
  <c r="I274" i="1"/>
  <c r="J274" i="1"/>
  <c r="K274" i="1"/>
  <c r="M274" i="1"/>
  <c r="P274" i="1"/>
  <c r="R274" i="1"/>
  <c r="S274" i="1"/>
  <c r="T274" i="1"/>
  <c r="U274" i="1"/>
  <c r="X274" i="1"/>
  <c r="Y274" i="1"/>
  <c r="Z274" i="1"/>
  <c r="AA274" i="1"/>
  <c r="AB274" i="1"/>
  <c r="AC274" i="1"/>
  <c r="AD274" i="1"/>
  <c r="AE274" i="1"/>
  <c r="AF274" i="1"/>
  <c r="AG274" i="1"/>
  <c r="AH274" i="1"/>
  <c r="AI274" i="1"/>
  <c r="AJ274" i="1"/>
  <c r="AK274" i="1"/>
  <c r="C275" i="1"/>
  <c r="H275" i="1"/>
  <c r="I275" i="1"/>
  <c r="J275" i="1"/>
  <c r="K275" i="1"/>
  <c r="M275" i="1"/>
  <c r="P275" i="1"/>
  <c r="R275" i="1"/>
  <c r="S275" i="1"/>
  <c r="T275" i="1"/>
  <c r="U275" i="1"/>
  <c r="X275" i="1"/>
  <c r="Y275" i="1"/>
  <c r="Z275" i="1"/>
  <c r="AA275" i="1"/>
  <c r="AB275" i="1"/>
  <c r="AC275" i="1"/>
  <c r="AD275" i="1"/>
  <c r="AE275" i="1"/>
  <c r="AF275" i="1"/>
  <c r="AG275" i="1"/>
  <c r="AH275" i="1"/>
  <c r="AI275" i="1"/>
  <c r="AJ275" i="1"/>
  <c r="AK275" i="1"/>
  <c r="C276" i="1"/>
  <c r="H276" i="1"/>
  <c r="I276" i="1"/>
  <c r="J276" i="1"/>
  <c r="K276" i="1"/>
  <c r="M276" i="1"/>
  <c r="P276" i="1"/>
  <c r="R276" i="1"/>
  <c r="S276" i="1"/>
  <c r="T276" i="1"/>
  <c r="U276" i="1"/>
  <c r="X276" i="1"/>
  <c r="Y276" i="1"/>
  <c r="Z276" i="1"/>
  <c r="AA276" i="1"/>
  <c r="AB276" i="1"/>
  <c r="AC276" i="1"/>
  <c r="AD276" i="1"/>
  <c r="AE276" i="1"/>
  <c r="AF276" i="1"/>
  <c r="AG276" i="1"/>
  <c r="AH276" i="1"/>
  <c r="AI276" i="1"/>
  <c r="AJ276" i="1"/>
  <c r="AK276" i="1"/>
  <c r="C277" i="1"/>
  <c r="H277" i="1"/>
  <c r="I277" i="1"/>
  <c r="J277" i="1"/>
  <c r="K277" i="1"/>
  <c r="M277" i="1"/>
  <c r="P277" i="1"/>
  <c r="R277" i="1"/>
  <c r="S277" i="1"/>
  <c r="T277" i="1"/>
  <c r="U277" i="1"/>
  <c r="X277" i="1"/>
  <c r="Y277" i="1"/>
  <c r="Z277" i="1"/>
  <c r="AA277" i="1"/>
  <c r="AB277" i="1"/>
  <c r="AC277" i="1"/>
  <c r="AD277" i="1"/>
  <c r="AE277" i="1"/>
  <c r="AF277" i="1"/>
  <c r="AG277" i="1"/>
  <c r="AH277" i="1"/>
  <c r="AI277" i="1"/>
  <c r="AJ277" i="1"/>
  <c r="AK277" i="1"/>
  <c r="C278" i="1"/>
  <c r="H278" i="1"/>
  <c r="I278" i="1"/>
  <c r="J278" i="1"/>
  <c r="K278" i="1"/>
  <c r="M278" i="1"/>
  <c r="P278" i="1"/>
  <c r="R278" i="1"/>
  <c r="S278" i="1"/>
  <c r="T278" i="1"/>
  <c r="U278" i="1"/>
  <c r="X278" i="1"/>
  <c r="Y278" i="1"/>
  <c r="Z278" i="1"/>
  <c r="AA278" i="1"/>
  <c r="AB278" i="1"/>
  <c r="AC278" i="1"/>
  <c r="AD278" i="1"/>
  <c r="AE278" i="1"/>
  <c r="AF278" i="1"/>
  <c r="AG278" i="1"/>
  <c r="AH278" i="1"/>
  <c r="AI278" i="1"/>
  <c r="AJ278" i="1"/>
  <c r="AK278" i="1"/>
  <c r="C279" i="1"/>
  <c r="H279" i="1"/>
  <c r="I279" i="1"/>
  <c r="J279" i="1"/>
  <c r="K279" i="1"/>
  <c r="M279" i="1"/>
  <c r="P279" i="1"/>
  <c r="R279" i="1"/>
  <c r="S279" i="1"/>
  <c r="T279" i="1"/>
  <c r="U279" i="1"/>
  <c r="X279" i="1"/>
  <c r="Y279" i="1"/>
  <c r="Z279" i="1"/>
  <c r="AA279" i="1"/>
  <c r="AB279" i="1"/>
  <c r="AC279" i="1"/>
  <c r="AD279" i="1"/>
  <c r="AE279" i="1"/>
  <c r="AF279" i="1"/>
  <c r="AG279" i="1"/>
  <c r="AH279" i="1"/>
  <c r="AI279" i="1"/>
  <c r="AJ279" i="1"/>
  <c r="AK279" i="1"/>
  <c r="C280" i="1"/>
  <c r="H280" i="1"/>
  <c r="I280" i="1"/>
  <c r="J280" i="1"/>
  <c r="K280" i="1"/>
  <c r="M280" i="1"/>
  <c r="P280" i="1"/>
  <c r="R280" i="1"/>
  <c r="S280" i="1"/>
  <c r="T280" i="1"/>
  <c r="U280" i="1"/>
  <c r="X280" i="1"/>
  <c r="Y280" i="1"/>
  <c r="Z280" i="1"/>
  <c r="AA280" i="1"/>
  <c r="AB280" i="1"/>
  <c r="AC280" i="1"/>
  <c r="AD280" i="1"/>
  <c r="AE280" i="1"/>
  <c r="AF280" i="1"/>
  <c r="AG280" i="1"/>
  <c r="AH280" i="1"/>
  <c r="AI280" i="1"/>
  <c r="AJ280" i="1"/>
  <c r="AK280" i="1"/>
  <c r="C281" i="1"/>
  <c r="H281" i="1"/>
  <c r="I281" i="1"/>
  <c r="J281" i="1"/>
  <c r="K281" i="1"/>
  <c r="M281" i="1"/>
  <c r="P281" i="1"/>
  <c r="R281" i="1"/>
  <c r="S281" i="1"/>
  <c r="T281" i="1"/>
  <c r="U281" i="1"/>
  <c r="X281" i="1"/>
  <c r="Y281" i="1"/>
  <c r="Z281" i="1"/>
  <c r="AA281" i="1"/>
  <c r="AB281" i="1"/>
  <c r="AC281" i="1"/>
  <c r="AD281" i="1"/>
  <c r="AE281" i="1"/>
  <c r="AF281" i="1"/>
  <c r="AG281" i="1"/>
  <c r="AH281" i="1"/>
  <c r="AI281" i="1"/>
  <c r="AJ281" i="1"/>
  <c r="AK281" i="1"/>
  <c r="C262" i="1"/>
  <c r="H262" i="1"/>
  <c r="I262" i="1"/>
  <c r="J262" i="1"/>
  <c r="K262" i="1"/>
  <c r="M262" i="1"/>
  <c r="P262" i="1"/>
  <c r="R262" i="1"/>
  <c r="S262" i="1"/>
  <c r="T262" i="1"/>
  <c r="U262" i="1"/>
  <c r="X262" i="1"/>
  <c r="Y262" i="1"/>
  <c r="Z262" i="1"/>
  <c r="AA262" i="1"/>
  <c r="AB262" i="1"/>
  <c r="AC262" i="1"/>
  <c r="AD262" i="1"/>
  <c r="AE262" i="1"/>
  <c r="AF262" i="1"/>
  <c r="AG262" i="1"/>
  <c r="AH262" i="1"/>
  <c r="AI262" i="1"/>
  <c r="AJ262" i="1"/>
  <c r="AK262" i="1"/>
  <c r="C263" i="1"/>
  <c r="H263" i="1"/>
  <c r="I263" i="1"/>
  <c r="J263" i="1"/>
  <c r="K263" i="1"/>
  <c r="M263" i="1"/>
  <c r="P263" i="1"/>
  <c r="R263" i="1"/>
  <c r="S263" i="1"/>
  <c r="T263" i="1"/>
  <c r="U263" i="1"/>
  <c r="X263" i="1"/>
  <c r="Y263" i="1"/>
  <c r="Z263" i="1"/>
  <c r="AA263" i="1"/>
  <c r="AB263" i="1"/>
  <c r="AC263" i="1"/>
  <c r="AD263" i="1"/>
  <c r="AE263" i="1"/>
  <c r="AF263" i="1"/>
  <c r="AG263" i="1"/>
  <c r="AH263" i="1"/>
  <c r="AI263" i="1"/>
  <c r="AJ263" i="1"/>
  <c r="AK263" i="1"/>
  <c r="C264" i="1"/>
  <c r="H264" i="1"/>
  <c r="I264" i="1"/>
  <c r="J264" i="1"/>
  <c r="K264" i="1"/>
  <c r="M264" i="1"/>
  <c r="P264" i="1"/>
  <c r="R264" i="1"/>
  <c r="S264" i="1"/>
  <c r="T264" i="1"/>
  <c r="U264" i="1"/>
  <c r="X264" i="1"/>
  <c r="Y264" i="1"/>
  <c r="Z264" i="1"/>
  <c r="AA264" i="1"/>
  <c r="AB264" i="1"/>
  <c r="AC264" i="1"/>
  <c r="AD264" i="1"/>
  <c r="AE264" i="1"/>
  <c r="AF264" i="1"/>
  <c r="AG264" i="1"/>
  <c r="AH264" i="1"/>
  <c r="AI264" i="1"/>
  <c r="AJ264" i="1"/>
  <c r="AK264" i="1"/>
  <c r="C265" i="1"/>
  <c r="H265" i="1"/>
  <c r="I265" i="1"/>
  <c r="J265" i="1"/>
  <c r="K265" i="1"/>
  <c r="M265" i="1"/>
  <c r="P265" i="1"/>
  <c r="R265" i="1"/>
  <c r="S265" i="1"/>
  <c r="T265" i="1"/>
  <c r="U265" i="1"/>
  <c r="X265" i="1"/>
  <c r="Y265" i="1"/>
  <c r="Z265" i="1"/>
  <c r="AA265" i="1"/>
  <c r="AB265" i="1"/>
  <c r="AC265" i="1"/>
  <c r="AD265" i="1"/>
  <c r="AE265" i="1"/>
  <c r="AF265" i="1"/>
  <c r="AG265" i="1"/>
  <c r="AH265" i="1"/>
  <c r="AI265" i="1"/>
  <c r="AJ265" i="1"/>
  <c r="AK265" i="1"/>
  <c r="C266" i="1"/>
  <c r="H266" i="1"/>
  <c r="I266" i="1"/>
  <c r="J266" i="1"/>
  <c r="K266" i="1"/>
  <c r="M266" i="1"/>
  <c r="P266" i="1"/>
  <c r="R266" i="1"/>
  <c r="S266" i="1"/>
  <c r="T266" i="1"/>
  <c r="U266" i="1"/>
  <c r="X266" i="1"/>
  <c r="Y266" i="1"/>
  <c r="Z266" i="1"/>
  <c r="AA266" i="1"/>
  <c r="AB266" i="1"/>
  <c r="AC266" i="1"/>
  <c r="AD266" i="1"/>
  <c r="AE266" i="1"/>
  <c r="AF266" i="1"/>
  <c r="AG266" i="1"/>
  <c r="AH266" i="1"/>
  <c r="AI266" i="1"/>
  <c r="AJ266" i="1"/>
  <c r="AK266" i="1"/>
  <c r="C267" i="1"/>
  <c r="H267" i="1"/>
  <c r="I267" i="1"/>
  <c r="J267" i="1"/>
  <c r="K267" i="1"/>
  <c r="M267" i="1"/>
  <c r="P267" i="1"/>
  <c r="R267" i="1"/>
  <c r="S267" i="1"/>
  <c r="T267" i="1"/>
  <c r="U267" i="1"/>
  <c r="X267" i="1"/>
  <c r="Y267" i="1"/>
  <c r="Z267" i="1"/>
  <c r="AA267" i="1"/>
  <c r="AB267" i="1"/>
  <c r="AC267" i="1"/>
  <c r="AD267" i="1"/>
  <c r="AE267" i="1"/>
  <c r="AF267" i="1"/>
  <c r="AG267" i="1"/>
  <c r="AH267" i="1"/>
  <c r="AI267" i="1"/>
  <c r="AJ267" i="1"/>
  <c r="AK267" i="1"/>
  <c r="C268" i="1"/>
  <c r="H268" i="1"/>
  <c r="I268" i="1"/>
  <c r="J268" i="1"/>
  <c r="K268" i="1"/>
  <c r="M268" i="1"/>
  <c r="P268" i="1"/>
  <c r="R268" i="1"/>
  <c r="S268" i="1"/>
  <c r="T268" i="1"/>
  <c r="U268" i="1"/>
  <c r="X268" i="1"/>
  <c r="Y268" i="1"/>
  <c r="Z268" i="1"/>
  <c r="AA268" i="1"/>
  <c r="AB268" i="1"/>
  <c r="AC268" i="1"/>
  <c r="AD268" i="1"/>
  <c r="AE268" i="1"/>
  <c r="AF268" i="1"/>
  <c r="AG268" i="1"/>
  <c r="AH268" i="1"/>
  <c r="AI268" i="1"/>
  <c r="AJ268" i="1"/>
  <c r="AK268" i="1"/>
  <c r="C269" i="1"/>
  <c r="H269" i="1"/>
  <c r="I269" i="1"/>
  <c r="J269" i="1"/>
  <c r="K269" i="1"/>
  <c r="M269" i="1"/>
  <c r="P269" i="1"/>
  <c r="R269" i="1"/>
  <c r="S269" i="1"/>
  <c r="T269" i="1"/>
  <c r="U269" i="1"/>
  <c r="X269" i="1"/>
  <c r="Y269" i="1"/>
  <c r="Z269" i="1"/>
  <c r="AA269" i="1"/>
  <c r="AB269" i="1"/>
  <c r="AC269" i="1"/>
  <c r="AD269" i="1"/>
  <c r="AE269" i="1"/>
  <c r="AF269" i="1"/>
  <c r="AG269" i="1"/>
  <c r="AH269" i="1"/>
  <c r="AI269" i="1"/>
  <c r="AJ269" i="1"/>
  <c r="AK269" i="1"/>
  <c r="C270" i="1"/>
  <c r="H270" i="1"/>
  <c r="I270" i="1"/>
  <c r="J270" i="1"/>
  <c r="K270" i="1"/>
  <c r="M270" i="1"/>
  <c r="P270" i="1"/>
  <c r="R270" i="1"/>
  <c r="S270" i="1"/>
  <c r="T270" i="1"/>
  <c r="U270" i="1"/>
  <c r="X270" i="1"/>
  <c r="Y270" i="1"/>
  <c r="Z270" i="1"/>
  <c r="AA270" i="1"/>
  <c r="AB270" i="1"/>
  <c r="AC270" i="1"/>
  <c r="AD270" i="1"/>
  <c r="AE270" i="1"/>
  <c r="AF270" i="1"/>
  <c r="AG270" i="1"/>
  <c r="AH270" i="1"/>
  <c r="AI270" i="1"/>
  <c r="AJ270" i="1"/>
  <c r="AK270" i="1"/>
  <c r="C271" i="1"/>
  <c r="H271" i="1"/>
  <c r="I271" i="1"/>
  <c r="J271" i="1"/>
  <c r="K271" i="1"/>
  <c r="M271" i="1"/>
  <c r="P271" i="1"/>
  <c r="R271" i="1"/>
  <c r="S271" i="1"/>
  <c r="T271" i="1"/>
  <c r="U271" i="1"/>
  <c r="X271" i="1"/>
  <c r="Y271" i="1"/>
  <c r="Z271" i="1"/>
  <c r="AA271" i="1"/>
  <c r="AB271" i="1"/>
  <c r="AC271" i="1"/>
  <c r="AD271" i="1"/>
  <c r="AE271" i="1"/>
  <c r="AF271" i="1"/>
  <c r="AG271" i="1"/>
  <c r="AH271" i="1"/>
  <c r="AI271" i="1"/>
  <c r="AJ271" i="1"/>
  <c r="AK271" i="1"/>
  <c r="C252" i="1"/>
  <c r="H252" i="1"/>
  <c r="I252" i="1"/>
  <c r="J252" i="1"/>
  <c r="K252" i="1"/>
  <c r="M252" i="1"/>
  <c r="P252" i="1"/>
  <c r="R252" i="1"/>
  <c r="S252" i="1"/>
  <c r="T252" i="1"/>
  <c r="U252" i="1"/>
  <c r="X252" i="1"/>
  <c r="Y252" i="1"/>
  <c r="Z252" i="1"/>
  <c r="AA252" i="1"/>
  <c r="AB252" i="1"/>
  <c r="AC252" i="1"/>
  <c r="AD252" i="1"/>
  <c r="AE252" i="1"/>
  <c r="AF252" i="1"/>
  <c r="AG252" i="1"/>
  <c r="AH252" i="1"/>
  <c r="AI252" i="1"/>
  <c r="AJ252" i="1"/>
  <c r="AK252" i="1"/>
  <c r="C253" i="1"/>
  <c r="H253" i="1"/>
  <c r="I253" i="1"/>
  <c r="J253" i="1"/>
  <c r="K253" i="1"/>
  <c r="M253" i="1"/>
  <c r="P253" i="1"/>
  <c r="R253" i="1"/>
  <c r="S253" i="1"/>
  <c r="T253" i="1"/>
  <c r="U253" i="1"/>
  <c r="X253" i="1"/>
  <c r="Y253" i="1"/>
  <c r="Z253" i="1"/>
  <c r="AA253" i="1"/>
  <c r="AB253" i="1"/>
  <c r="AC253" i="1"/>
  <c r="AD253" i="1"/>
  <c r="AE253" i="1"/>
  <c r="AF253" i="1"/>
  <c r="AG253" i="1"/>
  <c r="AH253" i="1"/>
  <c r="AI253" i="1"/>
  <c r="AJ253" i="1"/>
  <c r="AK253" i="1"/>
  <c r="C254" i="1"/>
  <c r="H254" i="1"/>
  <c r="I254" i="1"/>
  <c r="J254" i="1"/>
  <c r="K254" i="1"/>
  <c r="M254" i="1"/>
  <c r="P254" i="1"/>
  <c r="R254" i="1"/>
  <c r="S254" i="1"/>
  <c r="T254" i="1"/>
  <c r="U254" i="1"/>
  <c r="X254" i="1"/>
  <c r="Y254" i="1"/>
  <c r="Z254" i="1"/>
  <c r="AA254" i="1"/>
  <c r="AB254" i="1"/>
  <c r="AC254" i="1"/>
  <c r="AD254" i="1"/>
  <c r="AE254" i="1"/>
  <c r="AF254" i="1"/>
  <c r="AG254" i="1"/>
  <c r="AH254" i="1"/>
  <c r="AI254" i="1"/>
  <c r="AJ254" i="1"/>
  <c r="AK254" i="1"/>
  <c r="C255" i="1"/>
  <c r="H255" i="1"/>
  <c r="I255" i="1"/>
  <c r="J255" i="1"/>
  <c r="K255" i="1"/>
  <c r="M255" i="1"/>
  <c r="P255" i="1"/>
  <c r="R255" i="1"/>
  <c r="S255" i="1"/>
  <c r="T255" i="1"/>
  <c r="U255" i="1"/>
  <c r="X255" i="1"/>
  <c r="Y255" i="1"/>
  <c r="Z255" i="1"/>
  <c r="AA255" i="1"/>
  <c r="AB255" i="1"/>
  <c r="AC255" i="1"/>
  <c r="AD255" i="1"/>
  <c r="AE255" i="1"/>
  <c r="AF255" i="1"/>
  <c r="AG255" i="1"/>
  <c r="AH255" i="1"/>
  <c r="AI255" i="1"/>
  <c r="AJ255" i="1"/>
  <c r="AK255" i="1"/>
  <c r="C256" i="1"/>
  <c r="H256" i="1"/>
  <c r="I256" i="1"/>
  <c r="J256" i="1"/>
  <c r="K256" i="1"/>
  <c r="M256" i="1"/>
  <c r="P256" i="1"/>
  <c r="R256" i="1"/>
  <c r="S256" i="1"/>
  <c r="T256" i="1"/>
  <c r="U256" i="1"/>
  <c r="X256" i="1"/>
  <c r="Y256" i="1"/>
  <c r="Z256" i="1"/>
  <c r="AA256" i="1"/>
  <c r="AB256" i="1"/>
  <c r="AC256" i="1"/>
  <c r="AD256" i="1"/>
  <c r="AE256" i="1"/>
  <c r="AF256" i="1"/>
  <c r="AG256" i="1"/>
  <c r="AH256" i="1"/>
  <c r="AI256" i="1"/>
  <c r="AJ256" i="1"/>
  <c r="AK256" i="1"/>
  <c r="C257" i="1"/>
  <c r="H257" i="1"/>
  <c r="I257" i="1"/>
  <c r="J257" i="1"/>
  <c r="K257" i="1"/>
  <c r="M257" i="1"/>
  <c r="P257" i="1"/>
  <c r="R257" i="1"/>
  <c r="S257" i="1"/>
  <c r="T257" i="1"/>
  <c r="U257" i="1"/>
  <c r="X257" i="1"/>
  <c r="Y257" i="1"/>
  <c r="Z257" i="1"/>
  <c r="AA257" i="1"/>
  <c r="AB257" i="1"/>
  <c r="AC257" i="1"/>
  <c r="AD257" i="1"/>
  <c r="AE257" i="1"/>
  <c r="AF257" i="1"/>
  <c r="AG257" i="1"/>
  <c r="AH257" i="1"/>
  <c r="AI257" i="1"/>
  <c r="AJ257" i="1"/>
  <c r="AK257" i="1"/>
  <c r="C258" i="1"/>
  <c r="H258" i="1"/>
  <c r="I258" i="1"/>
  <c r="J258" i="1"/>
  <c r="K258" i="1"/>
  <c r="M258" i="1"/>
  <c r="P258" i="1"/>
  <c r="R258" i="1"/>
  <c r="S258" i="1"/>
  <c r="T258" i="1"/>
  <c r="U258" i="1"/>
  <c r="X258" i="1"/>
  <c r="Y258" i="1"/>
  <c r="Z258" i="1"/>
  <c r="AA258" i="1"/>
  <c r="AB258" i="1"/>
  <c r="AC258" i="1"/>
  <c r="AD258" i="1"/>
  <c r="AE258" i="1"/>
  <c r="AF258" i="1"/>
  <c r="AG258" i="1"/>
  <c r="AH258" i="1"/>
  <c r="AI258" i="1"/>
  <c r="AJ258" i="1"/>
  <c r="AK258" i="1"/>
  <c r="C259" i="1"/>
  <c r="H259" i="1"/>
  <c r="I259" i="1"/>
  <c r="J259" i="1"/>
  <c r="K259" i="1"/>
  <c r="M259" i="1"/>
  <c r="P259" i="1"/>
  <c r="R259" i="1"/>
  <c r="S259" i="1"/>
  <c r="T259" i="1"/>
  <c r="U259" i="1"/>
  <c r="X259" i="1"/>
  <c r="Y259" i="1"/>
  <c r="Z259" i="1"/>
  <c r="AA259" i="1"/>
  <c r="AB259" i="1"/>
  <c r="AC259" i="1"/>
  <c r="AD259" i="1"/>
  <c r="AE259" i="1"/>
  <c r="AF259" i="1"/>
  <c r="AG259" i="1"/>
  <c r="AH259" i="1"/>
  <c r="AI259" i="1"/>
  <c r="AJ259" i="1"/>
  <c r="AK259" i="1"/>
  <c r="C260" i="1"/>
  <c r="H260" i="1"/>
  <c r="I260" i="1"/>
  <c r="J260" i="1"/>
  <c r="K260" i="1"/>
  <c r="M260" i="1"/>
  <c r="P260" i="1"/>
  <c r="R260" i="1"/>
  <c r="S260" i="1"/>
  <c r="T260" i="1"/>
  <c r="U260" i="1"/>
  <c r="X260" i="1"/>
  <c r="Y260" i="1"/>
  <c r="Z260" i="1"/>
  <c r="AA260" i="1"/>
  <c r="AB260" i="1"/>
  <c r="AC260" i="1"/>
  <c r="AD260" i="1"/>
  <c r="AE260" i="1"/>
  <c r="AF260" i="1"/>
  <c r="AG260" i="1"/>
  <c r="AH260" i="1"/>
  <c r="AI260" i="1"/>
  <c r="AJ260" i="1"/>
  <c r="AK260" i="1"/>
  <c r="C261" i="1"/>
  <c r="H261" i="1"/>
  <c r="I261" i="1"/>
  <c r="J261" i="1"/>
  <c r="K261" i="1"/>
  <c r="M261" i="1"/>
  <c r="P261" i="1"/>
  <c r="R261" i="1"/>
  <c r="S261" i="1"/>
  <c r="T261" i="1"/>
  <c r="U261" i="1"/>
  <c r="X261" i="1"/>
  <c r="Y261" i="1"/>
  <c r="Z261" i="1"/>
  <c r="AA261" i="1"/>
  <c r="AB261" i="1"/>
  <c r="AC261" i="1"/>
  <c r="AD261" i="1"/>
  <c r="AE261" i="1"/>
  <c r="AF261" i="1"/>
  <c r="AG261" i="1"/>
  <c r="AH261" i="1"/>
  <c r="AI261" i="1"/>
  <c r="AJ261" i="1"/>
  <c r="AK261" i="1"/>
  <c r="C242" i="1"/>
  <c r="H242" i="1"/>
  <c r="I242" i="1"/>
  <c r="J242" i="1"/>
  <c r="K242" i="1"/>
  <c r="M242" i="1"/>
  <c r="P242" i="1"/>
  <c r="R242" i="1"/>
  <c r="S242" i="1"/>
  <c r="T242" i="1"/>
  <c r="U242" i="1"/>
  <c r="X242" i="1"/>
  <c r="Y242" i="1"/>
  <c r="Z242" i="1"/>
  <c r="AA242" i="1"/>
  <c r="AB242" i="1"/>
  <c r="AC242" i="1"/>
  <c r="AD242" i="1"/>
  <c r="AE242" i="1"/>
  <c r="AF242" i="1"/>
  <c r="AG242" i="1"/>
  <c r="AH242" i="1"/>
  <c r="AI242" i="1"/>
  <c r="AJ242" i="1"/>
  <c r="AK242" i="1"/>
  <c r="C243" i="1"/>
  <c r="H243" i="1"/>
  <c r="I243" i="1"/>
  <c r="J243" i="1"/>
  <c r="K243" i="1"/>
  <c r="M243" i="1"/>
  <c r="P243" i="1"/>
  <c r="R243" i="1"/>
  <c r="S243" i="1"/>
  <c r="T243" i="1"/>
  <c r="U243" i="1"/>
  <c r="X243" i="1"/>
  <c r="Y243" i="1"/>
  <c r="Z243" i="1"/>
  <c r="AA243" i="1"/>
  <c r="AB243" i="1"/>
  <c r="AC243" i="1"/>
  <c r="AD243" i="1"/>
  <c r="AE243" i="1"/>
  <c r="AF243" i="1"/>
  <c r="AG243" i="1"/>
  <c r="AH243" i="1"/>
  <c r="AI243" i="1"/>
  <c r="AJ243" i="1"/>
  <c r="AK243" i="1"/>
  <c r="C244" i="1"/>
  <c r="H244" i="1"/>
  <c r="I244" i="1"/>
  <c r="J244" i="1"/>
  <c r="K244" i="1"/>
  <c r="M244" i="1"/>
  <c r="P244" i="1"/>
  <c r="R244" i="1"/>
  <c r="S244" i="1"/>
  <c r="T244" i="1"/>
  <c r="U244" i="1"/>
  <c r="X244" i="1"/>
  <c r="Y244" i="1"/>
  <c r="Z244" i="1"/>
  <c r="AA244" i="1"/>
  <c r="AB244" i="1"/>
  <c r="AC244" i="1"/>
  <c r="AD244" i="1"/>
  <c r="AE244" i="1"/>
  <c r="AF244" i="1"/>
  <c r="AG244" i="1"/>
  <c r="AH244" i="1"/>
  <c r="AI244" i="1"/>
  <c r="AJ244" i="1"/>
  <c r="AK244" i="1"/>
  <c r="C245" i="1"/>
  <c r="H245" i="1"/>
  <c r="I245" i="1"/>
  <c r="J245" i="1"/>
  <c r="K245" i="1"/>
  <c r="M245" i="1"/>
  <c r="P245" i="1"/>
  <c r="R245" i="1"/>
  <c r="S245" i="1"/>
  <c r="T245" i="1"/>
  <c r="U245" i="1"/>
  <c r="X245" i="1"/>
  <c r="Y245" i="1"/>
  <c r="Z245" i="1"/>
  <c r="AA245" i="1"/>
  <c r="AB245" i="1"/>
  <c r="AC245" i="1"/>
  <c r="AD245" i="1"/>
  <c r="AE245" i="1"/>
  <c r="AF245" i="1"/>
  <c r="AG245" i="1"/>
  <c r="AH245" i="1"/>
  <c r="AI245" i="1"/>
  <c r="AJ245" i="1"/>
  <c r="AK245" i="1"/>
  <c r="C246" i="1"/>
  <c r="H246" i="1"/>
  <c r="I246" i="1"/>
  <c r="J246" i="1"/>
  <c r="K246" i="1"/>
  <c r="M246" i="1"/>
  <c r="P246" i="1"/>
  <c r="R246" i="1"/>
  <c r="S246" i="1"/>
  <c r="T246" i="1"/>
  <c r="U246" i="1"/>
  <c r="X246" i="1"/>
  <c r="Y246" i="1"/>
  <c r="Z246" i="1"/>
  <c r="AA246" i="1"/>
  <c r="AB246" i="1"/>
  <c r="AC246" i="1"/>
  <c r="AD246" i="1"/>
  <c r="AE246" i="1"/>
  <c r="AF246" i="1"/>
  <c r="AG246" i="1"/>
  <c r="AH246" i="1"/>
  <c r="AI246" i="1"/>
  <c r="AJ246" i="1"/>
  <c r="AK246" i="1"/>
  <c r="C247" i="1"/>
  <c r="H247" i="1"/>
  <c r="I247" i="1"/>
  <c r="J247" i="1"/>
  <c r="K247" i="1"/>
  <c r="M247" i="1"/>
  <c r="P247" i="1"/>
  <c r="R247" i="1"/>
  <c r="S247" i="1"/>
  <c r="T247" i="1"/>
  <c r="U247" i="1"/>
  <c r="X247" i="1"/>
  <c r="Y247" i="1"/>
  <c r="Z247" i="1"/>
  <c r="AA247" i="1"/>
  <c r="AB247" i="1"/>
  <c r="AC247" i="1"/>
  <c r="AD247" i="1"/>
  <c r="AE247" i="1"/>
  <c r="AF247" i="1"/>
  <c r="AG247" i="1"/>
  <c r="AH247" i="1"/>
  <c r="AI247" i="1"/>
  <c r="AJ247" i="1"/>
  <c r="AK247" i="1"/>
  <c r="C248" i="1"/>
  <c r="H248" i="1"/>
  <c r="I248" i="1"/>
  <c r="J248" i="1"/>
  <c r="K248" i="1"/>
  <c r="M248" i="1"/>
  <c r="P248" i="1"/>
  <c r="R248" i="1"/>
  <c r="S248" i="1"/>
  <c r="T248" i="1"/>
  <c r="U248" i="1"/>
  <c r="X248" i="1"/>
  <c r="Y248" i="1"/>
  <c r="Z248" i="1"/>
  <c r="AA248" i="1"/>
  <c r="AB248" i="1"/>
  <c r="AC248" i="1"/>
  <c r="AD248" i="1"/>
  <c r="AE248" i="1"/>
  <c r="AF248" i="1"/>
  <c r="AG248" i="1"/>
  <c r="AH248" i="1"/>
  <c r="AI248" i="1"/>
  <c r="AJ248" i="1"/>
  <c r="AK248" i="1"/>
  <c r="C249" i="1"/>
  <c r="H249" i="1"/>
  <c r="I249" i="1"/>
  <c r="J249" i="1"/>
  <c r="K249" i="1"/>
  <c r="M249" i="1"/>
  <c r="P249" i="1"/>
  <c r="R249" i="1"/>
  <c r="S249" i="1"/>
  <c r="T249" i="1"/>
  <c r="U249" i="1"/>
  <c r="X249" i="1"/>
  <c r="Y249" i="1"/>
  <c r="Z249" i="1"/>
  <c r="AA249" i="1"/>
  <c r="AB249" i="1"/>
  <c r="AC249" i="1"/>
  <c r="AD249" i="1"/>
  <c r="AE249" i="1"/>
  <c r="AF249" i="1"/>
  <c r="AG249" i="1"/>
  <c r="AH249" i="1"/>
  <c r="AI249" i="1"/>
  <c r="AJ249" i="1"/>
  <c r="AK249" i="1"/>
  <c r="C250" i="1"/>
  <c r="H250" i="1"/>
  <c r="I250" i="1"/>
  <c r="J250" i="1"/>
  <c r="K250" i="1"/>
  <c r="M250" i="1"/>
  <c r="P250" i="1"/>
  <c r="R250" i="1"/>
  <c r="S250" i="1"/>
  <c r="T250" i="1"/>
  <c r="U250" i="1"/>
  <c r="X250" i="1"/>
  <c r="Y250" i="1"/>
  <c r="Z250" i="1"/>
  <c r="AA250" i="1"/>
  <c r="AB250" i="1"/>
  <c r="AC250" i="1"/>
  <c r="AD250" i="1"/>
  <c r="AE250" i="1"/>
  <c r="AF250" i="1"/>
  <c r="AG250" i="1"/>
  <c r="AH250" i="1"/>
  <c r="AI250" i="1"/>
  <c r="AJ250" i="1"/>
  <c r="AK250" i="1"/>
  <c r="C251" i="1"/>
  <c r="H251" i="1"/>
  <c r="I251" i="1"/>
  <c r="J251" i="1"/>
  <c r="K251" i="1"/>
  <c r="M251" i="1"/>
  <c r="P251" i="1"/>
  <c r="R251" i="1"/>
  <c r="S251" i="1"/>
  <c r="T251" i="1"/>
  <c r="U251" i="1"/>
  <c r="X251" i="1"/>
  <c r="Y251" i="1"/>
  <c r="Z251" i="1"/>
  <c r="AA251" i="1"/>
  <c r="AB251" i="1"/>
  <c r="AC251" i="1"/>
  <c r="AD251" i="1"/>
  <c r="AE251" i="1"/>
  <c r="AF251" i="1"/>
  <c r="AG251" i="1"/>
  <c r="AH251" i="1"/>
  <c r="AI251" i="1"/>
  <c r="AJ251" i="1"/>
  <c r="AK251" i="1"/>
  <c r="C232" i="1"/>
  <c r="H232" i="1"/>
  <c r="I232" i="1"/>
  <c r="J232" i="1"/>
  <c r="K232" i="1"/>
  <c r="M232" i="1"/>
  <c r="P232" i="1"/>
  <c r="R232" i="1"/>
  <c r="S232" i="1"/>
  <c r="T232" i="1"/>
  <c r="U232" i="1"/>
  <c r="X232" i="1"/>
  <c r="Y232" i="1"/>
  <c r="Z232" i="1"/>
  <c r="AA232" i="1"/>
  <c r="AB232" i="1"/>
  <c r="AC232" i="1"/>
  <c r="AD232" i="1"/>
  <c r="AE232" i="1"/>
  <c r="AF232" i="1"/>
  <c r="AG232" i="1"/>
  <c r="AH232" i="1"/>
  <c r="AI232" i="1"/>
  <c r="AJ232" i="1"/>
  <c r="AK232" i="1"/>
  <c r="C233" i="1"/>
  <c r="H233" i="1"/>
  <c r="I233" i="1"/>
  <c r="J233" i="1"/>
  <c r="K233" i="1"/>
  <c r="M233" i="1"/>
  <c r="P233" i="1"/>
  <c r="R233" i="1"/>
  <c r="S233" i="1"/>
  <c r="T233" i="1"/>
  <c r="U233" i="1"/>
  <c r="X233" i="1"/>
  <c r="Y233" i="1"/>
  <c r="Z233" i="1"/>
  <c r="AA233" i="1"/>
  <c r="AB233" i="1"/>
  <c r="AC233" i="1"/>
  <c r="AD233" i="1"/>
  <c r="AE233" i="1"/>
  <c r="AF233" i="1"/>
  <c r="AG233" i="1"/>
  <c r="AH233" i="1"/>
  <c r="AI233" i="1"/>
  <c r="AJ233" i="1"/>
  <c r="AK233" i="1"/>
  <c r="C234" i="1"/>
  <c r="H234" i="1"/>
  <c r="I234" i="1"/>
  <c r="J234" i="1"/>
  <c r="K234" i="1"/>
  <c r="M234" i="1"/>
  <c r="P234" i="1"/>
  <c r="R234" i="1"/>
  <c r="S234" i="1"/>
  <c r="T234" i="1"/>
  <c r="U234" i="1"/>
  <c r="X234" i="1"/>
  <c r="Y234" i="1"/>
  <c r="Z234" i="1"/>
  <c r="AA234" i="1"/>
  <c r="AB234" i="1"/>
  <c r="AC234" i="1"/>
  <c r="AD234" i="1"/>
  <c r="AE234" i="1"/>
  <c r="AF234" i="1"/>
  <c r="AG234" i="1"/>
  <c r="AH234" i="1"/>
  <c r="AI234" i="1"/>
  <c r="AJ234" i="1"/>
  <c r="AK234" i="1"/>
  <c r="C235" i="1"/>
  <c r="H235" i="1"/>
  <c r="I235" i="1"/>
  <c r="J235" i="1"/>
  <c r="K235" i="1"/>
  <c r="M235" i="1"/>
  <c r="P235" i="1"/>
  <c r="R235" i="1"/>
  <c r="S235" i="1"/>
  <c r="T235" i="1"/>
  <c r="U235" i="1"/>
  <c r="X235" i="1"/>
  <c r="Y235" i="1"/>
  <c r="Z235" i="1"/>
  <c r="AA235" i="1"/>
  <c r="AB235" i="1"/>
  <c r="AC235" i="1"/>
  <c r="AD235" i="1"/>
  <c r="AE235" i="1"/>
  <c r="AF235" i="1"/>
  <c r="AG235" i="1"/>
  <c r="AH235" i="1"/>
  <c r="AI235" i="1"/>
  <c r="AJ235" i="1"/>
  <c r="AK235" i="1"/>
  <c r="C236" i="1"/>
  <c r="H236" i="1"/>
  <c r="I236" i="1"/>
  <c r="J236" i="1"/>
  <c r="K236" i="1"/>
  <c r="M236" i="1"/>
  <c r="P236" i="1"/>
  <c r="R236" i="1"/>
  <c r="S236" i="1"/>
  <c r="T236" i="1"/>
  <c r="U236" i="1"/>
  <c r="X236" i="1"/>
  <c r="Y236" i="1"/>
  <c r="Z236" i="1"/>
  <c r="AA236" i="1"/>
  <c r="AB236" i="1"/>
  <c r="AC236" i="1"/>
  <c r="AD236" i="1"/>
  <c r="AE236" i="1"/>
  <c r="AF236" i="1"/>
  <c r="AG236" i="1"/>
  <c r="AH236" i="1"/>
  <c r="AI236" i="1"/>
  <c r="AJ236" i="1"/>
  <c r="AK236" i="1"/>
  <c r="C237" i="1"/>
  <c r="H237" i="1"/>
  <c r="I237" i="1"/>
  <c r="J237" i="1"/>
  <c r="K237" i="1"/>
  <c r="M237" i="1"/>
  <c r="P237" i="1"/>
  <c r="R237" i="1"/>
  <c r="S237" i="1"/>
  <c r="T237" i="1"/>
  <c r="U237" i="1"/>
  <c r="X237" i="1"/>
  <c r="Y237" i="1"/>
  <c r="Z237" i="1"/>
  <c r="AA237" i="1"/>
  <c r="AB237" i="1"/>
  <c r="AC237" i="1"/>
  <c r="AD237" i="1"/>
  <c r="AE237" i="1"/>
  <c r="AF237" i="1"/>
  <c r="AG237" i="1"/>
  <c r="AH237" i="1"/>
  <c r="AI237" i="1"/>
  <c r="AJ237" i="1"/>
  <c r="AK237" i="1"/>
  <c r="C238" i="1"/>
  <c r="H238" i="1"/>
  <c r="I238" i="1"/>
  <c r="J238" i="1"/>
  <c r="K238" i="1"/>
  <c r="M238" i="1"/>
  <c r="P238" i="1"/>
  <c r="R238" i="1"/>
  <c r="S238" i="1"/>
  <c r="T238" i="1"/>
  <c r="U238" i="1"/>
  <c r="X238" i="1"/>
  <c r="Y238" i="1"/>
  <c r="Z238" i="1"/>
  <c r="AA238" i="1"/>
  <c r="AB238" i="1"/>
  <c r="AC238" i="1"/>
  <c r="AD238" i="1"/>
  <c r="AE238" i="1"/>
  <c r="AF238" i="1"/>
  <c r="AG238" i="1"/>
  <c r="AH238" i="1"/>
  <c r="AI238" i="1"/>
  <c r="AJ238" i="1"/>
  <c r="AK238" i="1"/>
  <c r="C239" i="1"/>
  <c r="H239" i="1"/>
  <c r="I239" i="1"/>
  <c r="J239" i="1"/>
  <c r="K239" i="1"/>
  <c r="M239" i="1"/>
  <c r="P239" i="1"/>
  <c r="R239" i="1"/>
  <c r="S239" i="1"/>
  <c r="T239" i="1"/>
  <c r="U239" i="1"/>
  <c r="X239" i="1"/>
  <c r="Y239" i="1"/>
  <c r="Z239" i="1"/>
  <c r="AA239" i="1"/>
  <c r="AB239" i="1"/>
  <c r="AC239" i="1"/>
  <c r="AD239" i="1"/>
  <c r="AE239" i="1"/>
  <c r="AF239" i="1"/>
  <c r="AG239" i="1"/>
  <c r="AH239" i="1"/>
  <c r="AI239" i="1"/>
  <c r="AJ239" i="1"/>
  <c r="AK239" i="1"/>
  <c r="C240" i="1"/>
  <c r="H240" i="1"/>
  <c r="I240" i="1"/>
  <c r="J240" i="1"/>
  <c r="K240" i="1"/>
  <c r="M240" i="1"/>
  <c r="P240" i="1"/>
  <c r="R240" i="1"/>
  <c r="S240" i="1"/>
  <c r="T240" i="1"/>
  <c r="U240" i="1"/>
  <c r="X240" i="1"/>
  <c r="Y240" i="1"/>
  <c r="Z240" i="1"/>
  <c r="AA240" i="1"/>
  <c r="AB240" i="1"/>
  <c r="AC240" i="1"/>
  <c r="AD240" i="1"/>
  <c r="AE240" i="1"/>
  <c r="AF240" i="1"/>
  <c r="AG240" i="1"/>
  <c r="AH240" i="1"/>
  <c r="AI240" i="1"/>
  <c r="AJ240" i="1"/>
  <c r="AK240" i="1"/>
  <c r="C241" i="1"/>
  <c r="H241" i="1"/>
  <c r="I241" i="1"/>
  <c r="J241" i="1"/>
  <c r="K241" i="1"/>
  <c r="M241" i="1"/>
  <c r="P241" i="1"/>
  <c r="R241" i="1"/>
  <c r="S241" i="1"/>
  <c r="T241" i="1"/>
  <c r="U241" i="1"/>
  <c r="X241" i="1"/>
  <c r="Y241" i="1"/>
  <c r="Z241" i="1"/>
  <c r="AA241" i="1"/>
  <c r="AB241" i="1"/>
  <c r="AC241" i="1"/>
  <c r="AD241" i="1"/>
  <c r="AE241" i="1"/>
  <c r="AF241" i="1"/>
  <c r="AG241" i="1"/>
  <c r="AH241" i="1"/>
  <c r="AI241" i="1"/>
  <c r="AJ241" i="1"/>
  <c r="AK241" i="1"/>
  <c r="C222" i="1"/>
  <c r="H222" i="1"/>
  <c r="I222" i="1"/>
  <c r="J222" i="1"/>
  <c r="K222" i="1"/>
  <c r="M222" i="1"/>
  <c r="P222" i="1"/>
  <c r="R222" i="1"/>
  <c r="S222" i="1"/>
  <c r="T222" i="1"/>
  <c r="U222" i="1"/>
  <c r="X222" i="1"/>
  <c r="Y222" i="1"/>
  <c r="Z222" i="1"/>
  <c r="AA222" i="1"/>
  <c r="AB222" i="1"/>
  <c r="AC222" i="1"/>
  <c r="AD222" i="1"/>
  <c r="AE222" i="1"/>
  <c r="AF222" i="1"/>
  <c r="AG222" i="1"/>
  <c r="AH222" i="1"/>
  <c r="AI222" i="1"/>
  <c r="AJ222" i="1"/>
  <c r="AK222" i="1"/>
  <c r="C223" i="1"/>
  <c r="H223" i="1"/>
  <c r="I223" i="1"/>
  <c r="J223" i="1"/>
  <c r="K223" i="1"/>
  <c r="M223" i="1"/>
  <c r="P223" i="1"/>
  <c r="R223" i="1"/>
  <c r="S223" i="1"/>
  <c r="T223" i="1"/>
  <c r="U223" i="1"/>
  <c r="X223" i="1"/>
  <c r="Y223" i="1"/>
  <c r="Z223" i="1"/>
  <c r="AA223" i="1"/>
  <c r="AB223" i="1"/>
  <c r="AC223" i="1"/>
  <c r="AD223" i="1"/>
  <c r="AE223" i="1"/>
  <c r="AF223" i="1"/>
  <c r="AG223" i="1"/>
  <c r="AH223" i="1"/>
  <c r="AI223" i="1"/>
  <c r="AJ223" i="1"/>
  <c r="AK223" i="1"/>
  <c r="C224" i="1"/>
  <c r="H224" i="1"/>
  <c r="I224" i="1"/>
  <c r="J224" i="1"/>
  <c r="K224" i="1"/>
  <c r="M224" i="1"/>
  <c r="P224" i="1"/>
  <c r="R224" i="1"/>
  <c r="S224" i="1"/>
  <c r="T224" i="1"/>
  <c r="U224" i="1"/>
  <c r="X224" i="1"/>
  <c r="Y224" i="1"/>
  <c r="Z224" i="1"/>
  <c r="AA224" i="1"/>
  <c r="AB224" i="1"/>
  <c r="AC224" i="1"/>
  <c r="AD224" i="1"/>
  <c r="AE224" i="1"/>
  <c r="AF224" i="1"/>
  <c r="AG224" i="1"/>
  <c r="AH224" i="1"/>
  <c r="AI224" i="1"/>
  <c r="AJ224" i="1"/>
  <c r="AK224" i="1"/>
  <c r="C225" i="1"/>
  <c r="H225" i="1"/>
  <c r="I225" i="1"/>
  <c r="J225" i="1"/>
  <c r="K225" i="1"/>
  <c r="M225" i="1"/>
  <c r="P225" i="1"/>
  <c r="R225" i="1"/>
  <c r="S225" i="1"/>
  <c r="T225" i="1"/>
  <c r="U225" i="1"/>
  <c r="X225" i="1"/>
  <c r="Y225" i="1"/>
  <c r="Z225" i="1"/>
  <c r="AA225" i="1"/>
  <c r="AB225" i="1"/>
  <c r="AC225" i="1"/>
  <c r="AD225" i="1"/>
  <c r="AE225" i="1"/>
  <c r="AF225" i="1"/>
  <c r="AG225" i="1"/>
  <c r="AH225" i="1"/>
  <c r="AI225" i="1"/>
  <c r="AJ225" i="1"/>
  <c r="AK225" i="1"/>
  <c r="C226" i="1"/>
  <c r="H226" i="1"/>
  <c r="I226" i="1"/>
  <c r="J226" i="1"/>
  <c r="K226" i="1"/>
  <c r="M226" i="1"/>
  <c r="P226" i="1"/>
  <c r="R226" i="1"/>
  <c r="S226" i="1"/>
  <c r="T226" i="1"/>
  <c r="U226" i="1"/>
  <c r="X226" i="1"/>
  <c r="Y226" i="1"/>
  <c r="Z226" i="1"/>
  <c r="AA226" i="1"/>
  <c r="AB226" i="1"/>
  <c r="AC226" i="1"/>
  <c r="AD226" i="1"/>
  <c r="AE226" i="1"/>
  <c r="AF226" i="1"/>
  <c r="AG226" i="1"/>
  <c r="AH226" i="1"/>
  <c r="AI226" i="1"/>
  <c r="AJ226" i="1"/>
  <c r="AK226" i="1"/>
  <c r="C227" i="1"/>
  <c r="H227" i="1"/>
  <c r="I227" i="1"/>
  <c r="J227" i="1"/>
  <c r="K227" i="1"/>
  <c r="M227" i="1"/>
  <c r="P227" i="1"/>
  <c r="R227" i="1"/>
  <c r="S227" i="1"/>
  <c r="T227" i="1"/>
  <c r="U227" i="1"/>
  <c r="X227" i="1"/>
  <c r="Y227" i="1"/>
  <c r="Z227" i="1"/>
  <c r="AA227" i="1"/>
  <c r="AB227" i="1"/>
  <c r="AC227" i="1"/>
  <c r="AD227" i="1"/>
  <c r="AE227" i="1"/>
  <c r="AF227" i="1"/>
  <c r="AG227" i="1"/>
  <c r="AH227" i="1"/>
  <c r="AI227" i="1"/>
  <c r="AJ227" i="1"/>
  <c r="AK227" i="1"/>
  <c r="C228" i="1"/>
  <c r="H228" i="1"/>
  <c r="I228" i="1"/>
  <c r="J228" i="1"/>
  <c r="K228" i="1"/>
  <c r="M228" i="1"/>
  <c r="P228" i="1"/>
  <c r="R228" i="1"/>
  <c r="S228" i="1"/>
  <c r="T228" i="1"/>
  <c r="U228" i="1"/>
  <c r="X228" i="1"/>
  <c r="Y228" i="1"/>
  <c r="Z228" i="1"/>
  <c r="AA228" i="1"/>
  <c r="AB228" i="1"/>
  <c r="AC228" i="1"/>
  <c r="AD228" i="1"/>
  <c r="AE228" i="1"/>
  <c r="AF228" i="1"/>
  <c r="AG228" i="1"/>
  <c r="AH228" i="1"/>
  <c r="AI228" i="1"/>
  <c r="AJ228" i="1"/>
  <c r="AK228" i="1"/>
  <c r="C229" i="1"/>
  <c r="H229" i="1"/>
  <c r="I229" i="1"/>
  <c r="J229" i="1"/>
  <c r="K229" i="1"/>
  <c r="M229" i="1"/>
  <c r="P229" i="1"/>
  <c r="R229" i="1"/>
  <c r="S229" i="1"/>
  <c r="T229" i="1"/>
  <c r="U229" i="1"/>
  <c r="X229" i="1"/>
  <c r="Y229" i="1"/>
  <c r="Z229" i="1"/>
  <c r="AA229" i="1"/>
  <c r="AB229" i="1"/>
  <c r="AC229" i="1"/>
  <c r="AD229" i="1"/>
  <c r="AE229" i="1"/>
  <c r="AF229" i="1"/>
  <c r="AG229" i="1"/>
  <c r="AH229" i="1"/>
  <c r="AI229" i="1"/>
  <c r="AJ229" i="1"/>
  <c r="AK229" i="1"/>
  <c r="C230" i="1"/>
  <c r="H230" i="1"/>
  <c r="I230" i="1"/>
  <c r="J230" i="1"/>
  <c r="K230" i="1"/>
  <c r="M230" i="1"/>
  <c r="P230" i="1"/>
  <c r="R230" i="1"/>
  <c r="S230" i="1"/>
  <c r="T230" i="1"/>
  <c r="U230" i="1"/>
  <c r="X230" i="1"/>
  <c r="Y230" i="1"/>
  <c r="Z230" i="1"/>
  <c r="AA230" i="1"/>
  <c r="AB230" i="1"/>
  <c r="AC230" i="1"/>
  <c r="AD230" i="1"/>
  <c r="AE230" i="1"/>
  <c r="AF230" i="1"/>
  <c r="AG230" i="1"/>
  <c r="AH230" i="1"/>
  <c r="AI230" i="1"/>
  <c r="AJ230" i="1"/>
  <c r="AK230" i="1"/>
  <c r="C231" i="1"/>
  <c r="H231" i="1"/>
  <c r="I231" i="1"/>
  <c r="J231" i="1"/>
  <c r="K231" i="1"/>
  <c r="M231" i="1"/>
  <c r="P231" i="1"/>
  <c r="R231" i="1"/>
  <c r="S231" i="1"/>
  <c r="T231" i="1"/>
  <c r="U231" i="1"/>
  <c r="X231" i="1"/>
  <c r="Y231" i="1"/>
  <c r="Z231" i="1"/>
  <c r="AA231" i="1"/>
  <c r="AB231" i="1"/>
  <c r="AC231" i="1"/>
  <c r="AD231" i="1"/>
  <c r="AE231" i="1"/>
  <c r="AF231" i="1"/>
  <c r="AG231" i="1"/>
  <c r="AH231" i="1"/>
  <c r="AI231" i="1"/>
  <c r="AJ231" i="1"/>
  <c r="AK231" i="1"/>
  <c r="C212" i="1"/>
  <c r="H212" i="1"/>
  <c r="I212" i="1"/>
  <c r="J212" i="1"/>
  <c r="K212" i="1"/>
  <c r="M212" i="1"/>
  <c r="P212" i="1"/>
  <c r="R212" i="1"/>
  <c r="S212" i="1"/>
  <c r="T212" i="1"/>
  <c r="U212" i="1"/>
  <c r="X212" i="1"/>
  <c r="Y212" i="1"/>
  <c r="Z212" i="1"/>
  <c r="AA212" i="1"/>
  <c r="AB212" i="1"/>
  <c r="AC212" i="1"/>
  <c r="AD212" i="1"/>
  <c r="AE212" i="1"/>
  <c r="AF212" i="1"/>
  <c r="AG212" i="1"/>
  <c r="AH212" i="1"/>
  <c r="AI212" i="1"/>
  <c r="AJ212" i="1"/>
  <c r="AK212" i="1"/>
  <c r="C213" i="1"/>
  <c r="H213" i="1"/>
  <c r="I213" i="1"/>
  <c r="J213" i="1"/>
  <c r="K213" i="1"/>
  <c r="M213" i="1"/>
  <c r="P213" i="1"/>
  <c r="R213" i="1"/>
  <c r="S213" i="1"/>
  <c r="T213" i="1"/>
  <c r="U213" i="1"/>
  <c r="X213" i="1"/>
  <c r="Y213" i="1"/>
  <c r="Z213" i="1"/>
  <c r="AA213" i="1"/>
  <c r="AB213" i="1"/>
  <c r="AC213" i="1"/>
  <c r="AD213" i="1"/>
  <c r="AE213" i="1"/>
  <c r="AF213" i="1"/>
  <c r="AG213" i="1"/>
  <c r="AH213" i="1"/>
  <c r="AI213" i="1"/>
  <c r="AJ213" i="1"/>
  <c r="AK213" i="1"/>
  <c r="C214" i="1"/>
  <c r="H214" i="1"/>
  <c r="I214" i="1"/>
  <c r="J214" i="1"/>
  <c r="K214" i="1"/>
  <c r="M214" i="1"/>
  <c r="P214" i="1"/>
  <c r="R214" i="1"/>
  <c r="S214" i="1"/>
  <c r="T214" i="1"/>
  <c r="U214" i="1"/>
  <c r="X214" i="1"/>
  <c r="Y214" i="1"/>
  <c r="Z214" i="1"/>
  <c r="AA214" i="1"/>
  <c r="AB214" i="1"/>
  <c r="AC214" i="1"/>
  <c r="AD214" i="1"/>
  <c r="AE214" i="1"/>
  <c r="AF214" i="1"/>
  <c r="AG214" i="1"/>
  <c r="AH214" i="1"/>
  <c r="AI214" i="1"/>
  <c r="AJ214" i="1"/>
  <c r="AK214" i="1"/>
  <c r="C215" i="1"/>
  <c r="H215" i="1"/>
  <c r="I215" i="1"/>
  <c r="J215" i="1"/>
  <c r="K215" i="1"/>
  <c r="M215" i="1"/>
  <c r="P215" i="1"/>
  <c r="R215" i="1"/>
  <c r="S215" i="1"/>
  <c r="T215" i="1"/>
  <c r="U215" i="1"/>
  <c r="X215" i="1"/>
  <c r="Y215" i="1"/>
  <c r="Z215" i="1"/>
  <c r="AA215" i="1"/>
  <c r="AB215" i="1"/>
  <c r="AC215" i="1"/>
  <c r="AD215" i="1"/>
  <c r="AE215" i="1"/>
  <c r="AF215" i="1"/>
  <c r="AG215" i="1"/>
  <c r="AH215" i="1"/>
  <c r="AI215" i="1"/>
  <c r="AJ215" i="1"/>
  <c r="AK215" i="1"/>
  <c r="C216" i="1"/>
  <c r="H216" i="1"/>
  <c r="I216" i="1"/>
  <c r="J216" i="1"/>
  <c r="K216" i="1"/>
  <c r="M216" i="1"/>
  <c r="P216" i="1"/>
  <c r="R216" i="1"/>
  <c r="S216" i="1"/>
  <c r="T216" i="1"/>
  <c r="U216" i="1"/>
  <c r="X216" i="1"/>
  <c r="Y216" i="1"/>
  <c r="Z216" i="1"/>
  <c r="AA216" i="1"/>
  <c r="AB216" i="1"/>
  <c r="AC216" i="1"/>
  <c r="AD216" i="1"/>
  <c r="AE216" i="1"/>
  <c r="AF216" i="1"/>
  <c r="AG216" i="1"/>
  <c r="AH216" i="1"/>
  <c r="AI216" i="1"/>
  <c r="AJ216" i="1"/>
  <c r="AK216" i="1"/>
  <c r="C217" i="1"/>
  <c r="H217" i="1"/>
  <c r="I217" i="1"/>
  <c r="J217" i="1"/>
  <c r="K217" i="1"/>
  <c r="M217" i="1"/>
  <c r="P217" i="1"/>
  <c r="R217" i="1"/>
  <c r="S217" i="1"/>
  <c r="T217" i="1"/>
  <c r="U217" i="1"/>
  <c r="X217" i="1"/>
  <c r="Y217" i="1"/>
  <c r="Z217" i="1"/>
  <c r="AA217" i="1"/>
  <c r="AB217" i="1"/>
  <c r="AC217" i="1"/>
  <c r="AD217" i="1"/>
  <c r="AE217" i="1"/>
  <c r="AF217" i="1"/>
  <c r="AG217" i="1"/>
  <c r="AH217" i="1"/>
  <c r="AI217" i="1"/>
  <c r="AJ217" i="1"/>
  <c r="AK217" i="1"/>
  <c r="C218" i="1"/>
  <c r="H218" i="1"/>
  <c r="I218" i="1"/>
  <c r="J218" i="1"/>
  <c r="K218" i="1"/>
  <c r="M218" i="1"/>
  <c r="P218" i="1"/>
  <c r="R218" i="1"/>
  <c r="S218" i="1"/>
  <c r="T218" i="1"/>
  <c r="U218" i="1"/>
  <c r="X218" i="1"/>
  <c r="Y218" i="1"/>
  <c r="Z218" i="1"/>
  <c r="AA218" i="1"/>
  <c r="AB218" i="1"/>
  <c r="AC218" i="1"/>
  <c r="AD218" i="1"/>
  <c r="AE218" i="1"/>
  <c r="AF218" i="1"/>
  <c r="AG218" i="1"/>
  <c r="AH218" i="1"/>
  <c r="AI218" i="1"/>
  <c r="AJ218" i="1"/>
  <c r="AK218" i="1"/>
  <c r="C219" i="1"/>
  <c r="H219" i="1"/>
  <c r="I219" i="1"/>
  <c r="J219" i="1"/>
  <c r="K219" i="1"/>
  <c r="M219" i="1"/>
  <c r="P219" i="1"/>
  <c r="R219" i="1"/>
  <c r="S219" i="1"/>
  <c r="T219" i="1"/>
  <c r="U219" i="1"/>
  <c r="X219" i="1"/>
  <c r="Y219" i="1"/>
  <c r="Z219" i="1"/>
  <c r="AA219" i="1"/>
  <c r="AB219" i="1"/>
  <c r="AC219" i="1"/>
  <c r="AD219" i="1"/>
  <c r="AE219" i="1"/>
  <c r="AF219" i="1"/>
  <c r="AG219" i="1"/>
  <c r="AH219" i="1"/>
  <c r="AI219" i="1"/>
  <c r="AJ219" i="1"/>
  <c r="AK219" i="1"/>
  <c r="C220" i="1"/>
  <c r="H220" i="1"/>
  <c r="I220" i="1"/>
  <c r="J220" i="1"/>
  <c r="K220" i="1"/>
  <c r="M220" i="1"/>
  <c r="P220" i="1"/>
  <c r="R220" i="1"/>
  <c r="S220" i="1"/>
  <c r="T220" i="1"/>
  <c r="U220" i="1"/>
  <c r="X220" i="1"/>
  <c r="Y220" i="1"/>
  <c r="Z220" i="1"/>
  <c r="AA220" i="1"/>
  <c r="AB220" i="1"/>
  <c r="AC220" i="1"/>
  <c r="AD220" i="1"/>
  <c r="AE220" i="1"/>
  <c r="AF220" i="1"/>
  <c r="AG220" i="1"/>
  <c r="AH220" i="1"/>
  <c r="AI220" i="1"/>
  <c r="AJ220" i="1"/>
  <c r="AK220" i="1"/>
  <c r="C221" i="1"/>
  <c r="H221" i="1"/>
  <c r="I221" i="1"/>
  <c r="J221" i="1"/>
  <c r="K221" i="1"/>
  <c r="M221" i="1"/>
  <c r="P221" i="1"/>
  <c r="R221" i="1"/>
  <c r="S221" i="1"/>
  <c r="T221" i="1"/>
  <c r="U221" i="1"/>
  <c r="X221" i="1"/>
  <c r="Y221" i="1"/>
  <c r="Z221" i="1"/>
  <c r="AA221" i="1"/>
  <c r="AB221" i="1"/>
  <c r="AC221" i="1"/>
  <c r="AD221" i="1"/>
  <c r="AE221" i="1"/>
  <c r="AF221" i="1"/>
  <c r="AG221" i="1"/>
  <c r="AH221" i="1"/>
  <c r="AI221" i="1"/>
  <c r="AJ221" i="1"/>
  <c r="AK221" i="1"/>
  <c r="C202" i="1"/>
  <c r="H202" i="1"/>
  <c r="I202" i="1"/>
  <c r="J202" i="1"/>
  <c r="K202" i="1"/>
  <c r="M202" i="1"/>
  <c r="P202" i="1"/>
  <c r="R202" i="1"/>
  <c r="S202" i="1"/>
  <c r="T202" i="1"/>
  <c r="U202" i="1"/>
  <c r="X202" i="1"/>
  <c r="Y202" i="1"/>
  <c r="Z202" i="1"/>
  <c r="AA202" i="1"/>
  <c r="AB202" i="1"/>
  <c r="AC202" i="1"/>
  <c r="AD202" i="1"/>
  <c r="AE202" i="1"/>
  <c r="AF202" i="1"/>
  <c r="AG202" i="1"/>
  <c r="AH202" i="1"/>
  <c r="AI202" i="1"/>
  <c r="AJ202" i="1"/>
  <c r="AK202" i="1"/>
  <c r="C203" i="1"/>
  <c r="H203" i="1"/>
  <c r="I203" i="1"/>
  <c r="J203" i="1"/>
  <c r="K203" i="1"/>
  <c r="M203" i="1"/>
  <c r="P203" i="1"/>
  <c r="R203" i="1"/>
  <c r="S203" i="1"/>
  <c r="T203" i="1"/>
  <c r="U203" i="1"/>
  <c r="X203" i="1"/>
  <c r="Y203" i="1"/>
  <c r="Z203" i="1"/>
  <c r="AA203" i="1"/>
  <c r="AB203" i="1"/>
  <c r="AC203" i="1"/>
  <c r="AD203" i="1"/>
  <c r="AE203" i="1"/>
  <c r="AF203" i="1"/>
  <c r="AG203" i="1"/>
  <c r="AH203" i="1"/>
  <c r="AI203" i="1"/>
  <c r="AJ203" i="1"/>
  <c r="AK203" i="1"/>
  <c r="C204" i="1"/>
  <c r="H204" i="1"/>
  <c r="I204" i="1"/>
  <c r="J204" i="1"/>
  <c r="K204" i="1"/>
  <c r="M204" i="1"/>
  <c r="P204" i="1"/>
  <c r="R204" i="1"/>
  <c r="S204" i="1"/>
  <c r="T204" i="1"/>
  <c r="U204" i="1"/>
  <c r="X204" i="1"/>
  <c r="Y204" i="1"/>
  <c r="Z204" i="1"/>
  <c r="AA204" i="1"/>
  <c r="AB204" i="1"/>
  <c r="AC204" i="1"/>
  <c r="AD204" i="1"/>
  <c r="AE204" i="1"/>
  <c r="AF204" i="1"/>
  <c r="AG204" i="1"/>
  <c r="AH204" i="1"/>
  <c r="AI204" i="1"/>
  <c r="AJ204" i="1"/>
  <c r="AK204" i="1"/>
  <c r="C205" i="1"/>
  <c r="H205" i="1"/>
  <c r="I205" i="1"/>
  <c r="J205" i="1"/>
  <c r="K205" i="1"/>
  <c r="M205" i="1"/>
  <c r="P205" i="1"/>
  <c r="R205" i="1"/>
  <c r="S205" i="1"/>
  <c r="T205" i="1"/>
  <c r="U205" i="1"/>
  <c r="X205" i="1"/>
  <c r="Y205" i="1"/>
  <c r="Z205" i="1"/>
  <c r="AA205" i="1"/>
  <c r="AB205" i="1"/>
  <c r="AC205" i="1"/>
  <c r="AD205" i="1"/>
  <c r="AE205" i="1"/>
  <c r="AF205" i="1"/>
  <c r="AG205" i="1"/>
  <c r="AH205" i="1"/>
  <c r="AI205" i="1"/>
  <c r="AJ205" i="1"/>
  <c r="AK205" i="1"/>
  <c r="C206" i="1"/>
  <c r="H206" i="1"/>
  <c r="I206" i="1"/>
  <c r="J206" i="1"/>
  <c r="K206" i="1"/>
  <c r="M206" i="1"/>
  <c r="P206" i="1"/>
  <c r="R206" i="1"/>
  <c r="S206" i="1"/>
  <c r="T206" i="1"/>
  <c r="U206" i="1"/>
  <c r="X206" i="1"/>
  <c r="Y206" i="1"/>
  <c r="Z206" i="1"/>
  <c r="AA206" i="1"/>
  <c r="AB206" i="1"/>
  <c r="AC206" i="1"/>
  <c r="AD206" i="1"/>
  <c r="AE206" i="1"/>
  <c r="AF206" i="1"/>
  <c r="AG206" i="1"/>
  <c r="AH206" i="1"/>
  <c r="AI206" i="1"/>
  <c r="AJ206" i="1"/>
  <c r="AK206" i="1"/>
  <c r="C207" i="1"/>
  <c r="H207" i="1"/>
  <c r="I207" i="1"/>
  <c r="J207" i="1"/>
  <c r="K207" i="1"/>
  <c r="M207" i="1"/>
  <c r="P207" i="1"/>
  <c r="R207" i="1"/>
  <c r="S207" i="1"/>
  <c r="T207" i="1"/>
  <c r="U207" i="1"/>
  <c r="X207" i="1"/>
  <c r="Y207" i="1"/>
  <c r="Z207" i="1"/>
  <c r="AA207" i="1"/>
  <c r="AB207" i="1"/>
  <c r="AC207" i="1"/>
  <c r="AD207" i="1"/>
  <c r="AE207" i="1"/>
  <c r="AF207" i="1"/>
  <c r="AG207" i="1"/>
  <c r="AH207" i="1"/>
  <c r="AI207" i="1"/>
  <c r="AJ207" i="1"/>
  <c r="AK207" i="1"/>
  <c r="C208" i="1"/>
  <c r="H208" i="1"/>
  <c r="I208" i="1"/>
  <c r="J208" i="1"/>
  <c r="K208" i="1"/>
  <c r="M208" i="1"/>
  <c r="P208" i="1"/>
  <c r="R208" i="1"/>
  <c r="S208" i="1"/>
  <c r="T208" i="1"/>
  <c r="U208" i="1"/>
  <c r="X208" i="1"/>
  <c r="Y208" i="1"/>
  <c r="Z208" i="1"/>
  <c r="AA208" i="1"/>
  <c r="AB208" i="1"/>
  <c r="AC208" i="1"/>
  <c r="AD208" i="1"/>
  <c r="AE208" i="1"/>
  <c r="AF208" i="1"/>
  <c r="AG208" i="1"/>
  <c r="AH208" i="1"/>
  <c r="AI208" i="1"/>
  <c r="AJ208" i="1"/>
  <c r="AK208" i="1"/>
  <c r="C209" i="1"/>
  <c r="H209" i="1"/>
  <c r="I209" i="1"/>
  <c r="J209" i="1"/>
  <c r="K209" i="1"/>
  <c r="M209" i="1"/>
  <c r="P209" i="1"/>
  <c r="R209" i="1"/>
  <c r="S209" i="1"/>
  <c r="T209" i="1"/>
  <c r="U209" i="1"/>
  <c r="X209" i="1"/>
  <c r="Y209" i="1"/>
  <c r="Z209" i="1"/>
  <c r="AA209" i="1"/>
  <c r="AB209" i="1"/>
  <c r="AC209" i="1"/>
  <c r="AD209" i="1"/>
  <c r="AE209" i="1"/>
  <c r="AF209" i="1"/>
  <c r="AG209" i="1"/>
  <c r="AH209" i="1"/>
  <c r="AI209" i="1"/>
  <c r="AJ209" i="1"/>
  <c r="AK209" i="1"/>
  <c r="C210" i="1"/>
  <c r="H210" i="1"/>
  <c r="I210" i="1"/>
  <c r="J210" i="1"/>
  <c r="K210" i="1"/>
  <c r="M210" i="1"/>
  <c r="P210" i="1"/>
  <c r="R210" i="1"/>
  <c r="S210" i="1"/>
  <c r="T210" i="1"/>
  <c r="U210" i="1"/>
  <c r="X210" i="1"/>
  <c r="Y210" i="1"/>
  <c r="Z210" i="1"/>
  <c r="AA210" i="1"/>
  <c r="AB210" i="1"/>
  <c r="AC210" i="1"/>
  <c r="AD210" i="1"/>
  <c r="AE210" i="1"/>
  <c r="AF210" i="1"/>
  <c r="AG210" i="1"/>
  <c r="AH210" i="1"/>
  <c r="AI210" i="1"/>
  <c r="AJ210" i="1"/>
  <c r="AK210" i="1"/>
  <c r="C211" i="1"/>
  <c r="H211" i="1"/>
  <c r="I211" i="1"/>
  <c r="J211" i="1"/>
  <c r="K211" i="1"/>
  <c r="M211" i="1"/>
  <c r="P211" i="1"/>
  <c r="R211" i="1"/>
  <c r="S211" i="1"/>
  <c r="T211" i="1"/>
  <c r="U211" i="1"/>
  <c r="X211" i="1"/>
  <c r="Y211" i="1"/>
  <c r="Z211" i="1"/>
  <c r="AA211" i="1"/>
  <c r="AB211" i="1"/>
  <c r="AC211" i="1"/>
  <c r="AD211" i="1"/>
  <c r="AE211" i="1"/>
  <c r="AF211" i="1"/>
  <c r="AG211" i="1"/>
  <c r="AH211" i="1"/>
  <c r="AI211" i="1"/>
  <c r="AJ211" i="1"/>
  <c r="AK211" i="1"/>
  <c r="C192" i="1"/>
  <c r="H192" i="1"/>
  <c r="I192" i="1"/>
  <c r="J192" i="1"/>
  <c r="K192" i="1"/>
  <c r="M192" i="1"/>
  <c r="P192" i="1"/>
  <c r="R192" i="1"/>
  <c r="S192" i="1"/>
  <c r="T192" i="1"/>
  <c r="U192" i="1"/>
  <c r="X192" i="1"/>
  <c r="Y192" i="1"/>
  <c r="Z192" i="1"/>
  <c r="AA192" i="1"/>
  <c r="AB192" i="1"/>
  <c r="AC192" i="1"/>
  <c r="AD192" i="1"/>
  <c r="AE192" i="1"/>
  <c r="AF192" i="1"/>
  <c r="AG192" i="1"/>
  <c r="AH192" i="1"/>
  <c r="AI192" i="1"/>
  <c r="AJ192" i="1"/>
  <c r="AK192" i="1"/>
  <c r="C193" i="1"/>
  <c r="H193" i="1"/>
  <c r="I193" i="1"/>
  <c r="J193" i="1"/>
  <c r="K193" i="1"/>
  <c r="M193" i="1"/>
  <c r="P193" i="1"/>
  <c r="R193" i="1"/>
  <c r="S193" i="1"/>
  <c r="T193" i="1"/>
  <c r="U193" i="1"/>
  <c r="X193" i="1"/>
  <c r="Y193" i="1"/>
  <c r="Z193" i="1"/>
  <c r="AA193" i="1"/>
  <c r="AB193" i="1"/>
  <c r="AC193" i="1"/>
  <c r="AD193" i="1"/>
  <c r="AE193" i="1"/>
  <c r="AF193" i="1"/>
  <c r="AG193" i="1"/>
  <c r="AH193" i="1"/>
  <c r="AI193" i="1"/>
  <c r="AJ193" i="1"/>
  <c r="AK193" i="1"/>
  <c r="C194" i="1"/>
  <c r="H194" i="1"/>
  <c r="I194" i="1"/>
  <c r="J194" i="1"/>
  <c r="K194" i="1"/>
  <c r="M194" i="1"/>
  <c r="P194" i="1"/>
  <c r="R194" i="1"/>
  <c r="S194" i="1"/>
  <c r="T194" i="1"/>
  <c r="U194" i="1"/>
  <c r="X194" i="1"/>
  <c r="Y194" i="1"/>
  <c r="Z194" i="1"/>
  <c r="AA194" i="1"/>
  <c r="AB194" i="1"/>
  <c r="AC194" i="1"/>
  <c r="AD194" i="1"/>
  <c r="AE194" i="1"/>
  <c r="AF194" i="1"/>
  <c r="AG194" i="1"/>
  <c r="AH194" i="1"/>
  <c r="AI194" i="1"/>
  <c r="AJ194" i="1"/>
  <c r="AK194" i="1"/>
  <c r="C195" i="1"/>
  <c r="H195" i="1"/>
  <c r="I195" i="1"/>
  <c r="J195" i="1"/>
  <c r="K195" i="1"/>
  <c r="M195" i="1"/>
  <c r="P195" i="1"/>
  <c r="R195" i="1"/>
  <c r="S195" i="1"/>
  <c r="T195" i="1"/>
  <c r="U195" i="1"/>
  <c r="X195" i="1"/>
  <c r="Y195" i="1"/>
  <c r="Z195" i="1"/>
  <c r="AA195" i="1"/>
  <c r="AB195" i="1"/>
  <c r="AC195" i="1"/>
  <c r="AD195" i="1"/>
  <c r="AE195" i="1"/>
  <c r="AF195" i="1"/>
  <c r="AG195" i="1"/>
  <c r="AH195" i="1"/>
  <c r="AI195" i="1"/>
  <c r="AJ195" i="1"/>
  <c r="AK195" i="1"/>
  <c r="C196" i="1"/>
  <c r="H196" i="1"/>
  <c r="I196" i="1"/>
  <c r="J196" i="1"/>
  <c r="K196" i="1"/>
  <c r="M196" i="1"/>
  <c r="P196" i="1"/>
  <c r="R196" i="1"/>
  <c r="S196" i="1"/>
  <c r="T196" i="1"/>
  <c r="U196" i="1"/>
  <c r="X196" i="1"/>
  <c r="Y196" i="1"/>
  <c r="Z196" i="1"/>
  <c r="AA196" i="1"/>
  <c r="AB196" i="1"/>
  <c r="AC196" i="1"/>
  <c r="AD196" i="1"/>
  <c r="AE196" i="1"/>
  <c r="AF196" i="1"/>
  <c r="AG196" i="1"/>
  <c r="AH196" i="1"/>
  <c r="AI196" i="1"/>
  <c r="AJ196" i="1"/>
  <c r="AK196" i="1"/>
  <c r="C197" i="1"/>
  <c r="H197" i="1"/>
  <c r="I197" i="1"/>
  <c r="J197" i="1"/>
  <c r="K197" i="1"/>
  <c r="M197" i="1"/>
  <c r="P197" i="1"/>
  <c r="R197" i="1"/>
  <c r="S197" i="1"/>
  <c r="T197" i="1"/>
  <c r="U197" i="1"/>
  <c r="X197" i="1"/>
  <c r="Y197" i="1"/>
  <c r="Z197" i="1"/>
  <c r="AA197" i="1"/>
  <c r="AB197" i="1"/>
  <c r="AC197" i="1"/>
  <c r="AD197" i="1"/>
  <c r="AE197" i="1"/>
  <c r="AF197" i="1"/>
  <c r="AG197" i="1"/>
  <c r="AH197" i="1"/>
  <c r="AI197" i="1"/>
  <c r="AJ197" i="1"/>
  <c r="AK197" i="1"/>
  <c r="C198" i="1"/>
  <c r="H198" i="1"/>
  <c r="I198" i="1"/>
  <c r="J198" i="1"/>
  <c r="K198" i="1"/>
  <c r="M198" i="1"/>
  <c r="P198" i="1"/>
  <c r="R198" i="1"/>
  <c r="S198" i="1"/>
  <c r="T198" i="1"/>
  <c r="U198" i="1"/>
  <c r="X198" i="1"/>
  <c r="Y198" i="1"/>
  <c r="Z198" i="1"/>
  <c r="AA198" i="1"/>
  <c r="AB198" i="1"/>
  <c r="AC198" i="1"/>
  <c r="AD198" i="1"/>
  <c r="AE198" i="1"/>
  <c r="AF198" i="1"/>
  <c r="AG198" i="1"/>
  <c r="AH198" i="1"/>
  <c r="AI198" i="1"/>
  <c r="AJ198" i="1"/>
  <c r="AK198" i="1"/>
  <c r="C199" i="1"/>
  <c r="H199" i="1"/>
  <c r="I199" i="1"/>
  <c r="J199" i="1"/>
  <c r="K199" i="1"/>
  <c r="M199" i="1"/>
  <c r="P199" i="1"/>
  <c r="R199" i="1"/>
  <c r="S199" i="1"/>
  <c r="T199" i="1"/>
  <c r="U199" i="1"/>
  <c r="X199" i="1"/>
  <c r="Y199" i="1"/>
  <c r="Z199" i="1"/>
  <c r="AA199" i="1"/>
  <c r="AB199" i="1"/>
  <c r="AC199" i="1"/>
  <c r="AD199" i="1"/>
  <c r="AE199" i="1"/>
  <c r="AF199" i="1"/>
  <c r="AG199" i="1"/>
  <c r="AH199" i="1"/>
  <c r="AI199" i="1"/>
  <c r="AJ199" i="1"/>
  <c r="AK199" i="1"/>
  <c r="C200" i="1"/>
  <c r="H200" i="1"/>
  <c r="I200" i="1"/>
  <c r="J200" i="1"/>
  <c r="K200" i="1"/>
  <c r="M200" i="1"/>
  <c r="P200" i="1"/>
  <c r="R200" i="1"/>
  <c r="S200" i="1"/>
  <c r="T200" i="1"/>
  <c r="U200" i="1"/>
  <c r="X200" i="1"/>
  <c r="Y200" i="1"/>
  <c r="Z200" i="1"/>
  <c r="AA200" i="1"/>
  <c r="AB200" i="1"/>
  <c r="AC200" i="1"/>
  <c r="AD200" i="1"/>
  <c r="AE200" i="1"/>
  <c r="AF200" i="1"/>
  <c r="AG200" i="1"/>
  <c r="AH200" i="1"/>
  <c r="AI200" i="1"/>
  <c r="AJ200" i="1"/>
  <c r="AK200" i="1"/>
  <c r="C201" i="1"/>
  <c r="H201" i="1"/>
  <c r="I201" i="1"/>
  <c r="J201" i="1"/>
  <c r="K201" i="1"/>
  <c r="M201" i="1"/>
  <c r="P201" i="1"/>
  <c r="R201" i="1"/>
  <c r="S201" i="1"/>
  <c r="T201" i="1"/>
  <c r="U201" i="1"/>
  <c r="X201" i="1"/>
  <c r="Y201" i="1"/>
  <c r="Z201" i="1"/>
  <c r="AA201" i="1"/>
  <c r="AB201" i="1"/>
  <c r="AC201" i="1"/>
  <c r="AD201" i="1"/>
  <c r="AE201" i="1"/>
  <c r="AF201" i="1"/>
  <c r="AG201" i="1"/>
  <c r="AH201" i="1"/>
  <c r="AI201" i="1"/>
  <c r="AJ201" i="1"/>
  <c r="AK201" i="1"/>
  <c r="C182" i="1"/>
  <c r="H182" i="1"/>
  <c r="I182" i="1"/>
  <c r="J182" i="1"/>
  <c r="K182" i="1"/>
  <c r="M182" i="1"/>
  <c r="P182" i="1"/>
  <c r="R182" i="1"/>
  <c r="S182" i="1"/>
  <c r="T182" i="1"/>
  <c r="U182" i="1"/>
  <c r="X182" i="1"/>
  <c r="Y182" i="1"/>
  <c r="Z182" i="1"/>
  <c r="AA182" i="1"/>
  <c r="AB182" i="1"/>
  <c r="AC182" i="1"/>
  <c r="AD182" i="1"/>
  <c r="AE182" i="1"/>
  <c r="AF182" i="1"/>
  <c r="AG182" i="1"/>
  <c r="AH182" i="1"/>
  <c r="AI182" i="1"/>
  <c r="AJ182" i="1"/>
  <c r="AK182" i="1"/>
  <c r="C183" i="1"/>
  <c r="H183" i="1"/>
  <c r="I183" i="1"/>
  <c r="J183" i="1"/>
  <c r="K183" i="1"/>
  <c r="M183" i="1"/>
  <c r="P183" i="1"/>
  <c r="R183" i="1"/>
  <c r="S183" i="1"/>
  <c r="T183" i="1"/>
  <c r="U183" i="1"/>
  <c r="X183" i="1"/>
  <c r="Y183" i="1"/>
  <c r="Z183" i="1"/>
  <c r="AA183" i="1"/>
  <c r="AB183" i="1"/>
  <c r="AC183" i="1"/>
  <c r="AD183" i="1"/>
  <c r="AE183" i="1"/>
  <c r="AF183" i="1"/>
  <c r="AG183" i="1"/>
  <c r="AH183" i="1"/>
  <c r="AI183" i="1"/>
  <c r="AJ183" i="1"/>
  <c r="AK183" i="1"/>
  <c r="C184" i="1"/>
  <c r="H184" i="1"/>
  <c r="I184" i="1"/>
  <c r="J184" i="1"/>
  <c r="K184" i="1"/>
  <c r="M184" i="1"/>
  <c r="P184" i="1"/>
  <c r="R184" i="1"/>
  <c r="S184" i="1"/>
  <c r="T184" i="1"/>
  <c r="U184" i="1"/>
  <c r="X184" i="1"/>
  <c r="Y184" i="1"/>
  <c r="Z184" i="1"/>
  <c r="AA184" i="1"/>
  <c r="AB184" i="1"/>
  <c r="AC184" i="1"/>
  <c r="AD184" i="1"/>
  <c r="AE184" i="1"/>
  <c r="AF184" i="1"/>
  <c r="AG184" i="1"/>
  <c r="AH184" i="1"/>
  <c r="AI184" i="1"/>
  <c r="AJ184" i="1"/>
  <c r="AK184" i="1"/>
  <c r="C185" i="1"/>
  <c r="H185" i="1"/>
  <c r="I185" i="1"/>
  <c r="J185" i="1"/>
  <c r="K185" i="1"/>
  <c r="M185" i="1"/>
  <c r="P185" i="1"/>
  <c r="R185" i="1"/>
  <c r="S185" i="1"/>
  <c r="T185" i="1"/>
  <c r="U185" i="1"/>
  <c r="X185" i="1"/>
  <c r="Y185" i="1"/>
  <c r="Z185" i="1"/>
  <c r="AA185" i="1"/>
  <c r="AB185" i="1"/>
  <c r="AC185" i="1"/>
  <c r="AD185" i="1"/>
  <c r="AE185" i="1"/>
  <c r="AF185" i="1"/>
  <c r="AG185" i="1"/>
  <c r="AH185" i="1"/>
  <c r="AI185" i="1"/>
  <c r="AJ185" i="1"/>
  <c r="AK185" i="1"/>
  <c r="C186" i="1"/>
  <c r="H186" i="1"/>
  <c r="I186" i="1"/>
  <c r="J186" i="1"/>
  <c r="K186" i="1"/>
  <c r="M186" i="1"/>
  <c r="P186" i="1"/>
  <c r="R186" i="1"/>
  <c r="S186" i="1"/>
  <c r="T186" i="1"/>
  <c r="U186" i="1"/>
  <c r="X186" i="1"/>
  <c r="Y186" i="1"/>
  <c r="Z186" i="1"/>
  <c r="AA186" i="1"/>
  <c r="AB186" i="1"/>
  <c r="AC186" i="1"/>
  <c r="AD186" i="1"/>
  <c r="AE186" i="1"/>
  <c r="AF186" i="1"/>
  <c r="AG186" i="1"/>
  <c r="AH186" i="1"/>
  <c r="AI186" i="1"/>
  <c r="AJ186" i="1"/>
  <c r="AK186" i="1"/>
  <c r="C187" i="1"/>
  <c r="H187" i="1"/>
  <c r="I187" i="1"/>
  <c r="J187" i="1"/>
  <c r="K187" i="1"/>
  <c r="M187" i="1"/>
  <c r="P187" i="1"/>
  <c r="R187" i="1"/>
  <c r="S187" i="1"/>
  <c r="T187" i="1"/>
  <c r="U187" i="1"/>
  <c r="X187" i="1"/>
  <c r="Y187" i="1"/>
  <c r="Z187" i="1"/>
  <c r="AA187" i="1"/>
  <c r="AB187" i="1"/>
  <c r="AC187" i="1"/>
  <c r="AD187" i="1"/>
  <c r="AE187" i="1"/>
  <c r="AF187" i="1"/>
  <c r="AG187" i="1"/>
  <c r="AH187" i="1"/>
  <c r="AI187" i="1"/>
  <c r="AJ187" i="1"/>
  <c r="AK187" i="1"/>
  <c r="C188" i="1"/>
  <c r="H188" i="1"/>
  <c r="I188" i="1"/>
  <c r="J188" i="1"/>
  <c r="K188" i="1"/>
  <c r="M188" i="1"/>
  <c r="P188" i="1"/>
  <c r="R188" i="1"/>
  <c r="S188" i="1"/>
  <c r="T188" i="1"/>
  <c r="U188" i="1"/>
  <c r="X188" i="1"/>
  <c r="Y188" i="1"/>
  <c r="Z188" i="1"/>
  <c r="AA188" i="1"/>
  <c r="AB188" i="1"/>
  <c r="AC188" i="1"/>
  <c r="AD188" i="1"/>
  <c r="AE188" i="1"/>
  <c r="AF188" i="1"/>
  <c r="AG188" i="1"/>
  <c r="AH188" i="1"/>
  <c r="AI188" i="1"/>
  <c r="AJ188" i="1"/>
  <c r="AK188" i="1"/>
  <c r="C189" i="1"/>
  <c r="H189" i="1"/>
  <c r="I189" i="1"/>
  <c r="J189" i="1"/>
  <c r="K189" i="1"/>
  <c r="M189" i="1"/>
  <c r="P189" i="1"/>
  <c r="R189" i="1"/>
  <c r="S189" i="1"/>
  <c r="T189" i="1"/>
  <c r="U189" i="1"/>
  <c r="X189" i="1"/>
  <c r="Y189" i="1"/>
  <c r="Z189" i="1"/>
  <c r="AA189" i="1"/>
  <c r="AB189" i="1"/>
  <c r="AC189" i="1"/>
  <c r="AD189" i="1"/>
  <c r="AE189" i="1"/>
  <c r="AF189" i="1"/>
  <c r="AG189" i="1"/>
  <c r="AH189" i="1"/>
  <c r="AI189" i="1"/>
  <c r="AJ189" i="1"/>
  <c r="AK189" i="1"/>
  <c r="C190" i="1"/>
  <c r="H190" i="1"/>
  <c r="I190" i="1"/>
  <c r="J190" i="1"/>
  <c r="K190" i="1"/>
  <c r="M190" i="1"/>
  <c r="P190" i="1"/>
  <c r="R190" i="1"/>
  <c r="S190" i="1"/>
  <c r="T190" i="1"/>
  <c r="U190" i="1"/>
  <c r="X190" i="1"/>
  <c r="Y190" i="1"/>
  <c r="Z190" i="1"/>
  <c r="AA190" i="1"/>
  <c r="AB190" i="1"/>
  <c r="AC190" i="1"/>
  <c r="AD190" i="1"/>
  <c r="AE190" i="1"/>
  <c r="AF190" i="1"/>
  <c r="AG190" i="1"/>
  <c r="AH190" i="1"/>
  <c r="AI190" i="1"/>
  <c r="AJ190" i="1"/>
  <c r="AK190" i="1"/>
  <c r="C191" i="1"/>
  <c r="H191" i="1"/>
  <c r="I191" i="1"/>
  <c r="J191" i="1"/>
  <c r="K191" i="1"/>
  <c r="M191" i="1"/>
  <c r="P191" i="1"/>
  <c r="R191" i="1"/>
  <c r="S191" i="1"/>
  <c r="T191" i="1"/>
  <c r="U191" i="1"/>
  <c r="X191" i="1"/>
  <c r="Y191" i="1"/>
  <c r="Z191" i="1"/>
  <c r="AA191" i="1"/>
  <c r="AB191" i="1"/>
  <c r="AC191" i="1"/>
  <c r="AD191" i="1"/>
  <c r="AE191" i="1"/>
  <c r="AF191" i="1"/>
  <c r="AG191" i="1"/>
  <c r="AH191" i="1"/>
  <c r="AI191" i="1"/>
  <c r="AJ191" i="1"/>
  <c r="AK191" i="1"/>
  <c r="C172" i="1"/>
  <c r="H172" i="1"/>
  <c r="I172" i="1"/>
  <c r="J172" i="1"/>
  <c r="K172" i="1"/>
  <c r="M172" i="1"/>
  <c r="P172" i="1"/>
  <c r="R172" i="1"/>
  <c r="S172" i="1"/>
  <c r="T172" i="1"/>
  <c r="U172" i="1"/>
  <c r="X172" i="1"/>
  <c r="Y172" i="1"/>
  <c r="Z172" i="1"/>
  <c r="AA172" i="1"/>
  <c r="AB172" i="1"/>
  <c r="AC172" i="1"/>
  <c r="AD172" i="1"/>
  <c r="AE172" i="1"/>
  <c r="AF172" i="1"/>
  <c r="AG172" i="1"/>
  <c r="AH172" i="1"/>
  <c r="AI172" i="1"/>
  <c r="AJ172" i="1"/>
  <c r="AK172" i="1"/>
  <c r="C173" i="1"/>
  <c r="H173" i="1"/>
  <c r="I173" i="1"/>
  <c r="J173" i="1"/>
  <c r="K173" i="1"/>
  <c r="M173" i="1"/>
  <c r="P173" i="1"/>
  <c r="R173" i="1"/>
  <c r="S173" i="1"/>
  <c r="T173" i="1"/>
  <c r="U173" i="1"/>
  <c r="X173" i="1"/>
  <c r="Y173" i="1"/>
  <c r="Z173" i="1"/>
  <c r="AA173" i="1"/>
  <c r="AB173" i="1"/>
  <c r="AC173" i="1"/>
  <c r="AD173" i="1"/>
  <c r="AE173" i="1"/>
  <c r="AF173" i="1"/>
  <c r="AG173" i="1"/>
  <c r="AH173" i="1"/>
  <c r="AI173" i="1"/>
  <c r="AJ173" i="1"/>
  <c r="AK173" i="1"/>
  <c r="C174" i="1"/>
  <c r="H174" i="1"/>
  <c r="I174" i="1"/>
  <c r="J174" i="1"/>
  <c r="K174" i="1"/>
  <c r="M174" i="1"/>
  <c r="P174" i="1"/>
  <c r="R174" i="1"/>
  <c r="S174" i="1"/>
  <c r="T174" i="1"/>
  <c r="U174" i="1"/>
  <c r="X174" i="1"/>
  <c r="Y174" i="1"/>
  <c r="Z174" i="1"/>
  <c r="AA174" i="1"/>
  <c r="AB174" i="1"/>
  <c r="AC174" i="1"/>
  <c r="AD174" i="1"/>
  <c r="AE174" i="1"/>
  <c r="AF174" i="1"/>
  <c r="AG174" i="1"/>
  <c r="AH174" i="1"/>
  <c r="AI174" i="1"/>
  <c r="AJ174" i="1"/>
  <c r="AK174" i="1"/>
  <c r="C175" i="1"/>
  <c r="H175" i="1"/>
  <c r="I175" i="1"/>
  <c r="J175" i="1"/>
  <c r="K175" i="1"/>
  <c r="M175" i="1"/>
  <c r="P175" i="1"/>
  <c r="R175" i="1"/>
  <c r="S175" i="1"/>
  <c r="T175" i="1"/>
  <c r="U175" i="1"/>
  <c r="X175" i="1"/>
  <c r="Y175" i="1"/>
  <c r="Z175" i="1"/>
  <c r="AA175" i="1"/>
  <c r="AB175" i="1"/>
  <c r="AC175" i="1"/>
  <c r="AD175" i="1"/>
  <c r="AE175" i="1"/>
  <c r="AF175" i="1"/>
  <c r="AG175" i="1"/>
  <c r="AH175" i="1"/>
  <c r="AI175" i="1"/>
  <c r="AJ175" i="1"/>
  <c r="AK175" i="1"/>
  <c r="C176" i="1"/>
  <c r="H176" i="1"/>
  <c r="I176" i="1"/>
  <c r="J176" i="1"/>
  <c r="K176" i="1"/>
  <c r="M176" i="1"/>
  <c r="P176" i="1"/>
  <c r="R176" i="1"/>
  <c r="S176" i="1"/>
  <c r="T176" i="1"/>
  <c r="U176" i="1"/>
  <c r="X176" i="1"/>
  <c r="Y176" i="1"/>
  <c r="Z176" i="1"/>
  <c r="AA176" i="1"/>
  <c r="AB176" i="1"/>
  <c r="AC176" i="1"/>
  <c r="AD176" i="1"/>
  <c r="AE176" i="1"/>
  <c r="AF176" i="1"/>
  <c r="AG176" i="1"/>
  <c r="AH176" i="1"/>
  <c r="AI176" i="1"/>
  <c r="AJ176" i="1"/>
  <c r="AK176" i="1"/>
  <c r="C177" i="1"/>
  <c r="H177" i="1"/>
  <c r="I177" i="1"/>
  <c r="J177" i="1"/>
  <c r="K177" i="1"/>
  <c r="M177" i="1"/>
  <c r="P177" i="1"/>
  <c r="R177" i="1"/>
  <c r="S177" i="1"/>
  <c r="T177" i="1"/>
  <c r="U177" i="1"/>
  <c r="X177" i="1"/>
  <c r="Y177" i="1"/>
  <c r="Z177" i="1"/>
  <c r="AA177" i="1"/>
  <c r="AB177" i="1"/>
  <c r="AC177" i="1"/>
  <c r="AD177" i="1"/>
  <c r="AE177" i="1"/>
  <c r="AF177" i="1"/>
  <c r="AG177" i="1"/>
  <c r="AH177" i="1"/>
  <c r="AI177" i="1"/>
  <c r="AJ177" i="1"/>
  <c r="AK177" i="1"/>
  <c r="C178" i="1"/>
  <c r="H178" i="1"/>
  <c r="I178" i="1"/>
  <c r="J178" i="1"/>
  <c r="K178" i="1"/>
  <c r="M178" i="1"/>
  <c r="P178" i="1"/>
  <c r="R178" i="1"/>
  <c r="S178" i="1"/>
  <c r="T178" i="1"/>
  <c r="U178" i="1"/>
  <c r="X178" i="1"/>
  <c r="Y178" i="1"/>
  <c r="Z178" i="1"/>
  <c r="AA178" i="1"/>
  <c r="AB178" i="1"/>
  <c r="AC178" i="1"/>
  <c r="AD178" i="1"/>
  <c r="AE178" i="1"/>
  <c r="AF178" i="1"/>
  <c r="AG178" i="1"/>
  <c r="AH178" i="1"/>
  <c r="AI178" i="1"/>
  <c r="AJ178" i="1"/>
  <c r="AK178" i="1"/>
  <c r="C179" i="1"/>
  <c r="H179" i="1"/>
  <c r="I179" i="1"/>
  <c r="J179" i="1"/>
  <c r="K179" i="1"/>
  <c r="M179" i="1"/>
  <c r="P179" i="1"/>
  <c r="R179" i="1"/>
  <c r="S179" i="1"/>
  <c r="T179" i="1"/>
  <c r="U179" i="1"/>
  <c r="X179" i="1"/>
  <c r="Y179" i="1"/>
  <c r="Z179" i="1"/>
  <c r="AA179" i="1"/>
  <c r="AB179" i="1"/>
  <c r="AC179" i="1"/>
  <c r="AD179" i="1"/>
  <c r="AE179" i="1"/>
  <c r="AF179" i="1"/>
  <c r="AG179" i="1"/>
  <c r="AH179" i="1"/>
  <c r="AI179" i="1"/>
  <c r="AJ179" i="1"/>
  <c r="AK179" i="1"/>
  <c r="C180" i="1"/>
  <c r="H180" i="1"/>
  <c r="I180" i="1"/>
  <c r="J180" i="1"/>
  <c r="K180" i="1"/>
  <c r="M180" i="1"/>
  <c r="P180" i="1"/>
  <c r="R180" i="1"/>
  <c r="S180" i="1"/>
  <c r="T180" i="1"/>
  <c r="U180" i="1"/>
  <c r="X180" i="1"/>
  <c r="Y180" i="1"/>
  <c r="Z180" i="1"/>
  <c r="AA180" i="1"/>
  <c r="AB180" i="1"/>
  <c r="AC180" i="1"/>
  <c r="AD180" i="1"/>
  <c r="AE180" i="1"/>
  <c r="AF180" i="1"/>
  <c r="AG180" i="1"/>
  <c r="AH180" i="1"/>
  <c r="AI180" i="1"/>
  <c r="AJ180" i="1"/>
  <c r="AK180" i="1"/>
  <c r="C181" i="1"/>
  <c r="H181" i="1"/>
  <c r="I181" i="1"/>
  <c r="J181" i="1"/>
  <c r="K181" i="1"/>
  <c r="M181" i="1"/>
  <c r="P181" i="1"/>
  <c r="R181" i="1"/>
  <c r="S181" i="1"/>
  <c r="T181" i="1"/>
  <c r="U181" i="1"/>
  <c r="X181" i="1"/>
  <c r="Y181" i="1"/>
  <c r="Z181" i="1"/>
  <c r="AA181" i="1"/>
  <c r="AB181" i="1"/>
  <c r="AC181" i="1"/>
  <c r="AD181" i="1"/>
  <c r="AE181" i="1"/>
  <c r="AF181" i="1"/>
  <c r="AG181" i="1"/>
  <c r="AH181" i="1"/>
  <c r="AI181" i="1"/>
  <c r="AJ181" i="1"/>
  <c r="AK181" i="1"/>
  <c r="C162" i="1"/>
  <c r="H162" i="1"/>
  <c r="I162" i="1"/>
  <c r="J162" i="1"/>
  <c r="K162" i="1"/>
  <c r="M162" i="1"/>
  <c r="P162" i="1"/>
  <c r="R162" i="1"/>
  <c r="S162" i="1"/>
  <c r="T162" i="1"/>
  <c r="U162" i="1"/>
  <c r="X162" i="1"/>
  <c r="Y162" i="1"/>
  <c r="Z162" i="1"/>
  <c r="AA162" i="1"/>
  <c r="AB162" i="1"/>
  <c r="AC162" i="1"/>
  <c r="AD162" i="1"/>
  <c r="AE162" i="1"/>
  <c r="AF162" i="1"/>
  <c r="AG162" i="1"/>
  <c r="AH162" i="1"/>
  <c r="AI162" i="1"/>
  <c r="AJ162" i="1"/>
  <c r="AK162" i="1"/>
  <c r="C163" i="1"/>
  <c r="H163" i="1"/>
  <c r="I163" i="1"/>
  <c r="J163" i="1"/>
  <c r="K163" i="1"/>
  <c r="M163" i="1"/>
  <c r="P163" i="1"/>
  <c r="R163" i="1"/>
  <c r="S163" i="1"/>
  <c r="T163" i="1"/>
  <c r="U163" i="1"/>
  <c r="X163" i="1"/>
  <c r="Y163" i="1"/>
  <c r="Z163" i="1"/>
  <c r="AA163" i="1"/>
  <c r="AB163" i="1"/>
  <c r="AC163" i="1"/>
  <c r="AD163" i="1"/>
  <c r="AE163" i="1"/>
  <c r="AF163" i="1"/>
  <c r="AG163" i="1"/>
  <c r="AH163" i="1"/>
  <c r="AI163" i="1"/>
  <c r="AJ163" i="1"/>
  <c r="AK163" i="1"/>
  <c r="C164" i="1"/>
  <c r="H164" i="1"/>
  <c r="I164" i="1"/>
  <c r="J164" i="1"/>
  <c r="K164" i="1"/>
  <c r="M164" i="1"/>
  <c r="P164" i="1"/>
  <c r="R164" i="1"/>
  <c r="S164" i="1"/>
  <c r="T164" i="1"/>
  <c r="U164" i="1"/>
  <c r="X164" i="1"/>
  <c r="Y164" i="1"/>
  <c r="Z164" i="1"/>
  <c r="AA164" i="1"/>
  <c r="AB164" i="1"/>
  <c r="AC164" i="1"/>
  <c r="AD164" i="1"/>
  <c r="AE164" i="1"/>
  <c r="AF164" i="1"/>
  <c r="AG164" i="1"/>
  <c r="AH164" i="1"/>
  <c r="AI164" i="1"/>
  <c r="AJ164" i="1"/>
  <c r="AK164" i="1"/>
  <c r="C165" i="1"/>
  <c r="H165" i="1"/>
  <c r="I165" i="1"/>
  <c r="J165" i="1"/>
  <c r="K165" i="1"/>
  <c r="M165" i="1"/>
  <c r="P165" i="1"/>
  <c r="R165" i="1"/>
  <c r="S165" i="1"/>
  <c r="T165" i="1"/>
  <c r="U165" i="1"/>
  <c r="X165" i="1"/>
  <c r="Y165" i="1"/>
  <c r="Z165" i="1"/>
  <c r="AA165" i="1"/>
  <c r="AB165" i="1"/>
  <c r="AC165" i="1"/>
  <c r="AD165" i="1"/>
  <c r="AE165" i="1"/>
  <c r="AF165" i="1"/>
  <c r="AG165" i="1"/>
  <c r="AH165" i="1"/>
  <c r="AI165" i="1"/>
  <c r="AJ165" i="1"/>
  <c r="AK165" i="1"/>
  <c r="C166" i="1"/>
  <c r="H166" i="1"/>
  <c r="I166" i="1"/>
  <c r="J166" i="1"/>
  <c r="K166" i="1"/>
  <c r="M166" i="1"/>
  <c r="P166" i="1"/>
  <c r="R166" i="1"/>
  <c r="S166" i="1"/>
  <c r="T166" i="1"/>
  <c r="U166" i="1"/>
  <c r="X166" i="1"/>
  <c r="Y166" i="1"/>
  <c r="Z166" i="1"/>
  <c r="AA166" i="1"/>
  <c r="AB166" i="1"/>
  <c r="AC166" i="1"/>
  <c r="AD166" i="1"/>
  <c r="AE166" i="1"/>
  <c r="AF166" i="1"/>
  <c r="AG166" i="1"/>
  <c r="AH166" i="1"/>
  <c r="AI166" i="1"/>
  <c r="AJ166" i="1"/>
  <c r="AK166" i="1"/>
  <c r="C167" i="1"/>
  <c r="H167" i="1"/>
  <c r="I167" i="1"/>
  <c r="J167" i="1"/>
  <c r="K167" i="1"/>
  <c r="M167" i="1"/>
  <c r="P167" i="1"/>
  <c r="R167" i="1"/>
  <c r="S167" i="1"/>
  <c r="T167" i="1"/>
  <c r="U167" i="1"/>
  <c r="X167" i="1"/>
  <c r="Y167" i="1"/>
  <c r="Z167" i="1"/>
  <c r="AA167" i="1"/>
  <c r="AB167" i="1"/>
  <c r="AC167" i="1"/>
  <c r="AD167" i="1"/>
  <c r="AE167" i="1"/>
  <c r="AF167" i="1"/>
  <c r="AG167" i="1"/>
  <c r="AH167" i="1"/>
  <c r="AI167" i="1"/>
  <c r="AJ167" i="1"/>
  <c r="AK167" i="1"/>
  <c r="C168" i="1"/>
  <c r="H168" i="1"/>
  <c r="I168" i="1"/>
  <c r="J168" i="1"/>
  <c r="K168" i="1"/>
  <c r="M168" i="1"/>
  <c r="P168" i="1"/>
  <c r="R168" i="1"/>
  <c r="S168" i="1"/>
  <c r="T168" i="1"/>
  <c r="U168" i="1"/>
  <c r="X168" i="1"/>
  <c r="Y168" i="1"/>
  <c r="Z168" i="1"/>
  <c r="AA168" i="1"/>
  <c r="AB168" i="1"/>
  <c r="AC168" i="1"/>
  <c r="AD168" i="1"/>
  <c r="AE168" i="1"/>
  <c r="AF168" i="1"/>
  <c r="AG168" i="1"/>
  <c r="AH168" i="1"/>
  <c r="AI168" i="1"/>
  <c r="AJ168" i="1"/>
  <c r="AK168" i="1"/>
  <c r="C169" i="1"/>
  <c r="H169" i="1"/>
  <c r="I169" i="1"/>
  <c r="J169" i="1"/>
  <c r="K169" i="1"/>
  <c r="M169" i="1"/>
  <c r="P169" i="1"/>
  <c r="R169" i="1"/>
  <c r="S169" i="1"/>
  <c r="T169" i="1"/>
  <c r="U169" i="1"/>
  <c r="X169" i="1"/>
  <c r="Y169" i="1"/>
  <c r="Z169" i="1"/>
  <c r="AA169" i="1"/>
  <c r="AB169" i="1"/>
  <c r="AC169" i="1"/>
  <c r="AD169" i="1"/>
  <c r="AE169" i="1"/>
  <c r="AF169" i="1"/>
  <c r="AG169" i="1"/>
  <c r="AH169" i="1"/>
  <c r="AI169" i="1"/>
  <c r="AJ169" i="1"/>
  <c r="AK169" i="1"/>
  <c r="C170" i="1"/>
  <c r="H170" i="1"/>
  <c r="I170" i="1"/>
  <c r="J170" i="1"/>
  <c r="K170" i="1"/>
  <c r="M170" i="1"/>
  <c r="P170" i="1"/>
  <c r="R170" i="1"/>
  <c r="S170" i="1"/>
  <c r="T170" i="1"/>
  <c r="U170" i="1"/>
  <c r="X170" i="1"/>
  <c r="Y170" i="1"/>
  <c r="Z170" i="1"/>
  <c r="AA170" i="1"/>
  <c r="AB170" i="1"/>
  <c r="AC170" i="1"/>
  <c r="AD170" i="1"/>
  <c r="AE170" i="1"/>
  <c r="AF170" i="1"/>
  <c r="AG170" i="1"/>
  <c r="AH170" i="1"/>
  <c r="AI170" i="1"/>
  <c r="AJ170" i="1"/>
  <c r="AK170" i="1"/>
  <c r="C171" i="1"/>
  <c r="H171" i="1"/>
  <c r="I171" i="1"/>
  <c r="J171" i="1"/>
  <c r="K171" i="1"/>
  <c r="M171" i="1"/>
  <c r="P171" i="1"/>
  <c r="R171" i="1"/>
  <c r="S171" i="1"/>
  <c r="T171" i="1"/>
  <c r="U171" i="1"/>
  <c r="X171" i="1"/>
  <c r="Y171" i="1"/>
  <c r="Z171" i="1"/>
  <c r="AA171" i="1"/>
  <c r="AB171" i="1"/>
  <c r="AC171" i="1"/>
  <c r="AD171" i="1"/>
  <c r="AE171" i="1"/>
  <c r="AF171" i="1"/>
  <c r="AG171" i="1"/>
  <c r="AH171" i="1"/>
  <c r="AI171" i="1"/>
  <c r="AJ171" i="1"/>
  <c r="AK171" i="1"/>
  <c r="C152" i="1"/>
  <c r="H152" i="1"/>
  <c r="I152" i="1"/>
  <c r="J152" i="1"/>
  <c r="K152" i="1"/>
  <c r="M152" i="1"/>
  <c r="P152" i="1"/>
  <c r="R152" i="1"/>
  <c r="S152" i="1"/>
  <c r="T152" i="1"/>
  <c r="U152" i="1"/>
  <c r="X152" i="1"/>
  <c r="Y152" i="1"/>
  <c r="Z152" i="1"/>
  <c r="AA152" i="1"/>
  <c r="AB152" i="1"/>
  <c r="AC152" i="1"/>
  <c r="AD152" i="1"/>
  <c r="AE152" i="1"/>
  <c r="AF152" i="1"/>
  <c r="AG152" i="1"/>
  <c r="AH152" i="1"/>
  <c r="AI152" i="1"/>
  <c r="AJ152" i="1"/>
  <c r="AK152" i="1"/>
  <c r="C153" i="1"/>
  <c r="H153" i="1"/>
  <c r="I153" i="1"/>
  <c r="J153" i="1"/>
  <c r="K153" i="1"/>
  <c r="M153" i="1"/>
  <c r="P153" i="1"/>
  <c r="R153" i="1"/>
  <c r="S153" i="1"/>
  <c r="T153" i="1"/>
  <c r="U153" i="1"/>
  <c r="X153" i="1"/>
  <c r="Y153" i="1"/>
  <c r="Z153" i="1"/>
  <c r="AA153" i="1"/>
  <c r="AB153" i="1"/>
  <c r="AC153" i="1"/>
  <c r="AD153" i="1"/>
  <c r="AE153" i="1"/>
  <c r="AF153" i="1"/>
  <c r="AG153" i="1"/>
  <c r="AH153" i="1"/>
  <c r="AI153" i="1"/>
  <c r="AJ153" i="1"/>
  <c r="AK153" i="1"/>
  <c r="C154" i="1"/>
  <c r="H154" i="1"/>
  <c r="I154" i="1"/>
  <c r="J154" i="1"/>
  <c r="K154" i="1"/>
  <c r="M154" i="1"/>
  <c r="P154" i="1"/>
  <c r="R154" i="1"/>
  <c r="S154" i="1"/>
  <c r="T154" i="1"/>
  <c r="U154" i="1"/>
  <c r="X154" i="1"/>
  <c r="Y154" i="1"/>
  <c r="Z154" i="1"/>
  <c r="AA154" i="1"/>
  <c r="AB154" i="1"/>
  <c r="AC154" i="1"/>
  <c r="AD154" i="1"/>
  <c r="AE154" i="1"/>
  <c r="AF154" i="1"/>
  <c r="AG154" i="1"/>
  <c r="AH154" i="1"/>
  <c r="AI154" i="1"/>
  <c r="AJ154" i="1"/>
  <c r="AK154" i="1"/>
  <c r="C155" i="1"/>
  <c r="H155" i="1"/>
  <c r="I155" i="1"/>
  <c r="J155" i="1"/>
  <c r="K155" i="1"/>
  <c r="M155" i="1"/>
  <c r="P155" i="1"/>
  <c r="R155" i="1"/>
  <c r="S155" i="1"/>
  <c r="T155" i="1"/>
  <c r="U155" i="1"/>
  <c r="X155" i="1"/>
  <c r="Y155" i="1"/>
  <c r="Z155" i="1"/>
  <c r="AA155" i="1"/>
  <c r="AB155" i="1"/>
  <c r="AC155" i="1"/>
  <c r="AD155" i="1"/>
  <c r="AE155" i="1"/>
  <c r="AF155" i="1"/>
  <c r="AG155" i="1"/>
  <c r="AH155" i="1"/>
  <c r="AI155" i="1"/>
  <c r="AJ155" i="1"/>
  <c r="AK155" i="1"/>
  <c r="C156" i="1"/>
  <c r="H156" i="1"/>
  <c r="I156" i="1"/>
  <c r="J156" i="1"/>
  <c r="K156" i="1"/>
  <c r="M156" i="1"/>
  <c r="P156" i="1"/>
  <c r="R156" i="1"/>
  <c r="S156" i="1"/>
  <c r="T156" i="1"/>
  <c r="U156" i="1"/>
  <c r="X156" i="1"/>
  <c r="Y156" i="1"/>
  <c r="Z156" i="1"/>
  <c r="AA156" i="1"/>
  <c r="AB156" i="1"/>
  <c r="AC156" i="1"/>
  <c r="AD156" i="1"/>
  <c r="AE156" i="1"/>
  <c r="AF156" i="1"/>
  <c r="AG156" i="1"/>
  <c r="AH156" i="1"/>
  <c r="AI156" i="1"/>
  <c r="AJ156" i="1"/>
  <c r="AK156" i="1"/>
  <c r="C157" i="1"/>
  <c r="H157" i="1"/>
  <c r="I157" i="1"/>
  <c r="J157" i="1"/>
  <c r="K157" i="1"/>
  <c r="M157" i="1"/>
  <c r="P157" i="1"/>
  <c r="R157" i="1"/>
  <c r="S157" i="1"/>
  <c r="T157" i="1"/>
  <c r="U157" i="1"/>
  <c r="X157" i="1"/>
  <c r="Y157" i="1"/>
  <c r="Z157" i="1"/>
  <c r="AA157" i="1"/>
  <c r="AB157" i="1"/>
  <c r="AC157" i="1"/>
  <c r="AD157" i="1"/>
  <c r="AE157" i="1"/>
  <c r="AF157" i="1"/>
  <c r="AG157" i="1"/>
  <c r="AH157" i="1"/>
  <c r="AI157" i="1"/>
  <c r="AJ157" i="1"/>
  <c r="AK157" i="1"/>
  <c r="C158" i="1"/>
  <c r="H158" i="1"/>
  <c r="I158" i="1"/>
  <c r="J158" i="1"/>
  <c r="K158" i="1"/>
  <c r="M158" i="1"/>
  <c r="P158" i="1"/>
  <c r="R158" i="1"/>
  <c r="S158" i="1"/>
  <c r="T158" i="1"/>
  <c r="U158" i="1"/>
  <c r="X158" i="1"/>
  <c r="Y158" i="1"/>
  <c r="Z158" i="1"/>
  <c r="AA158" i="1"/>
  <c r="AB158" i="1"/>
  <c r="AC158" i="1"/>
  <c r="AD158" i="1"/>
  <c r="AE158" i="1"/>
  <c r="AF158" i="1"/>
  <c r="AG158" i="1"/>
  <c r="AH158" i="1"/>
  <c r="AI158" i="1"/>
  <c r="AJ158" i="1"/>
  <c r="AK158" i="1"/>
  <c r="C159" i="1"/>
  <c r="H159" i="1"/>
  <c r="I159" i="1"/>
  <c r="J159" i="1"/>
  <c r="K159" i="1"/>
  <c r="M159" i="1"/>
  <c r="P159" i="1"/>
  <c r="R159" i="1"/>
  <c r="S159" i="1"/>
  <c r="T159" i="1"/>
  <c r="U159" i="1"/>
  <c r="X159" i="1"/>
  <c r="Y159" i="1"/>
  <c r="Z159" i="1"/>
  <c r="AA159" i="1"/>
  <c r="AB159" i="1"/>
  <c r="AC159" i="1"/>
  <c r="AD159" i="1"/>
  <c r="AE159" i="1"/>
  <c r="AF159" i="1"/>
  <c r="AG159" i="1"/>
  <c r="AH159" i="1"/>
  <c r="AI159" i="1"/>
  <c r="AJ159" i="1"/>
  <c r="AK159" i="1"/>
  <c r="C160" i="1"/>
  <c r="H160" i="1"/>
  <c r="I160" i="1"/>
  <c r="J160" i="1"/>
  <c r="K160" i="1"/>
  <c r="M160" i="1"/>
  <c r="P160" i="1"/>
  <c r="R160" i="1"/>
  <c r="S160" i="1"/>
  <c r="T160" i="1"/>
  <c r="U160" i="1"/>
  <c r="X160" i="1"/>
  <c r="Y160" i="1"/>
  <c r="Z160" i="1"/>
  <c r="AA160" i="1"/>
  <c r="AB160" i="1"/>
  <c r="AC160" i="1"/>
  <c r="AD160" i="1"/>
  <c r="AE160" i="1"/>
  <c r="AF160" i="1"/>
  <c r="AG160" i="1"/>
  <c r="AH160" i="1"/>
  <c r="AI160" i="1"/>
  <c r="AJ160" i="1"/>
  <c r="AK160" i="1"/>
  <c r="C161" i="1"/>
  <c r="H161" i="1"/>
  <c r="I161" i="1"/>
  <c r="J161" i="1"/>
  <c r="K161" i="1"/>
  <c r="M161" i="1"/>
  <c r="P161" i="1"/>
  <c r="R161" i="1"/>
  <c r="S161" i="1"/>
  <c r="T161" i="1"/>
  <c r="U161" i="1"/>
  <c r="X161" i="1"/>
  <c r="Y161" i="1"/>
  <c r="Z161" i="1"/>
  <c r="AA161" i="1"/>
  <c r="AB161" i="1"/>
  <c r="AC161" i="1"/>
  <c r="AD161" i="1"/>
  <c r="AE161" i="1"/>
  <c r="AF161" i="1"/>
  <c r="AG161" i="1"/>
  <c r="AH161" i="1"/>
  <c r="AI161" i="1"/>
  <c r="AJ161" i="1"/>
  <c r="AK161" i="1"/>
  <c r="C142" i="1"/>
  <c r="H142" i="1"/>
  <c r="I142" i="1"/>
  <c r="J142" i="1"/>
  <c r="K142" i="1"/>
  <c r="M142" i="1"/>
  <c r="P142" i="1"/>
  <c r="R142" i="1"/>
  <c r="S142" i="1"/>
  <c r="T142" i="1"/>
  <c r="U142" i="1"/>
  <c r="X142" i="1"/>
  <c r="Y142" i="1"/>
  <c r="Z142" i="1"/>
  <c r="AA142" i="1"/>
  <c r="AB142" i="1"/>
  <c r="AC142" i="1"/>
  <c r="AD142" i="1"/>
  <c r="AE142" i="1"/>
  <c r="AF142" i="1"/>
  <c r="AG142" i="1"/>
  <c r="AH142" i="1"/>
  <c r="AI142" i="1"/>
  <c r="AJ142" i="1"/>
  <c r="AK142" i="1"/>
  <c r="C143" i="1"/>
  <c r="H143" i="1"/>
  <c r="I143" i="1"/>
  <c r="J143" i="1"/>
  <c r="K143" i="1"/>
  <c r="M143" i="1"/>
  <c r="P143" i="1"/>
  <c r="R143" i="1"/>
  <c r="S143" i="1"/>
  <c r="T143" i="1"/>
  <c r="U143" i="1"/>
  <c r="X143" i="1"/>
  <c r="Y143" i="1"/>
  <c r="Z143" i="1"/>
  <c r="AA143" i="1"/>
  <c r="AB143" i="1"/>
  <c r="AC143" i="1"/>
  <c r="AD143" i="1"/>
  <c r="AE143" i="1"/>
  <c r="AF143" i="1"/>
  <c r="AG143" i="1"/>
  <c r="AH143" i="1"/>
  <c r="AI143" i="1"/>
  <c r="AJ143" i="1"/>
  <c r="AK143" i="1"/>
  <c r="C144" i="1"/>
  <c r="H144" i="1"/>
  <c r="I144" i="1"/>
  <c r="J144" i="1"/>
  <c r="K144" i="1"/>
  <c r="M144" i="1"/>
  <c r="P144" i="1"/>
  <c r="R144" i="1"/>
  <c r="S144" i="1"/>
  <c r="T144" i="1"/>
  <c r="U144" i="1"/>
  <c r="X144" i="1"/>
  <c r="Y144" i="1"/>
  <c r="Z144" i="1"/>
  <c r="AA144" i="1"/>
  <c r="AB144" i="1"/>
  <c r="AC144" i="1"/>
  <c r="AD144" i="1"/>
  <c r="AE144" i="1"/>
  <c r="AF144" i="1"/>
  <c r="AG144" i="1"/>
  <c r="AH144" i="1"/>
  <c r="AI144" i="1"/>
  <c r="AJ144" i="1"/>
  <c r="AK144" i="1"/>
  <c r="C145" i="1"/>
  <c r="H145" i="1"/>
  <c r="I145" i="1"/>
  <c r="J145" i="1"/>
  <c r="K145" i="1"/>
  <c r="M145" i="1"/>
  <c r="P145" i="1"/>
  <c r="R145" i="1"/>
  <c r="S145" i="1"/>
  <c r="T145" i="1"/>
  <c r="U145" i="1"/>
  <c r="X145" i="1"/>
  <c r="Y145" i="1"/>
  <c r="Z145" i="1"/>
  <c r="AA145" i="1"/>
  <c r="AB145" i="1"/>
  <c r="AC145" i="1"/>
  <c r="AD145" i="1"/>
  <c r="AE145" i="1"/>
  <c r="AF145" i="1"/>
  <c r="AG145" i="1"/>
  <c r="AH145" i="1"/>
  <c r="AI145" i="1"/>
  <c r="AJ145" i="1"/>
  <c r="AK145" i="1"/>
  <c r="C146" i="1"/>
  <c r="H146" i="1"/>
  <c r="I146" i="1"/>
  <c r="J146" i="1"/>
  <c r="K146" i="1"/>
  <c r="M146" i="1"/>
  <c r="P146" i="1"/>
  <c r="R146" i="1"/>
  <c r="S146" i="1"/>
  <c r="T146" i="1"/>
  <c r="U146" i="1"/>
  <c r="X146" i="1"/>
  <c r="Y146" i="1"/>
  <c r="Z146" i="1"/>
  <c r="AA146" i="1"/>
  <c r="AB146" i="1"/>
  <c r="AC146" i="1"/>
  <c r="AD146" i="1"/>
  <c r="AE146" i="1"/>
  <c r="AF146" i="1"/>
  <c r="AG146" i="1"/>
  <c r="AH146" i="1"/>
  <c r="AI146" i="1"/>
  <c r="AJ146" i="1"/>
  <c r="AK146" i="1"/>
  <c r="C147" i="1"/>
  <c r="H147" i="1"/>
  <c r="I147" i="1"/>
  <c r="J147" i="1"/>
  <c r="K147" i="1"/>
  <c r="M147" i="1"/>
  <c r="P147" i="1"/>
  <c r="R147" i="1"/>
  <c r="S147" i="1"/>
  <c r="T147" i="1"/>
  <c r="U147" i="1"/>
  <c r="X147" i="1"/>
  <c r="Y147" i="1"/>
  <c r="Z147" i="1"/>
  <c r="AA147" i="1"/>
  <c r="AB147" i="1"/>
  <c r="AC147" i="1"/>
  <c r="AD147" i="1"/>
  <c r="AE147" i="1"/>
  <c r="AF147" i="1"/>
  <c r="AG147" i="1"/>
  <c r="AH147" i="1"/>
  <c r="AI147" i="1"/>
  <c r="AJ147" i="1"/>
  <c r="AK147" i="1"/>
  <c r="C148" i="1"/>
  <c r="H148" i="1"/>
  <c r="I148" i="1"/>
  <c r="J148" i="1"/>
  <c r="K148" i="1"/>
  <c r="M148" i="1"/>
  <c r="P148" i="1"/>
  <c r="R148" i="1"/>
  <c r="S148" i="1"/>
  <c r="T148" i="1"/>
  <c r="U148" i="1"/>
  <c r="X148" i="1"/>
  <c r="Y148" i="1"/>
  <c r="Z148" i="1"/>
  <c r="AA148" i="1"/>
  <c r="AB148" i="1"/>
  <c r="AC148" i="1"/>
  <c r="AD148" i="1"/>
  <c r="AE148" i="1"/>
  <c r="AF148" i="1"/>
  <c r="AG148" i="1"/>
  <c r="AH148" i="1"/>
  <c r="AI148" i="1"/>
  <c r="AJ148" i="1"/>
  <c r="AK148" i="1"/>
  <c r="C149" i="1"/>
  <c r="H149" i="1"/>
  <c r="I149" i="1"/>
  <c r="J149" i="1"/>
  <c r="K149" i="1"/>
  <c r="M149" i="1"/>
  <c r="P149" i="1"/>
  <c r="R149" i="1"/>
  <c r="S149" i="1"/>
  <c r="T149" i="1"/>
  <c r="U149" i="1"/>
  <c r="X149" i="1"/>
  <c r="Y149" i="1"/>
  <c r="Z149" i="1"/>
  <c r="AA149" i="1"/>
  <c r="AB149" i="1"/>
  <c r="AC149" i="1"/>
  <c r="AD149" i="1"/>
  <c r="AE149" i="1"/>
  <c r="AF149" i="1"/>
  <c r="AG149" i="1"/>
  <c r="AH149" i="1"/>
  <c r="AI149" i="1"/>
  <c r="AJ149" i="1"/>
  <c r="AK149" i="1"/>
  <c r="C150" i="1"/>
  <c r="H150" i="1"/>
  <c r="I150" i="1"/>
  <c r="J150" i="1"/>
  <c r="K150" i="1"/>
  <c r="M150" i="1"/>
  <c r="P150" i="1"/>
  <c r="R150" i="1"/>
  <c r="S150" i="1"/>
  <c r="T150" i="1"/>
  <c r="U150" i="1"/>
  <c r="X150" i="1"/>
  <c r="Y150" i="1"/>
  <c r="Z150" i="1"/>
  <c r="AA150" i="1"/>
  <c r="AB150" i="1"/>
  <c r="AC150" i="1"/>
  <c r="AD150" i="1"/>
  <c r="AE150" i="1"/>
  <c r="AF150" i="1"/>
  <c r="AG150" i="1"/>
  <c r="AH150" i="1"/>
  <c r="AI150" i="1"/>
  <c r="AJ150" i="1"/>
  <c r="AK150" i="1"/>
  <c r="C151" i="1"/>
  <c r="H151" i="1"/>
  <c r="I151" i="1"/>
  <c r="J151" i="1"/>
  <c r="K151" i="1"/>
  <c r="M151" i="1"/>
  <c r="P151" i="1"/>
  <c r="R151" i="1"/>
  <c r="S151" i="1"/>
  <c r="T151" i="1"/>
  <c r="U151" i="1"/>
  <c r="X151" i="1"/>
  <c r="Y151" i="1"/>
  <c r="Z151" i="1"/>
  <c r="AA151" i="1"/>
  <c r="AB151" i="1"/>
  <c r="AC151" i="1"/>
  <c r="AD151" i="1"/>
  <c r="AE151" i="1"/>
  <c r="AF151" i="1"/>
  <c r="AG151" i="1"/>
  <c r="AH151" i="1"/>
  <c r="AI151" i="1"/>
  <c r="AJ151" i="1"/>
  <c r="AK151" i="1"/>
  <c r="C132" i="1"/>
  <c r="H132" i="1"/>
  <c r="I132" i="1"/>
  <c r="J132" i="1"/>
  <c r="K132" i="1"/>
  <c r="M132" i="1"/>
  <c r="P132" i="1"/>
  <c r="R132" i="1"/>
  <c r="S132" i="1"/>
  <c r="T132" i="1"/>
  <c r="U132" i="1"/>
  <c r="X132" i="1"/>
  <c r="Y132" i="1"/>
  <c r="Z132" i="1"/>
  <c r="AA132" i="1"/>
  <c r="AB132" i="1"/>
  <c r="AC132" i="1"/>
  <c r="AD132" i="1"/>
  <c r="AE132" i="1"/>
  <c r="AF132" i="1"/>
  <c r="AG132" i="1"/>
  <c r="AH132" i="1"/>
  <c r="AI132" i="1"/>
  <c r="AJ132" i="1"/>
  <c r="AK132" i="1"/>
  <c r="C133" i="1"/>
  <c r="H133" i="1"/>
  <c r="I133" i="1"/>
  <c r="J133" i="1"/>
  <c r="K133" i="1"/>
  <c r="M133" i="1"/>
  <c r="P133" i="1"/>
  <c r="R133" i="1"/>
  <c r="S133" i="1"/>
  <c r="T133" i="1"/>
  <c r="U133" i="1"/>
  <c r="X133" i="1"/>
  <c r="Y133" i="1"/>
  <c r="Z133" i="1"/>
  <c r="AA133" i="1"/>
  <c r="AB133" i="1"/>
  <c r="AC133" i="1"/>
  <c r="AD133" i="1"/>
  <c r="AE133" i="1"/>
  <c r="AF133" i="1"/>
  <c r="AG133" i="1"/>
  <c r="AH133" i="1"/>
  <c r="AI133" i="1"/>
  <c r="AJ133" i="1"/>
  <c r="AK133" i="1"/>
  <c r="C134" i="1"/>
  <c r="H134" i="1"/>
  <c r="I134" i="1"/>
  <c r="J134" i="1"/>
  <c r="K134" i="1"/>
  <c r="M134" i="1"/>
  <c r="P134" i="1"/>
  <c r="R134" i="1"/>
  <c r="S134" i="1"/>
  <c r="T134" i="1"/>
  <c r="U134" i="1"/>
  <c r="X134" i="1"/>
  <c r="Y134" i="1"/>
  <c r="Z134" i="1"/>
  <c r="AA134" i="1"/>
  <c r="AB134" i="1"/>
  <c r="AC134" i="1"/>
  <c r="AD134" i="1"/>
  <c r="AE134" i="1"/>
  <c r="AF134" i="1"/>
  <c r="AG134" i="1"/>
  <c r="AH134" i="1"/>
  <c r="AI134" i="1"/>
  <c r="AJ134" i="1"/>
  <c r="AK134" i="1"/>
  <c r="C135" i="1"/>
  <c r="H135" i="1"/>
  <c r="I135" i="1"/>
  <c r="J135" i="1"/>
  <c r="K135" i="1"/>
  <c r="M135" i="1"/>
  <c r="P135" i="1"/>
  <c r="R135" i="1"/>
  <c r="S135" i="1"/>
  <c r="T135" i="1"/>
  <c r="U135" i="1"/>
  <c r="X135" i="1"/>
  <c r="Y135" i="1"/>
  <c r="Z135" i="1"/>
  <c r="AA135" i="1"/>
  <c r="AB135" i="1"/>
  <c r="AC135" i="1"/>
  <c r="AD135" i="1"/>
  <c r="AE135" i="1"/>
  <c r="AF135" i="1"/>
  <c r="AG135" i="1"/>
  <c r="AH135" i="1"/>
  <c r="AI135" i="1"/>
  <c r="AJ135" i="1"/>
  <c r="AK135" i="1"/>
  <c r="C136" i="1"/>
  <c r="H136" i="1"/>
  <c r="I136" i="1"/>
  <c r="J136" i="1"/>
  <c r="K136" i="1"/>
  <c r="M136" i="1"/>
  <c r="P136" i="1"/>
  <c r="R136" i="1"/>
  <c r="S136" i="1"/>
  <c r="T136" i="1"/>
  <c r="U136" i="1"/>
  <c r="X136" i="1"/>
  <c r="Y136" i="1"/>
  <c r="Z136" i="1"/>
  <c r="AA136" i="1"/>
  <c r="AB136" i="1"/>
  <c r="AC136" i="1"/>
  <c r="AD136" i="1"/>
  <c r="AE136" i="1"/>
  <c r="AF136" i="1"/>
  <c r="AG136" i="1"/>
  <c r="AH136" i="1"/>
  <c r="AI136" i="1"/>
  <c r="AJ136" i="1"/>
  <c r="AK136" i="1"/>
  <c r="C137" i="1"/>
  <c r="H137" i="1"/>
  <c r="I137" i="1"/>
  <c r="J137" i="1"/>
  <c r="K137" i="1"/>
  <c r="M137" i="1"/>
  <c r="P137" i="1"/>
  <c r="R137" i="1"/>
  <c r="S137" i="1"/>
  <c r="T137" i="1"/>
  <c r="U137" i="1"/>
  <c r="X137" i="1"/>
  <c r="Y137" i="1"/>
  <c r="Z137" i="1"/>
  <c r="AA137" i="1"/>
  <c r="AB137" i="1"/>
  <c r="AC137" i="1"/>
  <c r="AD137" i="1"/>
  <c r="AE137" i="1"/>
  <c r="AF137" i="1"/>
  <c r="AG137" i="1"/>
  <c r="AH137" i="1"/>
  <c r="AI137" i="1"/>
  <c r="AJ137" i="1"/>
  <c r="AK137" i="1"/>
  <c r="C138" i="1"/>
  <c r="H138" i="1"/>
  <c r="I138" i="1"/>
  <c r="J138" i="1"/>
  <c r="K138" i="1"/>
  <c r="M138" i="1"/>
  <c r="P138" i="1"/>
  <c r="R138" i="1"/>
  <c r="S138" i="1"/>
  <c r="T138" i="1"/>
  <c r="U138" i="1"/>
  <c r="X138" i="1"/>
  <c r="Y138" i="1"/>
  <c r="Z138" i="1"/>
  <c r="AA138" i="1"/>
  <c r="AB138" i="1"/>
  <c r="AC138" i="1"/>
  <c r="AD138" i="1"/>
  <c r="AE138" i="1"/>
  <c r="AF138" i="1"/>
  <c r="AG138" i="1"/>
  <c r="AH138" i="1"/>
  <c r="AI138" i="1"/>
  <c r="AJ138" i="1"/>
  <c r="AK138" i="1"/>
  <c r="C139" i="1"/>
  <c r="H139" i="1"/>
  <c r="I139" i="1"/>
  <c r="J139" i="1"/>
  <c r="K139" i="1"/>
  <c r="M139" i="1"/>
  <c r="P139" i="1"/>
  <c r="R139" i="1"/>
  <c r="S139" i="1"/>
  <c r="T139" i="1"/>
  <c r="U139" i="1"/>
  <c r="X139" i="1"/>
  <c r="Y139" i="1"/>
  <c r="Z139" i="1"/>
  <c r="AA139" i="1"/>
  <c r="AB139" i="1"/>
  <c r="AC139" i="1"/>
  <c r="AD139" i="1"/>
  <c r="AE139" i="1"/>
  <c r="AF139" i="1"/>
  <c r="AG139" i="1"/>
  <c r="AH139" i="1"/>
  <c r="AI139" i="1"/>
  <c r="AJ139" i="1"/>
  <c r="AK139" i="1"/>
  <c r="C140" i="1"/>
  <c r="H140" i="1"/>
  <c r="I140" i="1"/>
  <c r="J140" i="1"/>
  <c r="K140" i="1"/>
  <c r="M140" i="1"/>
  <c r="P140" i="1"/>
  <c r="R140" i="1"/>
  <c r="S140" i="1"/>
  <c r="T140" i="1"/>
  <c r="U140" i="1"/>
  <c r="X140" i="1"/>
  <c r="Y140" i="1"/>
  <c r="Z140" i="1"/>
  <c r="AA140" i="1"/>
  <c r="AB140" i="1"/>
  <c r="AC140" i="1"/>
  <c r="AD140" i="1"/>
  <c r="AE140" i="1"/>
  <c r="AF140" i="1"/>
  <c r="AG140" i="1"/>
  <c r="AH140" i="1"/>
  <c r="AI140" i="1"/>
  <c r="AJ140" i="1"/>
  <c r="AK140" i="1"/>
  <c r="C141" i="1"/>
  <c r="H141" i="1"/>
  <c r="I141" i="1"/>
  <c r="J141" i="1"/>
  <c r="K141" i="1"/>
  <c r="M141" i="1"/>
  <c r="P141" i="1"/>
  <c r="R141" i="1"/>
  <c r="S141" i="1"/>
  <c r="T141" i="1"/>
  <c r="U141" i="1"/>
  <c r="X141" i="1"/>
  <c r="Y141" i="1"/>
  <c r="Z141" i="1"/>
  <c r="AA141" i="1"/>
  <c r="AB141" i="1"/>
  <c r="AC141" i="1"/>
  <c r="AD141" i="1"/>
  <c r="AE141" i="1"/>
  <c r="AF141" i="1"/>
  <c r="AG141" i="1"/>
  <c r="AH141" i="1"/>
  <c r="AI141" i="1"/>
  <c r="AJ141" i="1"/>
  <c r="AK141" i="1"/>
  <c r="C122" i="1"/>
  <c r="H122" i="1"/>
  <c r="I122" i="1"/>
  <c r="J122" i="1"/>
  <c r="K122" i="1"/>
  <c r="M122" i="1"/>
  <c r="P122" i="1"/>
  <c r="R122" i="1"/>
  <c r="S122" i="1"/>
  <c r="T122" i="1"/>
  <c r="U122" i="1"/>
  <c r="X122" i="1"/>
  <c r="Y122" i="1"/>
  <c r="Z122" i="1"/>
  <c r="AA122" i="1"/>
  <c r="AB122" i="1"/>
  <c r="AC122" i="1"/>
  <c r="AD122" i="1"/>
  <c r="AE122" i="1"/>
  <c r="AF122" i="1"/>
  <c r="AG122" i="1"/>
  <c r="AH122" i="1"/>
  <c r="AI122" i="1"/>
  <c r="AJ122" i="1"/>
  <c r="AK122" i="1"/>
  <c r="C123" i="1"/>
  <c r="H123" i="1"/>
  <c r="I123" i="1"/>
  <c r="J123" i="1"/>
  <c r="K123" i="1"/>
  <c r="M123" i="1"/>
  <c r="P123" i="1"/>
  <c r="R123" i="1"/>
  <c r="S123" i="1"/>
  <c r="T123" i="1"/>
  <c r="U123" i="1"/>
  <c r="X123" i="1"/>
  <c r="Y123" i="1"/>
  <c r="Z123" i="1"/>
  <c r="AA123" i="1"/>
  <c r="AB123" i="1"/>
  <c r="AC123" i="1"/>
  <c r="AD123" i="1"/>
  <c r="AE123" i="1"/>
  <c r="AF123" i="1"/>
  <c r="AG123" i="1"/>
  <c r="AH123" i="1"/>
  <c r="AI123" i="1"/>
  <c r="AJ123" i="1"/>
  <c r="AK123" i="1"/>
  <c r="C124" i="1"/>
  <c r="H124" i="1"/>
  <c r="I124" i="1"/>
  <c r="J124" i="1"/>
  <c r="K124" i="1"/>
  <c r="M124" i="1"/>
  <c r="P124" i="1"/>
  <c r="R124" i="1"/>
  <c r="S124" i="1"/>
  <c r="T124" i="1"/>
  <c r="U124" i="1"/>
  <c r="X124" i="1"/>
  <c r="Y124" i="1"/>
  <c r="Z124" i="1"/>
  <c r="AA124" i="1"/>
  <c r="AB124" i="1"/>
  <c r="AC124" i="1"/>
  <c r="AD124" i="1"/>
  <c r="AE124" i="1"/>
  <c r="AF124" i="1"/>
  <c r="AG124" i="1"/>
  <c r="AH124" i="1"/>
  <c r="AI124" i="1"/>
  <c r="AJ124" i="1"/>
  <c r="AK124" i="1"/>
  <c r="C125" i="1"/>
  <c r="H125" i="1"/>
  <c r="I125" i="1"/>
  <c r="J125" i="1"/>
  <c r="K125" i="1"/>
  <c r="M125" i="1"/>
  <c r="P125" i="1"/>
  <c r="R125" i="1"/>
  <c r="S125" i="1"/>
  <c r="T125" i="1"/>
  <c r="U125" i="1"/>
  <c r="X125" i="1"/>
  <c r="Y125" i="1"/>
  <c r="Z125" i="1"/>
  <c r="AA125" i="1"/>
  <c r="AB125" i="1"/>
  <c r="AC125" i="1"/>
  <c r="AD125" i="1"/>
  <c r="AE125" i="1"/>
  <c r="AF125" i="1"/>
  <c r="AG125" i="1"/>
  <c r="AH125" i="1"/>
  <c r="AI125" i="1"/>
  <c r="AJ125" i="1"/>
  <c r="AK125" i="1"/>
  <c r="C126" i="1"/>
  <c r="H126" i="1"/>
  <c r="I126" i="1"/>
  <c r="J126" i="1"/>
  <c r="K126" i="1"/>
  <c r="M126" i="1"/>
  <c r="P126" i="1"/>
  <c r="R126" i="1"/>
  <c r="S126" i="1"/>
  <c r="T126" i="1"/>
  <c r="U126" i="1"/>
  <c r="X126" i="1"/>
  <c r="Y126" i="1"/>
  <c r="Z126" i="1"/>
  <c r="AA126" i="1"/>
  <c r="AB126" i="1"/>
  <c r="AC126" i="1"/>
  <c r="AD126" i="1"/>
  <c r="AE126" i="1"/>
  <c r="AF126" i="1"/>
  <c r="AG126" i="1"/>
  <c r="AH126" i="1"/>
  <c r="AI126" i="1"/>
  <c r="AJ126" i="1"/>
  <c r="AK126" i="1"/>
  <c r="C127" i="1"/>
  <c r="H127" i="1"/>
  <c r="I127" i="1"/>
  <c r="J127" i="1"/>
  <c r="K127" i="1"/>
  <c r="M127" i="1"/>
  <c r="P127" i="1"/>
  <c r="R127" i="1"/>
  <c r="S127" i="1"/>
  <c r="T127" i="1"/>
  <c r="U127" i="1"/>
  <c r="X127" i="1"/>
  <c r="Y127" i="1"/>
  <c r="Z127" i="1"/>
  <c r="AA127" i="1"/>
  <c r="AB127" i="1"/>
  <c r="AC127" i="1"/>
  <c r="AD127" i="1"/>
  <c r="AE127" i="1"/>
  <c r="AF127" i="1"/>
  <c r="AG127" i="1"/>
  <c r="AH127" i="1"/>
  <c r="AI127" i="1"/>
  <c r="AJ127" i="1"/>
  <c r="AK127" i="1"/>
  <c r="C128" i="1"/>
  <c r="H128" i="1"/>
  <c r="I128" i="1"/>
  <c r="J128" i="1"/>
  <c r="K128" i="1"/>
  <c r="M128" i="1"/>
  <c r="P128" i="1"/>
  <c r="R128" i="1"/>
  <c r="S128" i="1"/>
  <c r="T128" i="1"/>
  <c r="U128" i="1"/>
  <c r="X128" i="1"/>
  <c r="Y128" i="1"/>
  <c r="Z128" i="1"/>
  <c r="AA128" i="1"/>
  <c r="AB128" i="1"/>
  <c r="AC128" i="1"/>
  <c r="AD128" i="1"/>
  <c r="AE128" i="1"/>
  <c r="AF128" i="1"/>
  <c r="AG128" i="1"/>
  <c r="AH128" i="1"/>
  <c r="AI128" i="1"/>
  <c r="AJ128" i="1"/>
  <c r="AK128" i="1"/>
  <c r="C129" i="1"/>
  <c r="H129" i="1"/>
  <c r="I129" i="1"/>
  <c r="J129" i="1"/>
  <c r="K129" i="1"/>
  <c r="M129" i="1"/>
  <c r="P129" i="1"/>
  <c r="R129" i="1"/>
  <c r="S129" i="1"/>
  <c r="T129" i="1"/>
  <c r="U129" i="1"/>
  <c r="X129" i="1"/>
  <c r="Y129" i="1"/>
  <c r="Z129" i="1"/>
  <c r="AA129" i="1"/>
  <c r="AB129" i="1"/>
  <c r="AC129" i="1"/>
  <c r="AD129" i="1"/>
  <c r="AE129" i="1"/>
  <c r="AF129" i="1"/>
  <c r="AG129" i="1"/>
  <c r="AH129" i="1"/>
  <c r="AI129" i="1"/>
  <c r="AJ129" i="1"/>
  <c r="AK129" i="1"/>
  <c r="C130" i="1"/>
  <c r="H130" i="1"/>
  <c r="I130" i="1"/>
  <c r="J130" i="1"/>
  <c r="K130" i="1"/>
  <c r="M130" i="1"/>
  <c r="P130" i="1"/>
  <c r="R130" i="1"/>
  <c r="S130" i="1"/>
  <c r="T130" i="1"/>
  <c r="U130" i="1"/>
  <c r="X130" i="1"/>
  <c r="Y130" i="1"/>
  <c r="Z130" i="1"/>
  <c r="AA130" i="1"/>
  <c r="AB130" i="1"/>
  <c r="AC130" i="1"/>
  <c r="AD130" i="1"/>
  <c r="AE130" i="1"/>
  <c r="AF130" i="1"/>
  <c r="AG130" i="1"/>
  <c r="AH130" i="1"/>
  <c r="AI130" i="1"/>
  <c r="AJ130" i="1"/>
  <c r="AK130" i="1"/>
  <c r="C131" i="1"/>
  <c r="H131" i="1"/>
  <c r="I131" i="1"/>
  <c r="J131" i="1"/>
  <c r="K131" i="1"/>
  <c r="M131" i="1"/>
  <c r="P131" i="1"/>
  <c r="R131" i="1"/>
  <c r="S131" i="1"/>
  <c r="T131" i="1"/>
  <c r="U131" i="1"/>
  <c r="X131" i="1"/>
  <c r="Y131" i="1"/>
  <c r="Z131" i="1"/>
  <c r="AA131" i="1"/>
  <c r="AB131" i="1"/>
  <c r="AC131" i="1"/>
  <c r="AD131" i="1"/>
  <c r="AE131" i="1"/>
  <c r="AF131" i="1"/>
  <c r="AG131" i="1"/>
  <c r="AH131" i="1"/>
  <c r="AI131" i="1"/>
  <c r="AJ131" i="1"/>
  <c r="AK131" i="1"/>
  <c r="C112" i="1"/>
  <c r="H112" i="1"/>
  <c r="I112" i="1"/>
  <c r="J112" i="1"/>
  <c r="K112" i="1"/>
  <c r="M112" i="1"/>
  <c r="P112" i="1"/>
  <c r="R112" i="1"/>
  <c r="S112" i="1"/>
  <c r="T112" i="1"/>
  <c r="U112" i="1"/>
  <c r="X112" i="1"/>
  <c r="Y112" i="1"/>
  <c r="Z112" i="1"/>
  <c r="AA112" i="1"/>
  <c r="AB112" i="1"/>
  <c r="AC112" i="1"/>
  <c r="AD112" i="1"/>
  <c r="AE112" i="1"/>
  <c r="AF112" i="1"/>
  <c r="AG112" i="1"/>
  <c r="AH112" i="1"/>
  <c r="AI112" i="1"/>
  <c r="AJ112" i="1"/>
  <c r="AK112" i="1"/>
  <c r="C113" i="1"/>
  <c r="H113" i="1"/>
  <c r="I113" i="1"/>
  <c r="J113" i="1"/>
  <c r="K113" i="1"/>
  <c r="M113" i="1"/>
  <c r="P113" i="1"/>
  <c r="R113" i="1"/>
  <c r="S113" i="1"/>
  <c r="T113" i="1"/>
  <c r="U113" i="1"/>
  <c r="X113" i="1"/>
  <c r="Y113" i="1"/>
  <c r="Z113" i="1"/>
  <c r="AA113" i="1"/>
  <c r="AB113" i="1"/>
  <c r="AC113" i="1"/>
  <c r="AD113" i="1"/>
  <c r="AE113" i="1"/>
  <c r="AF113" i="1"/>
  <c r="AG113" i="1"/>
  <c r="AH113" i="1"/>
  <c r="AI113" i="1"/>
  <c r="AJ113" i="1"/>
  <c r="AK113" i="1"/>
  <c r="C114" i="1"/>
  <c r="H114" i="1"/>
  <c r="I114" i="1"/>
  <c r="J114" i="1"/>
  <c r="K114" i="1"/>
  <c r="M114" i="1"/>
  <c r="P114" i="1"/>
  <c r="R114" i="1"/>
  <c r="S114" i="1"/>
  <c r="T114" i="1"/>
  <c r="U114" i="1"/>
  <c r="X114" i="1"/>
  <c r="Y114" i="1"/>
  <c r="Z114" i="1"/>
  <c r="AA114" i="1"/>
  <c r="AB114" i="1"/>
  <c r="AC114" i="1"/>
  <c r="AD114" i="1"/>
  <c r="AE114" i="1"/>
  <c r="AF114" i="1"/>
  <c r="AG114" i="1"/>
  <c r="AH114" i="1"/>
  <c r="AI114" i="1"/>
  <c r="AJ114" i="1"/>
  <c r="AK114" i="1"/>
  <c r="C115" i="1"/>
  <c r="H115" i="1"/>
  <c r="I115" i="1"/>
  <c r="J115" i="1"/>
  <c r="K115" i="1"/>
  <c r="M115" i="1"/>
  <c r="P115" i="1"/>
  <c r="R115" i="1"/>
  <c r="S115" i="1"/>
  <c r="T115" i="1"/>
  <c r="U115" i="1"/>
  <c r="X115" i="1"/>
  <c r="Y115" i="1"/>
  <c r="Z115" i="1"/>
  <c r="AA115" i="1"/>
  <c r="AB115" i="1"/>
  <c r="AC115" i="1"/>
  <c r="AD115" i="1"/>
  <c r="AE115" i="1"/>
  <c r="AF115" i="1"/>
  <c r="AG115" i="1"/>
  <c r="AH115" i="1"/>
  <c r="AI115" i="1"/>
  <c r="AJ115" i="1"/>
  <c r="AK115" i="1"/>
  <c r="C116" i="1"/>
  <c r="H116" i="1"/>
  <c r="I116" i="1"/>
  <c r="J116" i="1"/>
  <c r="K116" i="1"/>
  <c r="M116" i="1"/>
  <c r="P116" i="1"/>
  <c r="R116" i="1"/>
  <c r="S116" i="1"/>
  <c r="T116" i="1"/>
  <c r="U116" i="1"/>
  <c r="X116" i="1"/>
  <c r="Y116" i="1"/>
  <c r="Z116" i="1"/>
  <c r="AA116" i="1"/>
  <c r="AB116" i="1"/>
  <c r="AC116" i="1"/>
  <c r="AD116" i="1"/>
  <c r="AE116" i="1"/>
  <c r="AF116" i="1"/>
  <c r="AG116" i="1"/>
  <c r="AH116" i="1"/>
  <c r="AI116" i="1"/>
  <c r="AJ116" i="1"/>
  <c r="AK116" i="1"/>
  <c r="C117" i="1"/>
  <c r="H117" i="1"/>
  <c r="I117" i="1"/>
  <c r="J117" i="1"/>
  <c r="K117" i="1"/>
  <c r="M117" i="1"/>
  <c r="P117" i="1"/>
  <c r="R117" i="1"/>
  <c r="S117" i="1"/>
  <c r="T117" i="1"/>
  <c r="U117" i="1"/>
  <c r="X117" i="1"/>
  <c r="Y117" i="1"/>
  <c r="Z117" i="1"/>
  <c r="AA117" i="1"/>
  <c r="AB117" i="1"/>
  <c r="AC117" i="1"/>
  <c r="AD117" i="1"/>
  <c r="AE117" i="1"/>
  <c r="AF117" i="1"/>
  <c r="AG117" i="1"/>
  <c r="AH117" i="1"/>
  <c r="AI117" i="1"/>
  <c r="AJ117" i="1"/>
  <c r="AK117" i="1"/>
  <c r="C118" i="1"/>
  <c r="H118" i="1"/>
  <c r="I118" i="1"/>
  <c r="J118" i="1"/>
  <c r="K118" i="1"/>
  <c r="M118" i="1"/>
  <c r="P118" i="1"/>
  <c r="R118" i="1"/>
  <c r="S118" i="1"/>
  <c r="T118" i="1"/>
  <c r="U118" i="1"/>
  <c r="X118" i="1"/>
  <c r="Y118" i="1"/>
  <c r="Z118" i="1"/>
  <c r="AA118" i="1"/>
  <c r="AB118" i="1"/>
  <c r="AC118" i="1"/>
  <c r="AD118" i="1"/>
  <c r="AE118" i="1"/>
  <c r="AF118" i="1"/>
  <c r="AG118" i="1"/>
  <c r="AH118" i="1"/>
  <c r="AI118" i="1"/>
  <c r="AJ118" i="1"/>
  <c r="AK118" i="1"/>
  <c r="C119" i="1"/>
  <c r="H119" i="1"/>
  <c r="I119" i="1"/>
  <c r="J119" i="1"/>
  <c r="K119" i="1"/>
  <c r="M119" i="1"/>
  <c r="P119" i="1"/>
  <c r="R119" i="1"/>
  <c r="S119" i="1"/>
  <c r="T119" i="1"/>
  <c r="U119" i="1"/>
  <c r="X119" i="1"/>
  <c r="Y119" i="1"/>
  <c r="Z119" i="1"/>
  <c r="AA119" i="1"/>
  <c r="AB119" i="1"/>
  <c r="AC119" i="1"/>
  <c r="AD119" i="1"/>
  <c r="AE119" i="1"/>
  <c r="AF119" i="1"/>
  <c r="AG119" i="1"/>
  <c r="AH119" i="1"/>
  <c r="AI119" i="1"/>
  <c r="AJ119" i="1"/>
  <c r="AK119" i="1"/>
  <c r="C120" i="1"/>
  <c r="H120" i="1"/>
  <c r="I120" i="1"/>
  <c r="J120" i="1"/>
  <c r="K120" i="1"/>
  <c r="M120" i="1"/>
  <c r="P120" i="1"/>
  <c r="R120" i="1"/>
  <c r="S120" i="1"/>
  <c r="T120" i="1"/>
  <c r="U120" i="1"/>
  <c r="X120" i="1"/>
  <c r="Y120" i="1"/>
  <c r="Z120" i="1"/>
  <c r="AA120" i="1"/>
  <c r="AB120" i="1"/>
  <c r="AC120" i="1"/>
  <c r="AD120" i="1"/>
  <c r="AE120" i="1"/>
  <c r="AF120" i="1"/>
  <c r="AG120" i="1"/>
  <c r="AH120" i="1"/>
  <c r="AI120" i="1"/>
  <c r="AJ120" i="1"/>
  <c r="AK120" i="1"/>
  <c r="C121" i="1"/>
  <c r="H121" i="1"/>
  <c r="I121" i="1"/>
  <c r="J121" i="1"/>
  <c r="K121" i="1"/>
  <c r="M121" i="1"/>
  <c r="P121" i="1"/>
  <c r="R121" i="1"/>
  <c r="S121" i="1"/>
  <c r="T121" i="1"/>
  <c r="U121" i="1"/>
  <c r="X121" i="1"/>
  <c r="Y121" i="1"/>
  <c r="Z121" i="1"/>
  <c r="AA121" i="1"/>
  <c r="AB121" i="1"/>
  <c r="AC121" i="1"/>
  <c r="AD121" i="1"/>
  <c r="AE121" i="1"/>
  <c r="AF121" i="1"/>
  <c r="AG121" i="1"/>
  <c r="AH121" i="1"/>
  <c r="AI121" i="1"/>
  <c r="AJ121" i="1"/>
  <c r="AK121" i="1"/>
  <c r="C102" i="1"/>
  <c r="H102" i="1"/>
  <c r="I102" i="1"/>
  <c r="J102" i="1"/>
  <c r="K102" i="1"/>
  <c r="M102" i="1"/>
  <c r="P102" i="1"/>
  <c r="R102" i="1"/>
  <c r="S102" i="1"/>
  <c r="T102" i="1"/>
  <c r="U102" i="1"/>
  <c r="X102" i="1"/>
  <c r="Y102" i="1"/>
  <c r="Z102" i="1"/>
  <c r="AA102" i="1"/>
  <c r="AB102" i="1"/>
  <c r="AC102" i="1"/>
  <c r="AD102" i="1"/>
  <c r="AE102" i="1"/>
  <c r="AF102" i="1"/>
  <c r="AG102" i="1"/>
  <c r="AH102" i="1"/>
  <c r="AI102" i="1"/>
  <c r="AJ102" i="1"/>
  <c r="AK102" i="1"/>
  <c r="C103" i="1"/>
  <c r="H103" i="1"/>
  <c r="I103" i="1"/>
  <c r="J103" i="1"/>
  <c r="K103" i="1"/>
  <c r="M103" i="1"/>
  <c r="P103" i="1"/>
  <c r="R103" i="1"/>
  <c r="S103" i="1"/>
  <c r="T103" i="1"/>
  <c r="U103" i="1"/>
  <c r="X103" i="1"/>
  <c r="Y103" i="1"/>
  <c r="Z103" i="1"/>
  <c r="AA103" i="1"/>
  <c r="AB103" i="1"/>
  <c r="AC103" i="1"/>
  <c r="AD103" i="1"/>
  <c r="AE103" i="1"/>
  <c r="AF103" i="1"/>
  <c r="AG103" i="1"/>
  <c r="AH103" i="1"/>
  <c r="AI103" i="1"/>
  <c r="AJ103" i="1"/>
  <c r="AK103" i="1"/>
  <c r="C104" i="1"/>
  <c r="H104" i="1"/>
  <c r="I104" i="1"/>
  <c r="J104" i="1"/>
  <c r="K104" i="1"/>
  <c r="M104" i="1"/>
  <c r="P104" i="1"/>
  <c r="R104" i="1"/>
  <c r="S104" i="1"/>
  <c r="T104" i="1"/>
  <c r="U104" i="1"/>
  <c r="X104" i="1"/>
  <c r="Y104" i="1"/>
  <c r="Z104" i="1"/>
  <c r="AA104" i="1"/>
  <c r="AB104" i="1"/>
  <c r="AC104" i="1"/>
  <c r="AD104" i="1"/>
  <c r="AE104" i="1"/>
  <c r="AF104" i="1"/>
  <c r="AG104" i="1"/>
  <c r="AH104" i="1"/>
  <c r="AI104" i="1"/>
  <c r="AJ104" i="1"/>
  <c r="AK104" i="1"/>
  <c r="C105" i="1"/>
  <c r="H105" i="1"/>
  <c r="I105" i="1"/>
  <c r="J105" i="1"/>
  <c r="K105" i="1"/>
  <c r="M105" i="1"/>
  <c r="P105" i="1"/>
  <c r="R105" i="1"/>
  <c r="S105" i="1"/>
  <c r="T105" i="1"/>
  <c r="U105" i="1"/>
  <c r="X105" i="1"/>
  <c r="Y105" i="1"/>
  <c r="Z105" i="1"/>
  <c r="AA105" i="1"/>
  <c r="AB105" i="1"/>
  <c r="AC105" i="1"/>
  <c r="AD105" i="1"/>
  <c r="AE105" i="1"/>
  <c r="AF105" i="1"/>
  <c r="AG105" i="1"/>
  <c r="AH105" i="1"/>
  <c r="AI105" i="1"/>
  <c r="AJ105" i="1"/>
  <c r="AK105" i="1"/>
  <c r="C106" i="1"/>
  <c r="H106" i="1"/>
  <c r="I106" i="1"/>
  <c r="J106" i="1"/>
  <c r="K106" i="1"/>
  <c r="M106" i="1"/>
  <c r="P106" i="1"/>
  <c r="R106" i="1"/>
  <c r="S106" i="1"/>
  <c r="T106" i="1"/>
  <c r="U106" i="1"/>
  <c r="X106" i="1"/>
  <c r="Y106" i="1"/>
  <c r="Z106" i="1"/>
  <c r="AA106" i="1"/>
  <c r="AB106" i="1"/>
  <c r="AC106" i="1"/>
  <c r="AD106" i="1"/>
  <c r="AE106" i="1"/>
  <c r="AF106" i="1"/>
  <c r="AG106" i="1"/>
  <c r="AH106" i="1"/>
  <c r="AI106" i="1"/>
  <c r="AJ106" i="1"/>
  <c r="AK106" i="1"/>
  <c r="C107" i="1"/>
  <c r="H107" i="1"/>
  <c r="I107" i="1"/>
  <c r="J107" i="1"/>
  <c r="K107" i="1"/>
  <c r="M107" i="1"/>
  <c r="P107" i="1"/>
  <c r="R107" i="1"/>
  <c r="S107" i="1"/>
  <c r="T107" i="1"/>
  <c r="U107" i="1"/>
  <c r="X107" i="1"/>
  <c r="Y107" i="1"/>
  <c r="Z107" i="1"/>
  <c r="AA107" i="1"/>
  <c r="AB107" i="1"/>
  <c r="AC107" i="1"/>
  <c r="AD107" i="1"/>
  <c r="AE107" i="1"/>
  <c r="AF107" i="1"/>
  <c r="AG107" i="1"/>
  <c r="AH107" i="1"/>
  <c r="AI107" i="1"/>
  <c r="AJ107" i="1"/>
  <c r="AK107" i="1"/>
  <c r="C108" i="1"/>
  <c r="H108" i="1"/>
  <c r="I108" i="1"/>
  <c r="J108" i="1"/>
  <c r="K108" i="1"/>
  <c r="M108" i="1"/>
  <c r="P108" i="1"/>
  <c r="R108" i="1"/>
  <c r="S108" i="1"/>
  <c r="T108" i="1"/>
  <c r="U108" i="1"/>
  <c r="X108" i="1"/>
  <c r="Y108" i="1"/>
  <c r="Z108" i="1"/>
  <c r="AA108" i="1"/>
  <c r="AB108" i="1"/>
  <c r="AC108" i="1"/>
  <c r="AD108" i="1"/>
  <c r="AE108" i="1"/>
  <c r="AF108" i="1"/>
  <c r="AG108" i="1"/>
  <c r="AH108" i="1"/>
  <c r="AI108" i="1"/>
  <c r="AJ108" i="1"/>
  <c r="AK108" i="1"/>
  <c r="C109" i="1"/>
  <c r="H109" i="1"/>
  <c r="I109" i="1"/>
  <c r="J109" i="1"/>
  <c r="K109" i="1"/>
  <c r="M109" i="1"/>
  <c r="P109" i="1"/>
  <c r="R109" i="1"/>
  <c r="S109" i="1"/>
  <c r="T109" i="1"/>
  <c r="U109" i="1"/>
  <c r="X109" i="1"/>
  <c r="Y109" i="1"/>
  <c r="Z109" i="1"/>
  <c r="AA109" i="1"/>
  <c r="AB109" i="1"/>
  <c r="AC109" i="1"/>
  <c r="AD109" i="1"/>
  <c r="AE109" i="1"/>
  <c r="AF109" i="1"/>
  <c r="AG109" i="1"/>
  <c r="AH109" i="1"/>
  <c r="AI109" i="1"/>
  <c r="AJ109" i="1"/>
  <c r="AK109" i="1"/>
  <c r="C110" i="1"/>
  <c r="H110" i="1"/>
  <c r="I110" i="1"/>
  <c r="J110" i="1"/>
  <c r="K110" i="1"/>
  <c r="M110" i="1"/>
  <c r="P110" i="1"/>
  <c r="R110" i="1"/>
  <c r="S110" i="1"/>
  <c r="T110" i="1"/>
  <c r="U110" i="1"/>
  <c r="X110" i="1"/>
  <c r="Y110" i="1"/>
  <c r="Z110" i="1"/>
  <c r="AA110" i="1"/>
  <c r="AB110" i="1"/>
  <c r="AC110" i="1"/>
  <c r="AD110" i="1"/>
  <c r="AE110" i="1"/>
  <c r="AF110" i="1"/>
  <c r="AG110" i="1"/>
  <c r="AH110" i="1"/>
  <c r="AI110" i="1"/>
  <c r="AJ110" i="1"/>
  <c r="AK110" i="1"/>
  <c r="C111" i="1"/>
  <c r="H111" i="1"/>
  <c r="I111" i="1"/>
  <c r="J111" i="1"/>
  <c r="K111" i="1"/>
  <c r="M111" i="1"/>
  <c r="P111" i="1"/>
  <c r="R111" i="1"/>
  <c r="S111" i="1"/>
  <c r="T111" i="1"/>
  <c r="U111" i="1"/>
  <c r="X111" i="1"/>
  <c r="Y111" i="1"/>
  <c r="Z111" i="1"/>
  <c r="AA111" i="1"/>
  <c r="AB111" i="1"/>
  <c r="AC111" i="1"/>
  <c r="AD111" i="1"/>
  <c r="AE111" i="1"/>
  <c r="AF111" i="1"/>
  <c r="AG111" i="1"/>
  <c r="AH111" i="1"/>
  <c r="AI111" i="1"/>
  <c r="AJ111" i="1"/>
  <c r="AK111" i="1"/>
  <c r="C92" i="1"/>
  <c r="H92" i="1"/>
  <c r="I92" i="1"/>
  <c r="J92" i="1"/>
  <c r="K92" i="1"/>
  <c r="M92" i="1"/>
  <c r="P92" i="1"/>
  <c r="R92" i="1"/>
  <c r="S92" i="1"/>
  <c r="T92" i="1"/>
  <c r="U92" i="1"/>
  <c r="X92" i="1"/>
  <c r="Y92" i="1"/>
  <c r="Z92" i="1"/>
  <c r="AA92" i="1"/>
  <c r="AB92" i="1"/>
  <c r="AC92" i="1"/>
  <c r="AD92" i="1"/>
  <c r="AE92" i="1"/>
  <c r="AF92" i="1"/>
  <c r="AG92" i="1"/>
  <c r="AH92" i="1"/>
  <c r="AI92" i="1"/>
  <c r="AJ92" i="1"/>
  <c r="AK92" i="1"/>
  <c r="C93" i="1"/>
  <c r="H93" i="1"/>
  <c r="I93" i="1"/>
  <c r="J93" i="1"/>
  <c r="K93" i="1"/>
  <c r="M93" i="1"/>
  <c r="P93" i="1"/>
  <c r="R93" i="1"/>
  <c r="S93" i="1"/>
  <c r="T93" i="1"/>
  <c r="U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C94" i="1"/>
  <c r="H94" i="1"/>
  <c r="I94" i="1"/>
  <c r="J94" i="1"/>
  <c r="K94" i="1"/>
  <c r="M94" i="1"/>
  <c r="P94" i="1"/>
  <c r="R94" i="1"/>
  <c r="S94" i="1"/>
  <c r="T94" i="1"/>
  <c r="U94" i="1"/>
  <c r="X94" i="1"/>
  <c r="Y94" i="1"/>
  <c r="Z94" i="1"/>
  <c r="AA94" i="1"/>
  <c r="AB94" i="1"/>
  <c r="AC94" i="1"/>
  <c r="AD94" i="1"/>
  <c r="AE94" i="1"/>
  <c r="AF94" i="1"/>
  <c r="AG94" i="1"/>
  <c r="AH94" i="1"/>
  <c r="AI94" i="1"/>
  <c r="AJ94" i="1"/>
  <c r="AK94" i="1"/>
  <c r="C95" i="1"/>
  <c r="H95" i="1"/>
  <c r="I95" i="1"/>
  <c r="J95" i="1"/>
  <c r="K95" i="1"/>
  <c r="M95" i="1"/>
  <c r="P95" i="1"/>
  <c r="R95" i="1"/>
  <c r="S95" i="1"/>
  <c r="T95" i="1"/>
  <c r="U95" i="1"/>
  <c r="X95" i="1"/>
  <c r="Y95" i="1"/>
  <c r="Z95" i="1"/>
  <c r="AA95" i="1"/>
  <c r="AB95" i="1"/>
  <c r="AC95" i="1"/>
  <c r="AD95" i="1"/>
  <c r="AE95" i="1"/>
  <c r="AF95" i="1"/>
  <c r="AG95" i="1"/>
  <c r="AH95" i="1"/>
  <c r="AI95" i="1"/>
  <c r="AJ95" i="1"/>
  <c r="AK95" i="1"/>
  <c r="C96" i="1"/>
  <c r="H96" i="1"/>
  <c r="I96" i="1"/>
  <c r="J96" i="1"/>
  <c r="K96" i="1"/>
  <c r="M96" i="1"/>
  <c r="P96" i="1"/>
  <c r="R96" i="1"/>
  <c r="S96" i="1"/>
  <c r="T96" i="1"/>
  <c r="U96" i="1"/>
  <c r="X96" i="1"/>
  <c r="Y96" i="1"/>
  <c r="Z96" i="1"/>
  <c r="AA96" i="1"/>
  <c r="AB96" i="1"/>
  <c r="AC96" i="1"/>
  <c r="AD96" i="1"/>
  <c r="AE96" i="1"/>
  <c r="AF96" i="1"/>
  <c r="AG96" i="1"/>
  <c r="AH96" i="1"/>
  <c r="AI96" i="1"/>
  <c r="AJ96" i="1"/>
  <c r="AK96" i="1"/>
  <c r="C97" i="1"/>
  <c r="H97" i="1"/>
  <c r="I97" i="1"/>
  <c r="J97" i="1"/>
  <c r="K97" i="1"/>
  <c r="M97" i="1"/>
  <c r="P97" i="1"/>
  <c r="R97" i="1"/>
  <c r="S97" i="1"/>
  <c r="T97" i="1"/>
  <c r="U97" i="1"/>
  <c r="X97" i="1"/>
  <c r="Y97" i="1"/>
  <c r="Z97" i="1"/>
  <c r="AA97" i="1"/>
  <c r="AB97" i="1"/>
  <c r="AC97" i="1"/>
  <c r="AD97" i="1"/>
  <c r="AE97" i="1"/>
  <c r="AF97" i="1"/>
  <c r="AG97" i="1"/>
  <c r="AH97" i="1"/>
  <c r="AI97" i="1"/>
  <c r="AJ97" i="1"/>
  <c r="AK97" i="1"/>
  <c r="C98" i="1"/>
  <c r="H98" i="1"/>
  <c r="I98" i="1"/>
  <c r="J98" i="1"/>
  <c r="K98" i="1"/>
  <c r="M98" i="1"/>
  <c r="P98" i="1"/>
  <c r="R98" i="1"/>
  <c r="S98" i="1"/>
  <c r="T98" i="1"/>
  <c r="U98" i="1"/>
  <c r="X98" i="1"/>
  <c r="Y98" i="1"/>
  <c r="Z98" i="1"/>
  <c r="AA98" i="1"/>
  <c r="AB98" i="1"/>
  <c r="AC98" i="1"/>
  <c r="AD98" i="1"/>
  <c r="AE98" i="1"/>
  <c r="AF98" i="1"/>
  <c r="AG98" i="1"/>
  <c r="AH98" i="1"/>
  <c r="AI98" i="1"/>
  <c r="AJ98" i="1"/>
  <c r="AK98" i="1"/>
  <c r="C99" i="1"/>
  <c r="H99" i="1"/>
  <c r="I99" i="1"/>
  <c r="J99" i="1"/>
  <c r="K99" i="1"/>
  <c r="M99" i="1"/>
  <c r="P99" i="1"/>
  <c r="R99" i="1"/>
  <c r="S99" i="1"/>
  <c r="T99" i="1"/>
  <c r="U99" i="1"/>
  <c r="X99" i="1"/>
  <c r="Y99" i="1"/>
  <c r="Z99" i="1"/>
  <c r="AA99" i="1"/>
  <c r="AB99" i="1"/>
  <c r="AC99" i="1"/>
  <c r="AD99" i="1"/>
  <c r="AE99" i="1"/>
  <c r="AF99" i="1"/>
  <c r="AG99" i="1"/>
  <c r="AH99" i="1"/>
  <c r="AI99" i="1"/>
  <c r="AJ99" i="1"/>
  <c r="AK99" i="1"/>
  <c r="C100" i="1"/>
  <c r="H100" i="1"/>
  <c r="I100" i="1"/>
  <c r="J100" i="1"/>
  <c r="K100" i="1"/>
  <c r="M100" i="1"/>
  <c r="P100" i="1"/>
  <c r="R100" i="1"/>
  <c r="S100" i="1"/>
  <c r="T100" i="1"/>
  <c r="U100" i="1"/>
  <c r="X100" i="1"/>
  <c r="Y100" i="1"/>
  <c r="Z100" i="1"/>
  <c r="AA100" i="1"/>
  <c r="AB100" i="1"/>
  <c r="AC100" i="1"/>
  <c r="AD100" i="1"/>
  <c r="AE100" i="1"/>
  <c r="AF100" i="1"/>
  <c r="AG100" i="1"/>
  <c r="AH100" i="1"/>
  <c r="AI100" i="1"/>
  <c r="AJ100" i="1"/>
  <c r="AK100" i="1"/>
  <c r="C101" i="1"/>
  <c r="H101" i="1"/>
  <c r="I101" i="1"/>
  <c r="J101" i="1"/>
  <c r="K101" i="1"/>
  <c r="M101" i="1"/>
  <c r="P101" i="1"/>
  <c r="R101" i="1"/>
  <c r="S101" i="1"/>
  <c r="T101" i="1"/>
  <c r="U101" i="1"/>
  <c r="X101" i="1"/>
  <c r="Y101" i="1"/>
  <c r="Z101" i="1"/>
  <c r="AA101" i="1"/>
  <c r="AB101" i="1"/>
  <c r="AC101" i="1"/>
  <c r="AD101" i="1"/>
  <c r="AE101" i="1"/>
  <c r="AF101" i="1"/>
  <c r="AG101" i="1"/>
  <c r="AH101" i="1"/>
  <c r="AI101" i="1"/>
  <c r="AJ101" i="1"/>
  <c r="AK101" i="1"/>
  <c r="C82" i="1"/>
  <c r="H82" i="1"/>
  <c r="I82" i="1"/>
  <c r="J82" i="1"/>
  <c r="K82" i="1"/>
  <c r="M82" i="1"/>
  <c r="P82" i="1"/>
  <c r="R82" i="1"/>
  <c r="S82" i="1"/>
  <c r="T82" i="1"/>
  <c r="U82" i="1"/>
  <c r="X82" i="1"/>
  <c r="Y82" i="1"/>
  <c r="Z82" i="1"/>
  <c r="AA82" i="1"/>
  <c r="AB82" i="1"/>
  <c r="AC82" i="1"/>
  <c r="AD82" i="1"/>
  <c r="AE82" i="1"/>
  <c r="AF82" i="1"/>
  <c r="AG82" i="1"/>
  <c r="AH82" i="1"/>
  <c r="AI82" i="1"/>
  <c r="AJ82" i="1"/>
  <c r="AK82" i="1"/>
  <c r="C83" i="1"/>
  <c r="H83" i="1"/>
  <c r="I83" i="1"/>
  <c r="J83" i="1"/>
  <c r="K83" i="1"/>
  <c r="M83" i="1"/>
  <c r="P83" i="1"/>
  <c r="R83" i="1"/>
  <c r="S83" i="1"/>
  <c r="T83" i="1"/>
  <c r="U83" i="1"/>
  <c r="X83" i="1"/>
  <c r="Y83" i="1"/>
  <c r="Z83" i="1"/>
  <c r="AA83" i="1"/>
  <c r="AB83" i="1"/>
  <c r="AC83" i="1"/>
  <c r="AD83" i="1"/>
  <c r="AE83" i="1"/>
  <c r="AF83" i="1"/>
  <c r="AG83" i="1"/>
  <c r="AH83" i="1"/>
  <c r="AI83" i="1"/>
  <c r="AJ83" i="1"/>
  <c r="AK83" i="1"/>
  <c r="C84" i="1"/>
  <c r="H84" i="1"/>
  <c r="I84" i="1"/>
  <c r="J84" i="1"/>
  <c r="K84" i="1"/>
  <c r="M84" i="1"/>
  <c r="P84" i="1"/>
  <c r="R84" i="1"/>
  <c r="S84" i="1"/>
  <c r="T84" i="1"/>
  <c r="U84" i="1"/>
  <c r="X84" i="1"/>
  <c r="Y84" i="1"/>
  <c r="Z84" i="1"/>
  <c r="AA84" i="1"/>
  <c r="AB84" i="1"/>
  <c r="AC84" i="1"/>
  <c r="AD84" i="1"/>
  <c r="AE84" i="1"/>
  <c r="AF84" i="1"/>
  <c r="AG84" i="1"/>
  <c r="AH84" i="1"/>
  <c r="AI84" i="1"/>
  <c r="AJ84" i="1"/>
  <c r="AK84" i="1"/>
  <c r="C85" i="1"/>
  <c r="H85" i="1"/>
  <c r="I85" i="1"/>
  <c r="J85" i="1"/>
  <c r="K85" i="1"/>
  <c r="M85" i="1"/>
  <c r="P85" i="1"/>
  <c r="R85" i="1"/>
  <c r="S85" i="1"/>
  <c r="T85" i="1"/>
  <c r="U85" i="1"/>
  <c r="X85" i="1"/>
  <c r="Y85" i="1"/>
  <c r="Z85" i="1"/>
  <c r="AA85" i="1"/>
  <c r="AB85" i="1"/>
  <c r="AC85" i="1"/>
  <c r="AD85" i="1"/>
  <c r="AE85" i="1"/>
  <c r="AF85" i="1"/>
  <c r="AG85" i="1"/>
  <c r="AH85" i="1"/>
  <c r="AI85" i="1"/>
  <c r="AJ85" i="1"/>
  <c r="AK85" i="1"/>
  <c r="C86" i="1"/>
  <c r="H86" i="1"/>
  <c r="I86" i="1"/>
  <c r="J86" i="1"/>
  <c r="K86" i="1"/>
  <c r="M86" i="1"/>
  <c r="P86" i="1"/>
  <c r="R86" i="1"/>
  <c r="S86" i="1"/>
  <c r="T86" i="1"/>
  <c r="U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AJ86" i="1"/>
  <c r="AK86" i="1"/>
  <c r="C87" i="1"/>
  <c r="H87" i="1"/>
  <c r="I87" i="1"/>
  <c r="J87" i="1"/>
  <c r="K87" i="1"/>
  <c r="M87" i="1"/>
  <c r="P87" i="1"/>
  <c r="R87" i="1"/>
  <c r="S87" i="1"/>
  <c r="T87" i="1"/>
  <c r="U87" i="1"/>
  <c r="X87" i="1"/>
  <c r="Y87" i="1"/>
  <c r="Z87" i="1"/>
  <c r="AA87" i="1"/>
  <c r="AB87" i="1"/>
  <c r="AC87" i="1"/>
  <c r="AD87" i="1"/>
  <c r="AE87" i="1"/>
  <c r="AF87" i="1"/>
  <c r="AG87" i="1"/>
  <c r="AH87" i="1"/>
  <c r="AI87" i="1"/>
  <c r="AJ87" i="1"/>
  <c r="AK87" i="1"/>
  <c r="C88" i="1"/>
  <c r="H88" i="1"/>
  <c r="I88" i="1"/>
  <c r="J88" i="1"/>
  <c r="K88" i="1"/>
  <c r="M88" i="1"/>
  <c r="P88" i="1"/>
  <c r="R88" i="1"/>
  <c r="S88" i="1"/>
  <c r="T88" i="1"/>
  <c r="U88" i="1"/>
  <c r="X88" i="1"/>
  <c r="Y88" i="1"/>
  <c r="Z88" i="1"/>
  <c r="AA88" i="1"/>
  <c r="AB88" i="1"/>
  <c r="AC88" i="1"/>
  <c r="AD88" i="1"/>
  <c r="AE88" i="1"/>
  <c r="AF88" i="1"/>
  <c r="AG88" i="1"/>
  <c r="AH88" i="1"/>
  <c r="AI88" i="1"/>
  <c r="AJ88" i="1"/>
  <c r="AK88" i="1"/>
  <c r="C89" i="1"/>
  <c r="H89" i="1"/>
  <c r="I89" i="1"/>
  <c r="J89" i="1"/>
  <c r="K89" i="1"/>
  <c r="M89" i="1"/>
  <c r="P89" i="1"/>
  <c r="R89" i="1"/>
  <c r="S89" i="1"/>
  <c r="T89" i="1"/>
  <c r="U89" i="1"/>
  <c r="X89" i="1"/>
  <c r="Y89" i="1"/>
  <c r="Z89" i="1"/>
  <c r="AA89" i="1"/>
  <c r="AB89" i="1"/>
  <c r="AC89" i="1"/>
  <c r="AD89" i="1"/>
  <c r="AE89" i="1"/>
  <c r="AF89" i="1"/>
  <c r="AG89" i="1"/>
  <c r="AH89" i="1"/>
  <c r="AI89" i="1"/>
  <c r="AJ89" i="1"/>
  <c r="AK89" i="1"/>
  <c r="C90" i="1"/>
  <c r="H90" i="1"/>
  <c r="I90" i="1"/>
  <c r="J90" i="1"/>
  <c r="K90" i="1"/>
  <c r="M90" i="1"/>
  <c r="P90" i="1"/>
  <c r="R90" i="1"/>
  <c r="S90" i="1"/>
  <c r="T90" i="1"/>
  <c r="U90" i="1"/>
  <c r="X90" i="1"/>
  <c r="Y90" i="1"/>
  <c r="Z90" i="1"/>
  <c r="AA90" i="1"/>
  <c r="AB90" i="1"/>
  <c r="AC90" i="1"/>
  <c r="AD90" i="1"/>
  <c r="AE90" i="1"/>
  <c r="AF90" i="1"/>
  <c r="AG90" i="1"/>
  <c r="AH90" i="1"/>
  <c r="AI90" i="1"/>
  <c r="AJ90" i="1"/>
  <c r="AK90" i="1"/>
  <c r="C91" i="1"/>
  <c r="H91" i="1"/>
  <c r="I91" i="1"/>
  <c r="J91" i="1"/>
  <c r="K91" i="1"/>
  <c r="M91" i="1"/>
  <c r="P91" i="1"/>
  <c r="R91" i="1"/>
  <c r="S91" i="1"/>
  <c r="T91" i="1"/>
  <c r="U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C72" i="1"/>
  <c r="H72" i="1"/>
  <c r="I72" i="1"/>
  <c r="J72" i="1"/>
  <c r="K72" i="1"/>
  <c r="M72" i="1"/>
  <c r="P72" i="1"/>
  <c r="R72" i="1"/>
  <c r="S72" i="1"/>
  <c r="T72" i="1"/>
  <c r="U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C73" i="1"/>
  <c r="H73" i="1"/>
  <c r="I73" i="1"/>
  <c r="J73" i="1"/>
  <c r="K73" i="1"/>
  <c r="M73" i="1"/>
  <c r="P73" i="1"/>
  <c r="R73" i="1"/>
  <c r="S73" i="1"/>
  <c r="T73" i="1"/>
  <c r="U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C74" i="1"/>
  <c r="H74" i="1"/>
  <c r="I74" i="1"/>
  <c r="J74" i="1"/>
  <c r="K74" i="1"/>
  <c r="M74" i="1"/>
  <c r="P74" i="1"/>
  <c r="R74" i="1"/>
  <c r="S74" i="1"/>
  <c r="T74" i="1"/>
  <c r="U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C75" i="1"/>
  <c r="H75" i="1"/>
  <c r="I75" i="1"/>
  <c r="J75" i="1"/>
  <c r="K75" i="1"/>
  <c r="M75" i="1"/>
  <c r="P75" i="1"/>
  <c r="R75" i="1"/>
  <c r="S75" i="1"/>
  <c r="T75" i="1"/>
  <c r="U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C76" i="1"/>
  <c r="H76" i="1"/>
  <c r="I76" i="1"/>
  <c r="J76" i="1"/>
  <c r="K76" i="1"/>
  <c r="M76" i="1"/>
  <c r="P76" i="1"/>
  <c r="R76" i="1"/>
  <c r="S76" i="1"/>
  <c r="T76" i="1"/>
  <c r="U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C77" i="1"/>
  <c r="H77" i="1"/>
  <c r="I77" i="1"/>
  <c r="J77" i="1"/>
  <c r="K77" i="1"/>
  <c r="M77" i="1"/>
  <c r="P77" i="1"/>
  <c r="R77" i="1"/>
  <c r="S77" i="1"/>
  <c r="T77" i="1"/>
  <c r="U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C78" i="1"/>
  <c r="H78" i="1"/>
  <c r="I78" i="1"/>
  <c r="J78" i="1"/>
  <c r="K78" i="1"/>
  <c r="M78" i="1"/>
  <c r="P78" i="1"/>
  <c r="R78" i="1"/>
  <c r="S78" i="1"/>
  <c r="T78" i="1"/>
  <c r="U78" i="1"/>
  <c r="X78" i="1"/>
  <c r="Y78" i="1"/>
  <c r="Z78" i="1"/>
  <c r="AA78" i="1"/>
  <c r="AB78" i="1"/>
  <c r="AC78" i="1"/>
  <c r="AD78" i="1"/>
  <c r="AE78" i="1"/>
  <c r="AF78" i="1"/>
  <c r="AG78" i="1"/>
  <c r="AH78" i="1"/>
  <c r="AI78" i="1"/>
  <c r="AJ78" i="1"/>
  <c r="AK78" i="1"/>
  <c r="C79" i="1"/>
  <c r="H79" i="1"/>
  <c r="I79" i="1"/>
  <c r="J79" i="1"/>
  <c r="K79" i="1"/>
  <c r="M79" i="1"/>
  <c r="P79" i="1"/>
  <c r="R79" i="1"/>
  <c r="S79" i="1"/>
  <c r="T79" i="1"/>
  <c r="U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C80" i="1"/>
  <c r="H80" i="1"/>
  <c r="I80" i="1"/>
  <c r="J80" i="1"/>
  <c r="K80" i="1"/>
  <c r="M80" i="1"/>
  <c r="P80" i="1"/>
  <c r="R80" i="1"/>
  <c r="S80" i="1"/>
  <c r="T80" i="1"/>
  <c r="U80" i="1"/>
  <c r="X80" i="1"/>
  <c r="Y80" i="1"/>
  <c r="Z80" i="1"/>
  <c r="AA80" i="1"/>
  <c r="AB80" i="1"/>
  <c r="AC80" i="1"/>
  <c r="AD80" i="1"/>
  <c r="AE80" i="1"/>
  <c r="AF80" i="1"/>
  <c r="AG80" i="1"/>
  <c r="AH80" i="1"/>
  <c r="AI80" i="1"/>
  <c r="AJ80" i="1"/>
  <c r="AK80" i="1"/>
  <c r="C81" i="1"/>
  <c r="H81" i="1"/>
  <c r="I81" i="1"/>
  <c r="J81" i="1"/>
  <c r="K81" i="1"/>
  <c r="M81" i="1"/>
  <c r="P81" i="1"/>
  <c r="R81" i="1"/>
  <c r="S81" i="1"/>
  <c r="T81" i="1"/>
  <c r="U81" i="1"/>
  <c r="X81" i="1"/>
  <c r="Y81" i="1"/>
  <c r="Z81" i="1"/>
  <c r="AA81" i="1"/>
  <c r="AB81" i="1"/>
  <c r="AC81" i="1"/>
  <c r="AD81" i="1"/>
  <c r="AE81" i="1"/>
  <c r="AF81" i="1"/>
  <c r="AG81" i="1"/>
  <c r="AH81" i="1"/>
  <c r="AI81" i="1"/>
  <c r="AJ81" i="1"/>
  <c r="AK81" i="1"/>
  <c r="C62" i="1"/>
  <c r="H62" i="1"/>
  <c r="I62" i="1"/>
  <c r="J62" i="1"/>
  <c r="K62" i="1"/>
  <c r="M62" i="1"/>
  <c r="P62" i="1"/>
  <c r="R62" i="1"/>
  <c r="S62" i="1"/>
  <c r="T62" i="1"/>
  <c r="U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C63" i="1"/>
  <c r="H63" i="1"/>
  <c r="I63" i="1"/>
  <c r="J63" i="1"/>
  <c r="K63" i="1"/>
  <c r="M63" i="1"/>
  <c r="P63" i="1"/>
  <c r="R63" i="1"/>
  <c r="S63" i="1"/>
  <c r="T63" i="1"/>
  <c r="U63" i="1"/>
  <c r="X63" i="1"/>
  <c r="Y63" i="1"/>
  <c r="Z63" i="1"/>
  <c r="AA63" i="1"/>
  <c r="AB63" i="1"/>
  <c r="AC63" i="1"/>
  <c r="AD63" i="1"/>
  <c r="AE63" i="1"/>
  <c r="AF63" i="1"/>
  <c r="AG63" i="1"/>
  <c r="AH63" i="1"/>
  <c r="AI63" i="1"/>
  <c r="AJ63" i="1"/>
  <c r="AK63" i="1"/>
  <c r="C64" i="1"/>
  <c r="H64" i="1"/>
  <c r="I64" i="1"/>
  <c r="J64" i="1"/>
  <c r="K64" i="1"/>
  <c r="M64" i="1"/>
  <c r="P64" i="1"/>
  <c r="R64" i="1"/>
  <c r="S64" i="1"/>
  <c r="T64" i="1"/>
  <c r="U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C65" i="1"/>
  <c r="H65" i="1"/>
  <c r="I65" i="1"/>
  <c r="J65" i="1"/>
  <c r="K65" i="1"/>
  <c r="M65" i="1"/>
  <c r="P65" i="1"/>
  <c r="R65" i="1"/>
  <c r="S65" i="1"/>
  <c r="T65" i="1"/>
  <c r="U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C66" i="1"/>
  <c r="H66" i="1"/>
  <c r="I66" i="1"/>
  <c r="J66" i="1"/>
  <c r="K66" i="1"/>
  <c r="M66" i="1"/>
  <c r="P66" i="1"/>
  <c r="R66" i="1"/>
  <c r="S66" i="1"/>
  <c r="T66" i="1"/>
  <c r="U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C67" i="1"/>
  <c r="H67" i="1"/>
  <c r="I67" i="1"/>
  <c r="J67" i="1"/>
  <c r="K67" i="1"/>
  <c r="M67" i="1"/>
  <c r="P67" i="1"/>
  <c r="R67" i="1"/>
  <c r="S67" i="1"/>
  <c r="T67" i="1"/>
  <c r="U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C68" i="1"/>
  <c r="H68" i="1"/>
  <c r="I68" i="1"/>
  <c r="J68" i="1"/>
  <c r="K68" i="1"/>
  <c r="M68" i="1"/>
  <c r="P68" i="1"/>
  <c r="R68" i="1"/>
  <c r="S68" i="1"/>
  <c r="T68" i="1"/>
  <c r="U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C69" i="1"/>
  <c r="H69" i="1"/>
  <c r="I69" i="1"/>
  <c r="J69" i="1"/>
  <c r="K69" i="1"/>
  <c r="M69" i="1"/>
  <c r="P69" i="1"/>
  <c r="R69" i="1"/>
  <c r="S69" i="1"/>
  <c r="T69" i="1"/>
  <c r="U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C70" i="1"/>
  <c r="H70" i="1"/>
  <c r="I70" i="1"/>
  <c r="J70" i="1"/>
  <c r="K70" i="1"/>
  <c r="M70" i="1"/>
  <c r="P70" i="1"/>
  <c r="R70" i="1"/>
  <c r="S70" i="1"/>
  <c r="T70" i="1"/>
  <c r="U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C71" i="1"/>
  <c r="H71" i="1"/>
  <c r="I71" i="1"/>
  <c r="J71" i="1"/>
  <c r="K71" i="1"/>
  <c r="M71" i="1"/>
  <c r="P71" i="1"/>
  <c r="R71" i="1"/>
  <c r="S71" i="1"/>
  <c r="T71" i="1"/>
  <c r="U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C52" i="1"/>
  <c r="H52" i="1"/>
  <c r="I52" i="1"/>
  <c r="J52" i="1"/>
  <c r="K52" i="1"/>
  <c r="M52" i="1"/>
  <c r="P52" i="1"/>
  <c r="R52" i="1"/>
  <c r="S52" i="1"/>
  <c r="T52" i="1"/>
  <c r="U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C53" i="1"/>
  <c r="H53" i="1"/>
  <c r="I53" i="1"/>
  <c r="J53" i="1"/>
  <c r="K53" i="1"/>
  <c r="M53" i="1"/>
  <c r="P53" i="1"/>
  <c r="R53" i="1"/>
  <c r="S53" i="1"/>
  <c r="T53" i="1"/>
  <c r="U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C54" i="1"/>
  <c r="H54" i="1"/>
  <c r="I54" i="1"/>
  <c r="J54" i="1"/>
  <c r="K54" i="1"/>
  <c r="M54" i="1"/>
  <c r="P54" i="1"/>
  <c r="R54" i="1"/>
  <c r="S54" i="1"/>
  <c r="T54" i="1"/>
  <c r="U54" i="1"/>
  <c r="X54" i="1"/>
  <c r="Y54" i="1"/>
  <c r="Z54" i="1"/>
  <c r="AA54" i="1"/>
  <c r="AB54" i="1"/>
  <c r="AC54" i="1"/>
  <c r="AD54" i="1"/>
  <c r="AE54" i="1"/>
  <c r="AF54" i="1"/>
  <c r="AG54" i="1"/>
  <c r="AH54" i="1"/>
  <c r="AI54" i="1"/>
  <c r="AJ54" i="1"/>
  <c r="AK54" i="1"/>
  <c r="C55" i="1"/>
  <c r="H55" i="1"/>
  <c r="I55" i="1"/>
  <c r="J55" i="1"/>
  <c r="K55" i="1"/>
  <c r="M55" i="1"/>
  <c r="P55" i="1"/>
  <c r="R55" i="1"/>
  <c r="S55" i="1"/>
  <c r="T55" i="1"/>
  <c r="U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C56" i="1"/>
  <c r="H56" i="1"/>
  <c r="I56" i="1"/>
  <c r="J56" i="1"/>
  <c r="K56" i="1"/>
  <c r="M56" i="1"/>
  <c r="P56" i="1"/>
  <c r="R56" i="1"/>
  <c r="S56" i="1"/>
  <c r="T56" i="1"/>
  <c r="U56" i="1"/>
  <c r="X56" i="1"/>
  <c r="Y56" i="1"/>
  <c r="Z56" i="1"/>
  <c r="AA56" i="1"/>
  <c r="AB56" i="1"/>
  <c r="AC56" i="1"/>
  <c r="AD56" i="1"/>
  <c r="AE56" i="1"/>
  <c r="AF56" i="1"/>
  <c r="AG56" i="1"/>
  <c r="AH56" i="1"/>
  <c r="AI56" i="1"/>
  <c r="AJ56" i="1"/>
  <c r="AK56" i="1"/>
  <c r="C57" i="1"/>
  <c r="H57" i="1"/>
  <c r="I57" i="1"/>
  <c r="J57" i="1"/>
  <c r="K57" i="1"/>
  <c r="M57" i="1"/>
  <c r="P57" i="1"/>
  <c r="R57" i="1"/>
  <c r="S57" i="1"/>
  <c r="T57" i="1"/>
  <c r="U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C58" i="1"/>
  <c r="H58" i="1"/>
  <c r="I58" i="1"/>
  <c r="J58" i="1"/>
  <c r="K58" i="1"/>
  <c r="M58" i="1"/>
  <c r="P58" i="1"/>
  <c r="R58" i="1"/>
  <c r="S58" i="1"/>
  <c r="T58" i="1"/>
  <c r="U58" i="1"/>
  <c r="X58" i="1"/>
  <c r="Y58" i="1"/>
  <c r="Z58" i="1"/>
  <c r="AA58" i="1"/>
  <c r="AB58" i="1"/>
  <c r="AC58" i="1"/>
  <c r="AD58" i="1"/>
  <c r="AE58" i="1"/>
  <c r="AF58" i="1"/>
  <c r="AG58" i="1"/>
  <c r="AH58" i="1"/>
  <c r="AI58" i="1"/>
  <c r="AJ58" i="1"/>
  <c r="AK58" i="1"/>
  <c r="C59" i="1"/>
  <c r="H59" i="1"/>
  <c r="I59" i="1"/>
  <c r="J59" i="1"/>
  <c r="K59" i="1"/>
  <c r="M59" i="1"/>
  <c r="P59" i="1"/>
  <c r="R59" i="1"/>
  <c r="S59" i="1"/>
  <c r="T59" i="1"/>
  <c r="U59" i="1"/>
  <c r="X59" i="1"/>
  <c r="Y59" i="1"/>
  <c r="Z59" i="1"/>
  <c r="AA59" i="1"/>
  <c r="AB59" i="1"/>
  <c r="AC59" i="1"/>
  <c r="AD59" i="1"/>
  <c r="AE59" i="1"/>
  <c r="AF59" i="1"/>
  <c r="AG59" i="1"/>
  <c r="AH59" i="1"/>
  <c r="AI59" i="1"/>
  <c r="AJ59" i="1"/>
  <c r="AK59" i="1"/>
  <c r="C60" i="1"/>
  <c r="H60" i="1"/>
  <c r="I60" i="1"/>
  <c r="J60" i="1"/>
  <c r="K60" i="1"/>
  <c r="M60" i="1"/>
  <c r="P60" i="1"/>
  <c r="R60" i="1"/>
  <c r="S60" i="1"/>
  <c r="T60" i="1"/>
  <c r="U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AJ60" i="1"/>
  <c r="AK60" i="1"/>
  <c r="C61" i="1"/>
  <c r="H61" i="1"/>
  <c r="I61" i="1"/>
  <c r="J61" i="1"/>
  <c r="K61" i="1"/>
  <c r="M61" i="1"/>
  <c r="P61" i="1"/>
  <c r="R61" i="1"/>
  <c r="S61" i="1"/>
  <c r="T61" i="1"/>
  <c r="U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C42" i="1"/>
  <c r="H42" i="1"/>
  <c r="I42" i="1"/>
  <c r="J42" i="1"/>
  <c r="K42" i="1"/>
  <c r="M42" i="1"/>
  <c r="P42" i="1"/>
  <c r="R42" i="1"/>
  <c r="S42" i="1"/>
  <c r="T42" i="1"/>
  <c r="U42" i="1"/>
  <c r="X42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C43" i="1"/>
  <c r="H43" i="1"/>
  <c r="I43" i="1"/>
  <c r="J43" i="1"/>
  <c r="K43" i="1"/>
  <c r="M43" i="1"/>
  <c r="P43" i="1"/>
  <c r="R43" i="1"/>
  <c r="S43" i="1"/>
  <c r="T43" i="1"/>
  <c r="U43" i="1"/>
  <c r="X43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C44" i="1"/>
  <c r="H44" i="1"/>
  <c r="I44" i="1"/>
  <c r="J44" i="1"/>
  <c r="K44" i="1"/>
  <c r="M44" i="1"/>
  <c r="P44" i="1"/>
  <c r="R44" i="1"/>
  <c r="S44" i="1"/>
  <c r="T44" i="1"/>
  <c r="U44" i="1"/>
  <c r="X44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C45" i="1"/>
  <c r="H45" i="1"/>
  <c r="I45" i="1"/>
  <c r="J45" i="1"/>
  <c r="K45" i="1"/>
  <c r="M45" i="1"/>
  <c r="P45" i="1"/>
  <c r="R45" i="1"/>
  <c r="S45" i="1"/>
  <c r="T45" i="1"/>
  <c r="U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C46" i="1"/>
  <c r="H46" i="1"/>
  <c r="I46" i="1"/>
  <c r="J46" i="1"/>
  <c r="K46" i="1"/>
  <c r="M46" i="1"/>
  <c r="P46" i="1"/>
  <c r="R46" i="1"/>
  <c r="S46" i="1"/>
  <c r="T46" i="1"/>
  <c r="U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C47" i="1"/>
  <c r="H47" i="1"/>
  <c r="I47" i="1"/>
  <c r="J47" i="1"/>
  <c r="K47" i="1"/>
  <c r="M47" i="1"/>
  <c r="P47" i="1"/>
  <c r="R47" i="1"/>
  <c r="S47" i="1"/>
  <c r="T47" i="1"/>
  <c r="U47" i="1"/>
  <c r="X47" i="1"/>
  <c r="Y47" i="1"/>
  <c r="Z47" i="1"/>
  <c r="AA47" i="1"/>
  <c r="AB47" i="1"/>
  <c r="AC47" i="1"/>
  <c r="AD47" i="1"/>
  <c r="AE47" i="1"/>
  <c r="AF47" i="1"/>
  <c r="AG47" i="1"/>
  <c r="AH47" i="1"/>
  <c r="AI47" i="1"/>
  <c r="AJ47" i="1"/>
  <c r="AK47" i="1"/>
  <c r="C48" i="1"/>
  <c r="H48" i="1"/>
  <c r="I48" i="1"/>
  <c r="J48" i="1"/>
  <c r="K48" i="1"/>
  <c r="M48" i="1"/>
  <c r="P48" i="1"/>
  <c r="R48" i="1"/>
  <c r="S48" i="1"/>
  <c r="T48" i="1"/>
  <c r="U48" i="1"/>
  <c r="X48" i="1"/>
  <c r="Y48" i="1"/>
  <c r="Z48" i="1"/>
  <c r="AA48" i="1"/>
  <c r="AB48" i="1"/>
  <c r="AC48" i="1"/>
  <c r="AD48" i="1"/>
  <c r="AE48" i="1"/>
  <c r="AF48" i="1"/>
  <c r="AG48" i="1"/>
  <c r="AH48" i="1"/>
  <c r="AI48" i="1"/>
  <c r="AJ48" i="1"/>
  <c r="AK48" i="1"/>
  <c r="C49" i="1"/>
  <c r="H49" i="1"/>
  <c r="I49" i="1"/>
  <c r="J49" i="1"/>
  <c r="K49" i="1"/>
  <c r="M49" i="1"/>
  <c r="P49" i="1"/>
  <c r="R49" i="1"/>
  <c r="S49" i="1"/>
  <c r="T49" i="1"/>
  <c r="U49" i="1"/>
  <c r="X49" i="1"/>
  <c r="Y49" i="1"/>
  <c r="Z49" i="1"/>
  <c r="AA49" i="1"/>
  <c r="AB49" i="1"/>
  <c r="AC49" i="1"/>
  <c r="AD49" i="1"/>
  <c r="AE49" i="1"/>
  <c r="AF49" i="1"/>
  <c r="AG49" i="1"/>
  <c r="AH49" i="1"/>
  <c r="AI49" i="1"/>
  <c r="AJ49" i="1"/>
  <c r="AK49" i="1"/>
  <c r="C50" i="1"/>
  <c r="H50" i="1"/>
  <c r="I50" i="1"/>
  <c r="J50" i="1"/>
  <c r="K50" i="1"/>
  <c r="M50" i="1"/>
  <c r="P50" i="1"/>
  <c r="R50" i="1"/>
  <c r="S50" i="1"/>
  <c r="T50" i="1"/>
  <c r="U50" i="1"/>
  <c r="X50" i="1"/>
  <c r="Y50" i="1"/>
  <c r="Z50" i="1"/>
  <c r="AA50" i="1"/>
  <c r="AB50" i="1"/>
  <c r="AC50" i="1"/>
  <c r="AD50" i="1"/>
  <c r="AE50" i="1"/>
  <c r="AF50" i="1"/>
  <c r="AG50" i="1"/>
  <c r="AH50" i="1"/>
  <c r="AI50" i="1"/>
  <c r="AJ50" i="1"/>
  <c r="AK50" i="1"/>
  <c r="C51" i="1"/>
  <c r="H51" i="1"/>
  <c r="I51" i="1"/>
  <c r="J51" i="1"/>
  <c r="K51" i="1"/>
  <c r="M51" i="1"/>
  <c r="P51" i="1"/>
  <c r="R51" i="1"/>
  <c r="S51" i="1"/>
  <c r="T51" i="1"/>
  <c r="U51" i="1"/>
  <c r="X51" i="1"/>
  <c r="Y51" i="1"/>
  <c r="Z51" i="1"/>
  <c r="AA51" i="1"/>
  <c r="AB51" i="1"/>
  <c r="AC51" i="1"/>
  <c r="AD51" i="1"/>
  <c r="AE51" i="1"/>
  <c r="AF51" i="1"/>
  <c r="AG51" i="1"/>
  <c r="AH51" i="1"/>
  <c r="AI51" i="1"/>
  <c r="AJ51" i="1"/>
  <c r="AK51" i="1"/>
  <c r="C32" i="1"/>
  <c r="H32" i="1"/>
  <c r="I32" i="1"/>
  <c r="J32" i="1"/>
  <c r="K32" i="1"/>
  <c r="M32" i="1"/>
  <c r="P32" i="1"/>
  <c r="R32" i="1"/>
  <c r="S32" i="1"/>
  <c r="T32" i="1"/>
  <c r="U32" i="1"/>
  <c r="X32" i="1"/>
  <c r="Y32" i="1"/>
  <c r="Z32" i="1"/>
  <c r="AA32" i="1"/>
  <c r="AB32" i="1"/>
  <c r="AC32" i="1"/>
  <c r="AD32" i="1"/>
  <c r="AE32" i="1"/>
  <c r="AF32" i="1"/>
  <c r="AG32" i="1"/>
  <c r="AH32" i="1"/>
  <c r="AI32" i="1"/>
  <c r="AJ32" i="1"/>
  <c r="AK32" i="1"/>
  <c r="C33" i="1"/>
  <c r="H33" i="1"/>
  <c r="I33" i="1"/>
  <c r="J33" i="1"/>
  <c r="K33" i="1"/>
  <c r="M33" i="1"/>
  <c r="P33" i="1"/>
  <c r="R33" i="1"/>
  <c r="S33" i="1"/>
  <c r="T33" i="1"/>
  <c r="U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C34" i="1"/>
  <c r="H34" i="1"/>
  <c r="I34" i="1"/>
  <c r="J34" i="1"/>
  <c r="K34" i="1"/>
  <c r="M34" i="1"/>
  <c r="P34" i="1"/>
  <c r="R34" i="1"/>
  <c r="S34" i="1"/>
  <c r="T34" i="1"/>
  <c r="U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C35" i="1"/>
  <c r="H35" i="1"/>
  <c r="I35" i="1"/>
  <c r="J35" i="1"/>
  <c r="K35" i="1"/>
  <c r="M35" i="1"/>
  <c r="P35" i="1"/>
  <c r="R35" i="1"/>
  <c r="S35" i="1"/>
  <c r="T35" i="1"/>
  <c r="U35" i="1"/>
  <c r="X35" i="1"/>
  <c r="Y35" i="1"/>
  <c r="Z35" i="1"/>
  <c r="AA35" i="1"/>
  <c r="AB35" i="1"/>
  <c r="AC35" i="1"/>
  <c r="AD35" i="1"/>
  <c r="AE35" i="1"/>
  <c r="AF35" i="1"/>
  <c r="AG35" i="1"/>
  <c r="AH35" i="1"/>
  <c r="AI35" i="1"/>
  <c r="AJ35" i="1"/>
  <c r="AK35" i="1"/>
  <c r="C36" i="1"/>
  <c r="H36" i="1"/>
  <c r="I36" i="1"/>
  <c r="J36" i="1"/>
  <c r="K36" i="1"/>
  <c r="M36" i="1"/>
  <c r="P36" i="1"/>
  <c r="R36" i="1"/>
  <c r="S36" i="1"/>
  <c r="T36" i="1"/>
  <c r="U36" i="1"/>
  <c r="X3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C37" i="1"/>
  <c r="H37" i="1"/>
  <c r="I37" i="1"/>
  <c r="J37" i="1"/>
  <c r="K37" i="1"/>
  <c r="M37" i="1"/>
  <c r="P37" i="1"/>
  <c r="R37" i="1"/>
  <c r="S37" i="1"/>
  <c r="T37" i="1"/>
  <c r="U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C38" i="1"/>
  <c r="H38" i="1"/>
  <c r="I38" i="1"/>
  <c r="J38" i="1"/>
  <c r="K38" i="1"/>
  <c r="M38" i="1"/>
  <c r="P38" i="1"/>
  <c r="R38" i="1"/>
  <c r="S38" i="1"/>
  <c r="T38" i="1"/>
  <c r="U38" i="1"/>
  <c r="X38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C39" i="1"/>
  <c r="H39" i="1"/>
  <c r="I39" i="1"/>
  <c r="J39" i="1"/>
  <c r="K39" i="1"/>
  <c r="M39" i="1"/>
  <c r="P39" i="1"/>
  <c r="R39" i="1"/>
  <c r="S39" i="1"/>
  <c r="T39" i="1"/>
  <c r="U39" i="1"/>
  <c r="X39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C40" i="1"/>
  <c r="H40" i="1"/>
  <c r="I40" i="1"/>
  <c r="J40" i="1"/>
  <c r="K40" i="1"/>
  <c r="M40" i="1"/>
  <c r="P40" i="1"/>
  <c r="R40" i="1"/>
  <c r="S40" i="1"/>
  <c r="T40" i="1"/>
  <c r="U40" i="1"/>
  <c r="X40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C41" i="1"/>
  <c r="H41" i="1"/>
  <c r="I41" i="1"/>
  <c r="J41" i="1"/>
  <c r="K41" i="1"/>
  <c r="M41" i="1"/>
  <c r="P41" i="1"/>
  <c r="R41" i="1"/>
  <c r="S41" i="1"/>
  <c r="T41" i="1"/>
  <c r="U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C22" i="1"/>
  <c r="H22" i="1"/>
  <c r="I22" i="1"/>
  <c r="J22" i="1"/>
  <c r="K22" i="1"/>
  <c r="M22" i="1"/>
  <c r="P22" i="1"/>
  <c r="R22" i="1"/>
  <c r="S22" i="1"/>
  <c r="T22" i="1"/>
  <c r="U22" i="1"/>
  <c r="X22" i="1"/>
  <c r="Y22" i="1"/>
  <c r="Z22" i="1"/>
  <c r="AA22" i="1"/>
  <c r="AB22" i="1"/>
  <c r="AC22" i="1"/>
  <c r="AD22" i="1"/>
  <c r="AE22" i="1"/>
  <c r="AF22" i="1"/>
  <c r="AG22" i="1"/>
  <c r="AH22" i="1"/>
  <c r="AI22" i="1"/>
  <c r="AJ22" i="1"/>
  <c r="AK22" i="1"/>
  <c r="C23" i="1"/>
  <c r="H23" i="1"/>
  <c r="I23" i="1"/>
  <c r="J23" i="1"/>
  <c r="K23" i="1"/>
  <c r="M23" i="1"/>
  <c r="P23" i="1"/>
  <c r="R23" i="1"/>
  <c r="S23" i="1"/>
  <c r="T23" i="1"/>
  <c r="U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C24" i="1"/>
  <c r="H24" i="1"/>
  <c r="I24" i="1"/>
  <c r="J24" i="1"/>
  <c r="K24" i="1"/>
  <c r="M24" i="1"/>
  <c r="P24" i="1"/>
  <c r="R24" i="1"/>
  <c r="S24" i="1"/>
  <c r="T24" i="1"/>
  <c r="U24" i="1"/>
  <c r="X24" i="1"/>
  <c r="Y24" i="1"/>
  <c r="Z24" i="1"/>
  <c r="AA24" i="1"/>
  <c r="AB24" i="1"/>
  <c r="AC24" i="1"/>
  <c r="AD24" i="1"/>
  <c r="AE24" i="1"/>
  <c r="AF24" i="1"/>
  <c r="AG24" i="1"/>
  <c r="AH24" i="1"/>
  <c r="AI24" i="1"/>
  <c r="AJ24" i="1"/>
  <c r="AK24" i="1"/>
  <c r="C25" i="1"/>
  <c r="H25" i="1"/>
  <c r="I25" i="1"/>
  <c r="J25" i="1"/>
  <c r="K25" i="1"/>
  <c r="M25" i="1"/>
  <c r="P25" i="1"/>
  <c r="R25" i="1"/>
  <c r="S25" i="1"/>
  <c r="T25" i="1"/>
  <c r="U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AK25" i="1"/>
  <c r="C26" i="1"/>
  <c r="H26" i="1"/>
  <c r="I26" i="1"/>
  <c r="J26" i="1"/>
  <c r="K26" i="1"/>
  <c r="M26" i="1"/>
  <c r="P26" i="1"/>
  <c r="R26" i="1"/>
  <c r="S26" i="1"/>
  <c r="T26" i="1"/>
  <c r="U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AK26" i="1"/>
  <c r="C27" i="1"/>
  <c r="H27" i="1"/>
  <c r="I27" i="1"/>
  <c r="J27" i="1"/>
  <c r="K27" i="1"/>
  <c r="M27" i="1"/>
  <c r="P27" i="1"/>
  <c r="R27" i="1"/>
  <c r="S27" i="1"/>
  <c r="T27" i="1"/>
  <c r="U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C28" i="1"/>
  <c r="H28" i="1"/>
  <c r="I28" i="1"/>
  <c r="J28" i="1"/>
  <c r="K28" i="1"/>
  <c r="M28" i="1"/>
  <c r="P28" i="1"/>
  <c r="R28" i="1"/>
  <c r="S28" i="1"/>
  <c r="T28" i="1"/>
  <c r="U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C29" i="1"/>
  <c r="H29" i="1"/>
  <c r="I29" i="1"/>
  <c r="J29" i="1"/>
  <c r="K29" i="1"/>
  <c r="M29" i="1"/>
  <c r="P29" i="1"/>
  <c r="R29" i="1"/>
  <c r="S29" i="1"/>
  <c r="T29" i="1"/>
  <c r="U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C30" i="1"/>
  <c r="H30" i="1"/>
  <c r="I30" i="1"/>
  <c r="J30" i="1"/>
  <c r="K30" i="1"/>
  <c r="M30" i="1"/>
  <c r="P30" i="1"/>
  <c r="R30" i="1"/>
  <c r="S30" i="1"/>
  <c r="T30" i="1"/>
  <c r="U30" i="1"/>
  <c r="X30" i="1"/>
  <c r="Y30" i="1"/>
  <c r="Z30" i="1"/>
  <c r="AA30" i="1"/>
  <c r="AB30" i="1"/>
  <c r="AC30" i="1"/>
  <c r="AD30" i="1"/>
  <c r="AE30" i="1"/>
  <c r="AF30" i="1"/>
  <c r="AG30" i="1"/>
  <c r="AH30" i="1"/>
  <c r="AI30" i="1"/>
  <c r="AJ30" i="1"/>
  <c r="AK30" i="1"/>
  <c r="C31" i="1"/>
  <c r="H31" i="1"/>
  <c r="I31" i="1"/>
  <c r="J31" i="1"/>
  <c r="K31" i="1"/>
  <c r="M31" i="1"/>
  <c r="P31" i="1"/>
  <c r="R31" i="1"/>
  <c r="S31" i="1"/>
  <c r="T31" i="1"/>
  <c r="U31" i="1"/>
  <c r="X31" i="1"/>
  <c r="Y31" i="1"/>
  <c r="Z31" i="1"/>
  <c r="AA31" i="1"/>
  <c r="AB31" i="1"/>
  <c r="AC31" i="1"/>
  <c r="AD31" i="1"/>
  <c r="AE31" i="1"/>
  <c r="AF31" i="1"/>
  <c r="AG31" i="1"/>
  <c r="AH31" i="1"/>
  <c r="AI31" i="1"/>
  <c r="AJ31" i="1"/>
  <c r="AK31" i="1"/>
  <c r="C12" i="1"/>
  <c r="H12" i="1"/>
  <c r="I12" i="1"/>
  <c r="J12" i="1"/>
  <c r="K12" i="1"/>
  <c r="M12" i="1"/>
  <c r="P12" i="1"/>
  <c r="R12" i="1"/>
  <c r="S12" i="1"/>
  <c r="T12" i="1"/>
  <c r="U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C13" i="1"/>
  <c r="H13" i="1"/>
  <c r="I13" i="1"/>
  <c r="J13" i="1"/>
  <c r="K13" i="1"/>
  <c r="M13" i="1"/>
  <c r="P13" i="1"/>
  <c r="R13" i="1"/>
  <c r="S13" i="1"/>
  <c r="T13" i="1"/>
  <c r="U13" i="1"/>
  <c r="X13" i="1"/>
  <c r="Y13" i="1"/>
  <c r="Z13" i="1"/>
  <c r="AA13" i="1"/>
  <c r="AB13" i="1"/>
  <c r="AC13" i="1"/>
  <c r="AD13" i="1"/>
  <c r="AE13" i="1"/>
  <c r="AF13" i="1"/>
  <c r="AG13" i="1"/>
  <c r="AH13" i="1"/>
  <c r="AI13" i="1"/>
  <c r="AJ13" i="1"/>
  <c r="AK13" i="1"/>
  <c r="C14" i="1"/>
  <c r="H14" i="1"/>
  <c r="I14" i="1"/>
  <c r="J14" i="1"/>
  <c r="K14" i="1"/>
  <c r="M14" i="1"/>
  <c r="P14" i="1"/>
  <c r="R14" i="1"/>
  <c r="S14" i="1"/>
  <c r="T14" i="1"/>
  <c r="U14" i="1"/>
  <c r="X14" i="1"/>
  <c r="Y14" i="1"/>
  <c r="Z14" i="1"/>
  <c r="AA14" i="1"/>
  <c r="AB14" i="1"/>
  <c r="AC14" i="1"/>
  <c r="AD14" i="1"/>
  <c r="AE14" i="1"/>
  <c r="AF14" i="1"/>
  <c r="AG14" i="1"/>
  <c r="AH14" i="1"/>
  <c r="AI14" i="1"/>
  <c r="AJ14" i="1"/>
  <c r="AK14" i="1"/>
  <c r="C15" i="1"/>
  <c r="H15" i="1"/>
  <c r="I15" i="1"/>
  <c r="J15" i="1"/>
  <c r="K15" i="1"/>
  <c r="M15" i="1"/>
  <c r="P15" i="1"/>
  <c r="R15" i="1"/>
  <c r="S15" i="1"/>
  <c r="T15" i="1"/>
  <c r="U15" i="1"/>
  <c r="X15" i="1"/>
  <c r="Y15" i="1"/>
  <c r="Z15" i="1"/>
  <c r="AA15" i="1"/>
  <c r="AB15" i="1"/>
  <c r="AC15" i="1"/>
  <c r="AD15" i="1"/>
  <c r="AE15" i="1"/>
  <c r="AF15" i="1"/>
  <c r="AG15" i="1"/>
  <c r="AH15" i="1"/>
  <c r="AI15" i="1"/>
  <c r="AJ15" i="1"/>
  <c r="AK15" i="1"/>
  <c r="C16" i="1"/>
  <c r="H16" i="1"/>
  <c r="I16" i="1"/>
  <c r="J16" i="1"/>
  <c r="K16" i="1"/>
  <c r="M16" i="1"/>
  <c r="P16" i="1"/>
  <c r="R16" i="1"/>
  <c r="S16" i="1"/>
  <c r="T16" i="1"/>
  <c r="U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C17" i="1"/>
  <c r="H17" i="1"/>
  <c r="I17" i="1"/>
  <c r="J17" i="1"/>
  <c r="K17" i="1"/>
  <c r="M17" i="1"/>
  <c r="P17" i="1"/>
  <c r="R17" i="1"/>
  <c r="S17" i="1"/>
  <c r="T17" i="1"/>
  <c r="U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C18" i="1"/>
  <c r="H18" i="1"/>
  <c r="I18" i="1"/>
  <c r="J18" i="1"/>
  <c r="K18" i="1"/>
  <c r="M18" i="1"/>
  <c r="P18" i="1"/>
  <c r="R18" i="1"/>
  <c r="S18" i="1"/>
  <c r="T18" i="1"/>
  <c r="U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AJ18" i="1"/>
  <c r="AK18" i="1"/>
  <c r="C19" i="1"/>
  <c r="H19" i="1"/>
  <c r="I19" i="1"/>
  <c r="J19" i="1"/>
  <c r="K19" i="1"/>
  <c r="M19" i="1"/>
  <c r="P19" i="1"/>
  <c r="R19" i="1"/>
  <c r="S19" i="1"/>
  <c r="T19" i="1"/>
  <c r="U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C20" i="1"/>
  <c r="H20" i="1"/>
  <c r="I20" i="1"/>
  <c r="J20" i="1"/>
  <c r="K20" i="1"/>
  <c r="M20" i="1"/>
  <c r="P20" i="1"/>
  <c r="R20" i="1"/>
  <c r="S20" i="1"/>
  <c r="T20" i="1"/>
  <c r="U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C21" i="1"/>
  <c r="H21" i="1"/>
  <c r="I21" i="1"/>
  <c r="J21" i="1"/>
  <c r="K21" i="1"/>
  <c r="M21" i="1"/>
  <c r="P21" i="1"/>
  <c r="R21" i="1"/>
  <c r="S21" i="1"/>
  <c r="T21" i="1"/>
  <c r="U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C2" i="1"/>
  <c r="H2" i="1"/>
  <c r="I2" i="1"/>
  <c r="J2" i="1"/>
  <c r="K2" i="1"/>
  <c r="M2" i="1"/>
  <c r="P2" i="1"/>
  <c r="R2" i="1"/>
  <c r="S2" i="1"/>
  <c r="T2" i="1"/>
  <c r="U2" i="1"/>
  <c r="X2" i="1"/>
  <c r="Y2" i="1"/>
  <c r="Z2" i="1"/>
  <c r="AA2" i="1"/>
  <c r="AB2" i="1"/>
  <c r="AC2" i="1"/>
  <c r="AD2" i="1"/>
  <c r="AE2" i="1"/>
  <c r="AF2" i="1"/>
  <c r="AG2" i="1"/>
  <c r="AH2" i="1"/>
  <c r="AI2" i="1"/>
  <c r="AJ2" i="1"/>
  <c r="AK2" i="1"/>
  <c r="C3" i="1"/>
  <c r="H3" i="1"/>
  <c r="I3" i="1"/>
  <c r="J3" i="1"/>
  <c r="K3" i="1"/>
  <c r="M3" i="1"/>
  <c r="P3" i="1"/>
  <c r="R3" i="1"/>
  <c r="S3" i="1"/>
  <c r="T3" i="1"/>
  <c r="U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C4" i="1"/>
  <c r="H4" i="1"/>
  <c r="I4" i="1"/>
  <c r="J4" i="1"/>
  <c r="K4" i="1"/>
  <c r="M4" i="1"/>
  <c r="P4" i="1"/>
  <c r="R4" i="1"/>
  <c r="S4" i="1"/>
  <c r="T4" i="1"/>
  <c r="U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C5" i="1"/>
  <c r="H5" i="1"/>
  <c r="I5" i="1"/>
  <c r="J5" i="1"/>
  <c r="K5" i="1"/>
  <c r="M5" i="1"/>
  <c r="P5" i="1"/>
  <c r="R5" i="1"/>
  <c r="S5" i="1"/>
  <c r="T5" i="1"/>
  <c r="U5" i="1"/>
  <c r="X5" i="1"/>
  <c r="Y5" i="1"/>
  <c r="Z5" i="1"/>
  <c r="AA5" i="1"/>
  <c r="AB5" i="1"/>
  <c r="AC5" i="1"/>
  <c r="AD5" i="1"/>
  <c r="AE5" i="1"/>
  <c r="AF5" i="1"/>
  <c r="AG5" i="1"/>
  <c r="AH5" i="1"/>
  <c r="AI5" i="1"/>
  <c r="AJ5" i="1"/>
  <c r="AK5" i="1"/>
  <c r="C6" i="1"/>
  <c r="H6" i="1"/>
  <c r="I6" i="1"/>
  <c r="J6" i="1"/>
  <c r="K6" i="1"/>
  <c r="M6" i="1"/>
  <c r="P6" i="1"/>
  <c r="R6" i="1"/>
  <c r="S6" i="1"/>
  <c r="T6" i="1"/>
  <c r="U6" i="1"/>
  <c r="X6" i="1"/>
  <c r="Y6" i="1"/>
  <c r="Z6" i="1"/>
  <c r="AA6" i="1"/>
  <c r="AB6" i="1"/>
  <c r="AC6" i="1"/>
  <c r="AD6" i="1"/>
  <c r="AE6" i="1"/>
  <c r="AF6" i="1"/>
  <c r="AG6" i="1"/>
  <c r="AH6" i="1"/>
  <c r="AI6" i="1"/>
  <c r="AJ6" i="1"/>
  <c r="AK6" i="1"/>
  <c r="C7" i="1"/>
  <c r="H7" i="1"/>
  <c r="I7" i="1"/>
  <c r="J7" i="1"/>
  <c r="K7" i="1"/>
  <c r="M7" i="1"/>
  <c r="P7" i="1"/>
  <c r="R7" i="1"/>
  <c r="S7" i="1"/>
  <c r="T7" i="1"/>
  <c r="U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C8" i="1"/>
  <c r="H8" i="1"/>
  <c r="I8" i="1"/>
  <c r="J8" i="1"/>
  <c r="K8" i="1"/>
  <c r="M8" i="1"/>
  <c r="P8" i="1"/>
  <c r="R8" i="1"/>
  <c r="S8" i="1"/>
  <c r="T8" i="1"/>
  <c r="U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C9" i="1"/>
  <c r="H9" i="1"/>
  <c r="I9" i="1"/>
  <c r="J9" i="1"/>
  <c r="K9" i="1"/>
  <c r="M9" i="1"/>
  <c r="P9" i="1"/>
  <c r="R9" i="1"/>
  <c r="S9" i="1"/>
  <c r="T9" i="1"/>
  <c r="U9" i="1"/>
  <c r="X9" i="1"/>
  <c r="Y9" i="1"/>
  <c r="Z9" i="1"/>
  <c r="AA9" i="1"/>
  <c r="AB9" i="1"/>
  <c r="AC9" i="1"/>
  <c r="AD9" i="1"/>
  <c r="AE9" i="1"/>
  <c r="AF9" i="1"/>
  <c r="AG9" i="1"/>
  <c r="AH9" i="1"/>
  <c r="AI9" i="1"/>
  <c r="AJ9" i="1"/>
  <c r="AK9" i="1"/>
  <c r="C10" i="1"/>
  <c r="H10" i="1"/>
  <c r="I10" i="1"/>
  <c r="J10" i="1"/>
  <c r="K10" i="1"/>
  <c r="M10" i="1"/>
  <c r="P10" i="1"/>
  <c r="R10" i="1"/>
  <c r="S10" i="1"/>
  <c r="T10" i="1"/>
  <c r="U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C11" i="1"/>
  <c r="H11" i="1"/>
  <c r="I11" i="1"/>
  <c r="J11" i="1"/>
  <c r="K11" i="1"/>
  <c r="M11" i="1"/>
  <c r="P11" i="1"/>
  <c r="R11" i="1"/>
  <c r="S11" i="1"/>
  <c r="T11" i="1"/>
  <c r="U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</calcChain>
</file>

<file path=xl/sharedStrings.xml><?xml version="1.0" encoding="utf-8"?>
<sst xmlns="http://schemas.openxmlformats.org/spreadsheetml/2006/main" count="37" uniqueCount="37">
  <si>
    <t>مقدار حواله</t>
  </si>
  <si>
    <t>شماره حواله</t>
  </si>
  <si>
    <t xml:space="preserve">آدرس حمل </t>
  </si>
  <si>
    <t>نرخ قرارداد</t>
  </si>
  <si>
    <t>مقدار تحويل شده</t>
  </si>
  <si>
    <t>سال مالي</t>
  </si>
  <si>
    <t>مانده تحويل نشده</t>
  </si>
  <si>
    <t>تاريخ حواله</t>
  </si>
  <si>
    <t>واحد سنجش</t>
  </si>
  <si>
    <t>كد كالا</t>
  </si>
  <si>
    <t>نام كالا</t>
  </si>
  <si>
    <t>كد انبار</t>
  </si>
  <si>
    <t>نام انبار</t>
  </si>
  <si>
    <t>كد مشتري</t>
  </si>
  <si>
    <t>VchItmId</t>
  </si>
  <si>
    <t>نام مشتري</t>
  </si>
  <si>
    <t>کد مرکز فروش</t>
  </si>
  <si>
    <t>مركز فروش</t>
  </si>
  <si>
    <t>مبناي حواله</t>
  </si>
  <si>
    <t>رزرو موجودي</t>
  </si>
  <si>
    <t>پيمانکار حمل</t>
  </si>
  <si>
    <t>شماره قرارداد</t>
  </si>
  <si>
    <t>شماره مبنا</t>
  </si>
  <si>
    <t>شماره قرارداد بورسي</t>
  </si>
  <si>
    <t>تاريخ قرارداد</t>
  </si>
  <si>
    <t>شماره درخواست</t>
  </si>
  <si>
    <t>عنوان پروژه</t>
  </si>
  <si>
    <t>تاريخ درخواست</t>
  </si>
  <si>
    <t>استان</t>
  </si>
  <si>
    <t>تاريخ قرارداد بورسي</t>
  </si>
  <si>
    <t>وضعيت حواله</t>
  </si>
  <si>
    <t>شماره پروانه صادراتي</t>
  </si>
  <si>
    <t>نماينده معرفي شده</t>
  </si>
  <si>
    <t>تاريخ قرارداد وزارت راه</t>
  </si>
  <si>
    <t>شماره قرارداد وزارت راه</t>
  </si>
  <si>
    <t>شناسه حواله</t>
  </si>
  <si>
    <t>شناسه طرح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</si>
</sst>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78"/>
      <scheme val="minor"/>
    </font>
    <font>
      <sz val="11"/>
      <color theme="1"/>
      <name val="Tahoma"/>
      <family val="2"/>
    </font>
    <font>
      <b/>
      <sz val="11"/>
      <color rgb="FF0000FF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220"/>
  <sheetViews>
    <sheetView rightToLeft="1" tabSelected="1" workbookViewId="0">
      <selection activeCell="A2212" sqref="A2212:AK2220"/>
    </sheetView>
  </sheetViews>
  <sheetFormatPr defaultRowHeight="14.25" x14ac:dyDescent="0.2"/>
  <cols>
    <col min="1" max="2" width="20.7109375" style="1" customWidth="1"/>
    <col min="3" max="3" width="107.42578125" style="1" customWidth="1"/>
    <col min="4" max="5" width="20.7109375" style="1" customWidth="1"/>
    <col min="6" max="6" width="14.7109375" style="1" customWidth="1"/>
    <col min="7" max="7" width="20.7109375" style="1" customWidth="1"/>
    <col min="8" max="8" width="14.28515625" style="1" customWidth="1"/>
    <col min="9" max="9" width="14" style="1" customWidth="1"/>
    <col min="10" max="10" width="16.5703125" style="1" customWidth="1"/>
    <col min="11" max="11" width="16.42578125" style="1" customWidth="1"/>
    <col min="12" max="12" width="11.28515625" style="1" customWidth="1"/>
    <col min="13" max="13" width="21.7109375" style="1" customWidth="1"/>
    <col min="14" max="15" width="20.7109375" style="1" customWidth="1"/>
    <col min="16" max="16" width="52" style="1" customWidth="1"/>
    <col min="17" max="17" width="20.7109375" style="1" customWidth="1"/>
    <col min="18" max="18" width="72.28515625" style="1" customWidth="1"/>
    <col min="19" max="20" width="20.7109375" style="1" customWidth="1"/>
    <col min="21" max="21" width="60.7109375" style="1" customWidth="1"/>
    <col min="22" max="25" width="20.7109375" style="1" customWidth="1"/>
    <col min="26" max="26" width="22.140625" style="1" customWidth="1"/>
    <col min="27" max="27" width="50.7109375" style="1" customWidth="1"/>
    <col min="28" max="28" width="20.7109375" style="1" customWidth="1"/>
    <col min="29" max="29" width="29.140625" style="1" customWidth="1"/>
    <col min="30" max="31" width="20.7109375" style="1" customWidth="1"/>
    <col min="32" max="32" width="23.85546875" style="1" customWidth="1"/>
    <col min="33" max="33" width="23.5703125" style="1" customWidth="1"/>
    <col min="34" max="35" width="20.7109375" style="1" customWidth="1"/>
    <col min="36" max="37" width="50.7109375" style="1" customWidth="1"/>
    <col min="38" max="16384" width="9.140625" style="1"/>
  </cols>
  <sheetData>
    <row r="1" spans="1:37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</row>
    <row r="2" spans="1:37" x14ac:dyDescent="0.2">
      <c r="A2" s="1">
        <v>143000</v>
      </c>
      <c r="B2" s="1">
        <v>952000080</v>
      </c>
      <c r="C2" s="1" t="str">
        <f>"تخليه -لرستان -الشترجاده خرگوشناب -كارخانه شن وماسه وآسفالت شهرداري"</f>
        <v>تخليه -لرستان -الشترجاده خرگوشناب -كارخانه شن وماسه وآسفالت شهرداري</v>
      </c>
      <c r="D2" s="1">
        <v>6876</v>
      </c>
      <c r="E2" s="1">
        <v>0</v>
      </c>
      <c r="F2" s="1">
        <v>95</v>
      </c>
      <c r="G2" s="1">
        <v>143000</v>
      </c>
      <c r="H2" s="1" t="str">
        <f>"95/06/20"</f>
        <v>95/06/20</v>
      </c>
      <c r="I2" s="1" t="str">
        <f t="shared" ref="I2:I65" si="0">"كيلوگرم"</f>
        <v>كيلوگرم</v>
      </c>
      <c r="J2" s="1" t="str">
        <f>"0000000076"</f>
        <v>0000000076</v>
      </c>
      <c r="K2" s="1" t="str">
        <f>"قير 60/70 - فله"</f>
        <v>قير 60/70 - فله</v>
      </c>
      <c r="L2" s="1">
        <v>100</v>
      </c>
      <c r="M2" s="1" t="str">
        <f t="shared" ref="M2:M65" si="1">"مخازن قير اصفهان"</f>
        <v>مخازن قير اصفهان</v>
      </c>
      <c r="N2" s="1">
        <v>10862</v>
      </c>
      <c r="O2" s="1">
        <v>50032208</v>
      </c>
      <c r="P2" s="1" t="str">
        <f>"  شهرداري الشتر"</f>
        <v xml:space="preserve">  شهرداري الشتر</v>
      </c>
      <c r="Q2" s="1">
        <v>20</v>
      </c>
      <c r="R2" s="1" t="str">
        <f>"فروش داخلي - سازمان شهرداري ها و دهياري هاي كشور"</f>
        <v>فروش داخلي - سازمان شهرداري ها و دهياري هاي كشور</v>
      </c>
      <c r="S2" s="1" t="str">
        <f t="shared" ref="S2:S65" si="2">"قرارداد فروش"</f>
        <v>قرارداد فروش</v>
      </c>
      <c r="T2" s="1" t="str">
        <f t="shared" ref="T2:T65" si="3">"ندارد"</f>
        <v>ندارد</v>
      </c>
      <c r="U2" s="1" t="str">
        <f>"بستاني محسن (2882039)"</f>
        <v>بستاني محسن (2882039)</v>
      </c>
      <c r="V2" s="1">
        <v>952000080</v>
      </c>
      <c r="W2" s="1">
        <v>952000080</v>
      </c>
      <c r="X2" s="1" t="str">
        <f>"1395430319"</f>
        <v>1395430319</v>
      </c>
      <c r="Y2" s="1" t="str">
        <f>"95/06/20"</f>
        <v>95/06/20</v>
      </c>
      <c r="Z2" s="1" t="str">
        <f>"27924"</f>
        <v>27924</v>
      </c>
      <c r="AA2" s="1" t="str">
        <f>"شهرداريها"</f>
        <v>شهرداريها</v>
      </c>
      <c r="AB2" s="1" t="str">
        <f>"95/06/13"</f>
        <v>95/06/13</v>
      </c>
      <c r="AC2" s="1" t="str">
        <f>"لرستان"</f>
        <v>لرستان</v>
      </c>
      <c r="AD2" s="1" t="str">
        <f>"95/06/17"</f>
        <v>95/06/17</v>
      </c>
      <c r="AE2" s="1" t="str">
        <f>"اختتام"</f>
        <v>اختتام</v>
      </c>
      <c r="AF2" s="1" t="str">
        <f>""</f>
        <v/>
      </c>
      <c r="AG2" s="1" t="str">
        <f>""</f>
        <v/>
      </c>
      <c r="AH2" s="1" t="str">
        <f>""</f>
        <v/>
      </c>
      <c r="AI2" s="1" t="str">
        <f>""</f>
        <v/>
      </c>
      <c r="AJ2" s="1" t="str">
        <f>""</f>
        <v/>
      </c>
      <c r="AK2" s="1" t="str">
        <f>""</f>
        <v/>
      </c>
    </row>
    <row r="3" spans="1:37" x14ac:dyDescent="0.2">
      <c r="A3" s="1">
        <v>1000</v>
      </c>
      <c r="B3" s="1">
        <v>952000350</v>
      </c>
      <c r="C3" s="1" t="str">
        <f>"تخليه اصفهان كيلومتر29اتوبان ذوب آهن زرين شهركارخانه آسفالت زرين شهر"</f>
        <v>تخليه اصفهان كيلومتر29اتوبان ذوب آهن زرين شهركارخانه آسفالت زرين شهر</v>
      </c>
      <c r="D3" s="1">
        <v>9361</v>
      </c>
      <c r="E3" s="1">
        <v>0</v>
      </c>
      <c r="F3" s="1">
        <v>95</v>
      </c>
      <c r="G3" s="1">
        <v>1000</v>
      </c>
      <c r="H3" s="1" t="str">
        <f>"95/11/30"</f>
        <v>95/11/30</v>
      </c>
      <c r="I3" s="1" t="str">
        <f t="shared" si="0"/>
        <v>كيلوگرم</v>
      </c>
      <c r="J3" s="1" t="str">
        <f>"0000000076"</f>
        <v>0000000076</v>
      </c>
      <c r="K3" s="1" t="str">
        <f>"قير 60/70 - فله"</f>
        <v>قير 60/70 - فله</v>
      </c>
      <c r="L3" s="1">
        <v>100</v>
      </c>
      <c r="M3" s="1" t="str">
        <f t="shared" si="1"/>
        <v>مخازن قير اصفهان</v>
      </c>
      <c r="N3" s="1">
        <v>11197</v>
      </c>
      <c r="O3" s="1">
        <v>50033793</v>
      </c>
      <c r="P3" s="1" t="str">
        <f>"  شهرداري باغبادران"</f>
        <v xml:space="preserve">  شهرداري باغبادران</v>
      </c>
      <c r="Q3" s="1">
        <v>20</v>
      </c>
      <c r="R3" s="1" t="str">
        <f>"فروش داخلي - سازمان شهرداري ها و دهياري هاي كشور"</f>
        <v>فروش داخلي - سازمان شهرداري ها و دهياري هاي كشور</v>
      </c>
      <c r="S3" s="1" t="str">
        <f t="shared" si="2"/>
        <v>قرارداد فروش</v>
      </c>
      <c r="T3" s="1" t="str">
        <f t="shared" si="3"/>
        <v>ندارد</v>
      </c>
      <c r="U3" s="1" t="str">
        <f>"مرادي نجاتعلي(1020ج89)"</f>
        <v>مرادي نجاتعلي(1020ج89)</v>
      </c>
      <c r="V3" s="1">
        <v>952000350</v>
      </c>
      <c r="W3" s="1">
        <v>952000350</v>
      </c>
      <c r="X3" s="1" t="str">
        <f>"1395466057"</f>
        <v>1395466057</v>
      </c>
      <c r="Y3" s="1" t="str">
        <f>"95/11/30"</f>
        <v>95/11/30</v>
      </c>
      <c r="Z3" s="1" t="str">
        <f>"43235"</f>
        <v>43235</v>
      </c>
      <c r="AA3" s="1" t="str">
        <f>"شهرداريها"</f>
        <v>شهرداريها</v>
      </c>
      <c r="AB3" s="1" t="str">
        <f>"95/09/01"</f>
        <v>95/09/01</v>
      </c>
      <c r="AC3" s="1" t="str">
        <f>"استان اصفهان"</f>
        <v>استان اصفهان</v>
      </c>
      <c r="AD3" s="1" t="str">
        <f>"95/11/30"</f>
        <v>95/11/30</v>
      </c>
      <c r="AE3" s="1" t="str">
        <f>"اختتام"</f>
        <v>اختتام</v>
      </c>
      <c r="AF3" s="1" t="str">
        <f>""</f>
        <v/>
      </c>
      <c r="AG3" s="1" t="str">
        <f>""</f>
        <v/>
      </c>
      <c r="AH3" s="1" t="str">
        <f>""</f>
        <v/>
      </c>
      <c r="AI3" s="1" t="str">
        <f>""</f>
        <v/>
      </c>
      <c r="AJ3" s="1" t="str">
        <f>""</f>
        <v/>
      </c>
      <c r="AK3" s="1" t="str">
        <f>""</f>
        <v/>
      </c>
    </row>
    <row r="4" spans="1:37" x14ac:dyDescent="0.2">
      <c r="A4" s="1">
        <v>22000</v>
      </c>
      <c r="B4" s="1">
        <v>951400073</v>
      </c>
      <c r="C4" s="1" t="str">
        <f>"تخليه -خراسان رضوي -نيشابور-فيروزه -كيلومتر12جاده قوچان -كارخانه آسفالت دل حفره"</f>
        <v>تخليه -خراسان رضوي -نيشابور-فيروزه -كيلومتر12جاده قوچان -كارخانه آسفالت دل حفره</v>
      </c>
      <c r="D4" s="1">
        <v>7276</v>
      </c>
      <c r="E4" s="1">
        <v>0</v>
      </c>
      <c r="F4" s="1">
        <v>95</v>
      </c>
      <c r="G4" s="1">
        <v>22000</v>
      </c>
      <c r="H4" s="1" t="str">
        <f>"95/07/06"</f>
        <v>95/07/06</v>
      </c>
      <c r="I4" s="1" t="str">
        <f t="shared" si="0"/>
        <v>كيلوگرم</v>
      </c>
      <c r="J4" s="1" t="str">
        <f>"0000000091"</f>
        <v>0000000091</v>
      </c>
      <c r="K4" s="1" t="str">
        <f>"قير  PG64-22"</f>
        <v>قير  PG64-22</v>
      </c>
      <c r="L4" s="1">
        <v>100</v>
      </c>
      <c r="M4" s="1" t="str">
        <f t="shared" si="1"/>
        <v>مخازن قير اصفهان</v>
      </c>
      <c r="N4" s="1">
        <v>4026</v>
      </c>
      <c r="O4" s="1">
        <v>50032001</v>
      </c>
      <c r="P4" s="1" t="str">
        <f>"  اداره كل راه و شهرسازي خراسان رضوي"</f>
        <v xml:space="preserve">  اداره كل راه و شهرسازي خراسان رضوي</v>
      </c>
      <c r="Q4" s="1">
        <v>14</v>
      </c>
      <c r="R4" s="1" t="str">
        <f>"فروش داخلي - وزارت راه - حوزه راه روستايي ساخت"</f>
        <v>فروش داخلي - وزارت راه - حوزه راه روستايي ساخت</v>
      </c>
      <c r="S4" s="1" t="str">
        <f t="shared" si="2"/>
        <v>قرارداد فروش</v>
      </c>
      <c r="T4" s="1" t="str">
        <f t="shared" si="3"/>
        <v>ندارد</v>
      </c>
      <c r="U4" s="1" t="str">
        <f>"هيزچي مرتضي(1841036)"</f>
        <v>هيزچي مرتضي(1841036)</v>
      </c>
      <c r="V4" s="1">
        <v>951400073</v>
      </c>
      <c r="W4" s="1">
        <v>951400073</v>
      </c>
      <c r="X4" s="1" t="str">
        <f>"1395433846"</f>
        <v>1395433846</v>
      </c>
      <c r="Y4" s="1" t="str">
        <f>"95/07/06"</f>
        <v>95/07/06</v>
      </c>
      <c r="Z4" s="1" t="str">
        <f>"31274/510"</f>
        <v>31274/510</v>
      </c>
      <c r="AA4" s="1" t="str">
        <f>"راه وروستايي -ساخت"</f>
        <v>راه وروستايي -ساخت</v>
      </c>
      <c r="AB4" s="1" t="str">
        <f>"95/06/31"</f>
        <v>95/06/31</v>
      </c>
      <c r="AC4" s="1" t="str">
        <f>"خراسان رضوي"</f>
        <v>خراسان رضوي</v>
      </c>
      <c r="AD4" s="1" t="str">
        <f>"95/07/05"</f>
        <v>95/07/05</v>
      </c>
      <c r="AE4" s="1" t="str">
        <f>"اختتام"</f>
        <v>اختتام</v>
      </c>
      <c r="AF4" s="1" t="str">
        <f>""</f>
        <v/>
      </c>
      <c r="AG4" s="1" t="str">
        <f>""</f>
        <v/>
      </c>
      <c r="AH4" s="1" t="str">
        <f>""</f>
        <v/>
      </c>
      <c r="AI4" s="1" t="str">
        <f>""</f>
        <v/>
      </c>
      <c r="AJ4" s="1" t="str">
        <f>""</f>
        <v/>
      </c>
      <c r="AK4" s="1" t="str">
        <f>""</f>
        <v/>
      </c>
    </row>
    <row r="5" spans="1:37" x14ac:dyDescent="0.2">
      <c r="A5" s="1">
        <v>900000</v>
      </c>
      <c r="B5" s="1">
        <v>951700316</v>
      </c>
      <c r="C5" s="1" t="str">
        <f>"تخليه كردستان مريوان كيلومتر7جاده سقزكارخانه آسفالت شهرداري سقز"</f>
        <v>تخليه كردستان مريوان كيلومتر7جاده سقزكارخانه آسفالت شهرداري سقز</v>
      </c>
      <c r="D5" s="1">
        <v>9511</v>
      </c>
      <c r="E5" s="1">
        <v>0</v>
      </c>
      <c r="F5" s="1">
        <v>95</v>
      </c>
      <c r="G5" s="1">
        <v>900000</v>
      </c>
      <c r="H5" s="1" t="str">
        <f>"95/11/04"</f>
        <v>95/11/04</v>
      </c>
      <c r="I5" s="1" t="str">
        <f t="shared" si="0"/>
        <v>كيلوگرم</v>
      </c>
      <c r="J5" s="1" t="str">
        <f>"0000000088"</f>
        <v>0000000088</v>
      </c>
      <c r="K5" s="1" t="str">
        <f>"قير  PG58-22"</f>
        <v>قير  PG58-22</v>
      </c>
      <c r="L5" s="1">
        <v>100</v>
      </c>
      <c r="M5" s="1" t="str">
        <f t="shared" si="1"/>
        <v>مخازن قير اصفهان</v>
      </c>
      <c r="N5" s="1">
        <v>10406</v>
      </c>
      <c r="O5" s="1">
        <v>50033494</v>
      </c>
      <c r="P5" s="1" t="str">
        <f>"  اداره كل راه وشهرسازي كردستان"</f>
        <v xml:space="preserve">  اداره كل راه وشهرسازي كردستان</v>
      </c>
      <c r="Q5" s="1">
        <v>17</v>
      </c>
      <c r="R5" s="1" t="str">
        <f>"فروش داخلي تهران - وزارت راه - راه روستايي - روکش"</f>
        <v>فروش داخلي تهران - وزارت راه - راه روستايي - روکش</v>
      </c>
      <c r="S5" s="1" t="str">
        <f t="shared" si="2"/>
        <v>قرارداد فروش</v>
      </c>
      <c r="T5" s="1" t="str">
        <f t="shared" si="3"/>
        <v>ندارد</v>
      </c>
      <c r="U5" s="1" t="str">
        <f>"فتاح زاده سيداحمد(3843011)"</f>
        <v>فتاح زاده سيداحمد(3843011)</v>
      </c>
      <c r="V5" s="1">
        <v>951700316</v>
      </c>
      <c r="W5" s="1">
        <v>951700316</v>
      </c>
      <c r="X5" s="1" t="str">
        <f>"1395460251"</f>
        <v>1395460251</v>
      </c>
      <c r="Y5" s="1" t="str">
        <f>"95/11/04"</f>
        <v>95/11/04</v>
      </c>
      <c r="Z5" s="1" t="str">
        <f>"53929/710"</f>
        <v>53929/710</v>
      </c>
      <c r="AA5" s="1" t="str">
        <f>"راه روستائي -روكش"</f>
        <v>راه روستائي -روكش</v>
      </c>
      <c r="AB5" s="1" t="str">
        <f>"95/11/02"</f>
        <v>95/11/02</v>
      </c>
      <c r="AC5" s="1" t="str">
        <f>"استان كردستان"</f>
        <v>استان كردستان</v>
      </c>
      <c r="AD5" s="1" t="str">
        <f>"95/11/04"</f>
        <v>95/11/04</v>
      </c>
      <c r="AE5" s="1" t="str">
        <f>"ابطال شده"</f>
        <v>ابطال شده</v>
      </c>
      <c r="AF5" s="1" t="str">
        <f>""</f>
        <v/>
      </c>
      <c r="AG5" s="1" t="str">
        <f>""</f>
        <v/>
      </c>
      <c r="AH5" s="1" t="str">
        <f>""</f>
        <v/>
      </c>
      <c r="AI5" s="1" t="str">
        <f>""</f>
        <v/>
      </c>
      <c r="AJ5" s="1" t="str">
        <f>""</f>
        <v/>
      </c>
      <c r="AK5" s="1" t="str">
        <f>""</f>
        <v/>
      </c>
    </row>
    <row r="6" spans="1:37" x14ac:dyDescent="0.2">
      <c r="A6" s="1">
        <v>200000</v>
      </c>
      <c r="B6" s="1">
        <v>951700224</v>
      </c>
      <c r="C6" s="1" t="str">
        <f>"تخليه -خراسان رضوي محورتربت جام -فريمان كيلومتر45كارخانه استحكام انديش توس"</f>
        <v>تخليه -خراسان رضوي محورتربت جام -فريمان كيلومتر45كارخانه استحكام انديش توس</v>
      </c>
      <c r="D6" s="1">
        <v>7276</v>
      </c>
      <c r="E6" s="1">
        <v>0</v>
      </c>
      <c r="F6" s="1">
        <v>95</v>
      </c>
      <c r="G6" s="1">
        <v>200000</v>
      </c>
      <c r="H6" s="1" t="str">
        <f>"95/07/06"</f>
        <v>95/07/06</v>
      </c>
      <c r="I6" s="1" t="str">
        <f t="shared" si="0"/>
        <v>كيلوگرم</v>
      </c>
      <c r="J6" s="1" t="str">
        <f>"0000000091"</f>
        <v>0000000091</v>
      </c>
      <c r="K6" s="1" t="str">
        <f>"قير  PG64-22"</f>
        <v>قير  PG64-22</v>
      </c>
      <c r="L6" s="1">
        <v>100</v>
      </c>
      <c r="M6" s="1" t="str">
        <f t="shared" si="1"/>
        <v>مخازن قير اصفهان</v>
      </c>
      <c r="N6" s="1">
        <v>4026</v>
      </c>
      <c r="O6" s="1">
        <v>50032009</v>
      </c>
      <c r="P6" s="1" t="str">
        <f>"  اداره كل راه و شهرسازي خراسان رضوي"</f>
        <v xml:space="preserve">  اداره كل راه و شهرسازي خراسان رضوي</v>
      </c>
      <c r="Q6" s="1">
        <v>17</v>
      </c>
      <c r="R6" s="1" t="str">
        <f>"فروش داخلي تهران - وزارت راه - راه روستايي - روکش"</f>
        <v>فروش داخلي تهران - وزارت راه - راه روستايي - روکش</v>
      </c>
      <c r="S6" s="1" t="str">
        <f t="shared" si="2"/>
        <v>قرارداد فروش</v>
      </c>
      <c r="T6" s="1" t="str">
        <f t="shared" si="3"/>
        <v>ندارد</v>
      </c>
      <c r="U6" s="1" t="str">
        <f>"نظام دوست امين (1911102)"</f>
        <v>نظام دوست امين (1911102)</v>
      </c>
      <c r="V6" s="1">
        <v>951700224</v>
      </c>
      <c r="W6" s="1">
        <v>951700224</v>
      </c>
      <c r="X6" s="1" t="str">
        <f>"1395433834"</f>
        <v>1395433834</v>
      </c>
      <c r="Y6" s="1" t="str">
        <f>"95/07/06"</f>
        <v>95/07/06</v>
      </c>
      <c r="Z6" s="1" t="str">
        <f>"31304/510"</f>
        <v>31304/510</v>
      </c>
      <c r="AA6" s="1" t="str">
        <f>"راه روستائي -روكش"</f>
        <v>راه روستائي -روكش</v>
      </c>
      <c r="AB6" s="1" t="str">
        <f>"95/06/31"</f>
        <v>95/06/31</v>
      </c>
      <c r="AC6" s="1" t="str">
        <f>"خراسان رضوي"</f>
        <v>خراسان رضوي</v>
      </c>
      <c r="AD6" s="1" t="str">
        <f>"95/07/05"</f>
        <v>95/07/05</v>
      </c>
      <c r="AE6" s="1" t="str">
        <f t="shared" ref="AE6:AE37" si="4">"اختتام"</f>
        <v>اختتام</v>
      </c>
      <c r="AF6" s="1" t="str">
        <f>""</f>
        <v/>
      </c>
      <c r="AG6" s="1" t="str">
        <f>""</f>
        <v/>
      </c>
      <c r="AH6" s="1" t="str">
        <f>""</f>
        <v/>
      </c>
      <c r="AI6" s="1" t="str">
        <f>""</f>
        <v/>
      </c>
      <c r="AJ6" s="1" t="str">
        <f>""</f>
        <v/>
      </c>
      <c r="AK6" s="1" t="str">
        <f>""</f>
        <v/>
      </c>
    </row>
    <row r="7" spans="1:37" x14ac:dyDescent="0.2">
      <c r="A7" s="1">
        <v>177640</v>
      </c>
      <c r="B7" s="1">
        <v>951900227</v>
      </c>
      <c r="C7" s="1" t="str">
        <f>"تخليه -كهگيلويه وبويراحمد-كارخانه آسفالت زارع ومظفرواقع درورودي دهدشت -خيرآباد"</f>
        <v>تخليه -كهگيلويه وبويراحمد-كارخانه آسفالت زارع ومظفرواقع درورودي دهدشت -خيرآباد</v>
      </c>
      <c r="D7" s="1">
        <v>9061</v>
      </c>
      <c r="E7" s="1">
        <v>0</v>
      </c>
      <c r="F7" s="1">
        <v>95</v>
      </c>
      <c r="G7" s="1">
        <v>177640</v>
      </c>
      <c r="H7" s="1" t="str">
        <f>"95/10/05"</f>
        <v>95/10/05</v>
      </c>
      <c r="I7" s="1" t="str">
        <f t="shared" si="0"/>
        <v>كيلوگرم</v>
      </c>
      <c r="J7" s="1" t="str">
        <f>"0000000091"</f>
        <v>0000000091</v>
      </c>
      <c r="K7" s="1" t="str">
        <f>"قير  PG64-22"</f>
        <v>قير  PG64-22</v>
      </c>
      <c r="L7" s="1">
        <v>100</v>
      </c>
      <c r="M7" s="1" t="str">
        <f t="shared" si="1"/>
        <v>مخازن قير اصفهان</v>
      </c>
      <c r="N7" s="1">
        <v>10686</v>
      </c>
      <c r="O7" s="1">
        <v>50033151</v>
      </c>
      <c r="P7" s="1" t="str">
        <f>"  عمارت گسترآويشن"</f>
        <v xml:space="preserve">  عمارت گسترآويشن</v>
      </c>
      <c r="Q7" s="1">
        <v>19</v>
      </c>
      <c r="R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" s="1" t="str">
        <f t="shared" si="2"/>
        <v>قرارداد فروش</v>
      </c>
      <c r="T7" s="1" t="str">
        <f t="shared" si="3"/>
        <v>ندارد</v>
      </c>
      <c r="U7" s="1" t="str">
        <f>"غلام نجفي سيامك‌‌‌‌‌‌(1881082)"</f>
        <v>غلام نجفي سيامك‌‌‌‌‌‌(1881082)</v>
      </c>
      <c r="V7" s="1">
        <v>951900227</v>
      </c>
      <c r="W7" s="1">
        <v>951900227</v>
      </c>
      <c r="X7" s="1" t="str">
        <f>"1395414111"</f>
        <v>1395414111</v>
      </c>
      <c r="Y7" s="1" t="str">
        <f>"95/10/05"</f>
        <v>95/10/05</v>
      </c>
      <c r="Z7" s="1" t="str">
        <f>"15885/510"</f>
        <v>15885/510</v>
      </c>
      <c r="AA7" s="1" t="str">
        <f>"سازمان راهداري وحمل نقل جاده اي"</f>
        <v>سازمان راهداري وحمل نقل جاده اي</v>
      </c>
      <c r="AB7" s="1" t="str">
        <f>"95/04/13"</f>
        <v>95/04/13</v>
      </c>
      <c r="AC7" s="1" t="str">
        <f>"كهكيلويه و بوير احمد"</f>
        <v>كهكيلويه و بوير احمد</v>
      </c>
      <c r="AD7" s="1" t="str">
        <f>"95/04/19"</f>
        <v>95/04/19</v>
      </c>
      <c r="AE7" s="1" t="str">
        <f t="shared" si="4"/>
        <v>اختتام</v>
      </c>
      <c r="AF7" s="1" t="str">
        <f>""</f>
        <v/>
      </c>
      <c r="AG7" s="1" t="str">
        <f>""</f>
        <v/>
      </c>
      <c r="AH7" s="1" t="str">
        <f>""</f>
        <v/>
      </c>
      <c r="AI7" s="1" t="str">
        <f>""</f>
        <v/>
      </c>
      <c r="AJ7" s="1" t="str">
        <f>""</f>
        <v/>
      </c>
      <c r="AK7" s="1" t="str">
        <f>""</f>
        <v/>
      </c>
    </row>
    <row r="8" spans="1:37" x14ac:dyDescent="0.2">
      <c r="A8" s="1">
        <v>407000</v>
      </c>
      <c r="B8" s="1">
        <v>951700297</v>
      </c>
      <c r="C8" s="1" t="str">
        <f>"تخليه -خراسان رضوي -نيشابور-كيلومتر120جاده فيروزآبادشركت دل حفره"</f>
        <v>تخليه -خراسان رضوي -نيشابور-كيلومتر120جاده فيروزآبادشركت دل حفره</v>
      </c>
      <c r="D8" s="1">
        <v>9061</v>
      </c>
      <c r="E8" s="1">
        <v>0</v>
      </c>
      <c r="F8" s="1">
        <v>95</v>
      </c>
      <c r="G8" s="1">
        <v>407000</v>
      </c>
      <c r="H8" s="1" t="str">
        <f>"95/10/07"</f>
        <v>95/10/07</v>
      </c>
      <c r="I8" s="1" t="str">
        <f t="shared" si="0"/>
        <v>كيلوگرم</v>
      </c>
      <c r="J8" s="1" t="str">
        <f>"0000000091"</f>
        <v>0000000091</v>
      </c>
      <c r="K8" s="1" t="str">
        <f>"قير  PG64-22"</f>
        <v>قير  PG64-22</v>
      </c>
      <c r="L8" s="1">
        <v>100</v>
      </c>
      <c r="M8" s="1" t="str">
        <f t="shared" si="1"/>
        <v>مخازن قير اصفهان</v>
      </c>
      <c r="N8" s="1">
        <v>4026</v>
      </c>
      <c r="O8" s="1">
        <v>50033191</v>
      </c>
      <c r="P8" s="1" t="str">
        <f>"  اداره كل راه و شهرسازي خراسان رضوي"</f>
        <v xml:space="preserve">  اداره كل راه و شهرسازي خراسان رضوي</v>
      </c>
      <c r="Q8" s="1">
        <v>17</v>
      </c>
      <c r="R8" s="1" t="str">
        <f>"فروش داخلي تهران - وزارت راه - راه روستايي - روکش"</f>
        <v>فروش داخلي تهران - وزارت راه - راه روستايي - روکش</v>
      </c>
      <c r="S8" s="1" t="str">
        <f t="shared" si="2"/>
        <v>قرارداد فروش</v>
      </c>
      <c r="T8" s="1" t="str">
        <f t="shared" si="3"/>
        <v>ندارد</v>
      </c>
      <c r="U8" s="1" t="str">
        <f>"بابامحمدي عنايت اله(4844000)"</f>
        <v>بابامحمدي عنايت اله(4844000)</v>
      </c>
      <c r="V8" s="1">
        <v>951700297</v>
      </c>
      <c r="W8" s="1">
        <v>951700297</v>
      </c>
      <c r="X8" s="1" t="str">
        <f>"1395454586"</f>
        <v>1395454586</v>
      </c>
      <c r="Y8" s="1" t="str">
        <f>"95/10/07"</f>
        <v>95/10/07</v>
      </c>
      <c r="Z8" s="1" t="str">
        <f>"46199/710"</f>
        <v>46199/710</v>
      </c>
      <c r="AA8" s="1" t="str">
        <f>"راه روستائي -روكش"</f>
        <v>راه روستائي -روكش</v>
      </c>
      <c r="AB8" s="1" t="str">
        <f>"95/09/22"</f>
        <v>95/09/22</v>
      </c>
      <c r="AC8" s="1" t="str">
        <f>"خراسان رضوي"</f>
        <v>خراسان رضوي</v>
      </c>
      <c r="AD8" s="1" t="str">
        <f>"95/10/06"</f>
        <v>95/10/06</v>
      </c>
      <c r="AE8" s="1" t="str">
        <f t="shared" si="4"/>
        <v>اختتام</v>
      </c>
      <c r="AF8" s="1" t="str">
        <f>""</f>
        <v/>
      </c>
      <c r="AG8" s="1" t="str">
        <f>""</f>
        <v/>
      </c>
      <c r="AH8" s="1" t="str">
        <f>""</f>
        <v/>
      </c>
      <c r="AI8" s="1" t="str">
        <f>""</f>
        <v/>
      </c>
      <c r="AJ8" s="1" t="str">
        <f>""</f>
        <v/>
      </c>
      <c r="AK8" s="1" t="str">
        <f>""</f>
        <v/>
      </c>
    </row>
    <row r="9" spans="1:37" x14ac:dyDescent="0.2">
      <c r="A9" s="1">
        <v>700000</v>
      </c>
      <c r="B9" s="1">
        <v>951800077</v>
      </c>
      <c r="C9" s="1" t="str">
        <f>"تخليه -چهارمحال وبختياري -پروژه بانددوم لردگان كوشكي -كارخانه آسفالت كوثرخانميرزا"</f>
        <v>تخليه -چهارمحال وبختياري -پروژه بانددوم لردگان كوشكي -كارخانه آسفالت كوثرخانميرزا</v>
      </c>
      <c r="D9" s="1">
        <v>7276</v>
      </c>
      <c r="E9" s="1">
        <v>0</v>
      </c>
      <c r="F9" s="1">
        <v>95</v>
      </c>
      <c r="G9" s="1">
        <v>700000</v>
      </c>
      <c r="H9" s="1" t="str">
        <f>"95/07/07"</f>
        <v>95/07/07</v>
      </c>
      <c r="I9" s="1" t="str">
        <f t="shared" si="0"/>
        <v>كيلوگرم</v>
      </c>
      <c r="J9" s="1" t="str">
        <f>"0000000091"</f>
        <v>0000000091</v>
      </c>
      <c r="K9" s="1" t="str">
        <f>"قير  PG64-22"</f>
        <v>قير  PG64-22</v>
      </c>
      <c r="L9" s="1">
        <v>100</v>
      </c>
      <c r="M9" s="1" t="str">
        <f t="shared" si="1"/>
        <v>مخازن قير اصفهان</v>
      </c>
      <c r="N9" s="1">
        <v>10253</v>
      </c>
      <c r="O9" s="1">
        <v>50032022</v>
      </c>
      <c r="P9" s="1" t="str">
        <f>"  مهندسي پروژه هاي آب ونيروي ايران (پانير)"</f>
        <v xml:space="preserve">  مهندسي پروژه هاي آب ونيروي ايران (پانير)</v>
      </c>
      <c r="Q9" s="1">
        <v>18</v>
      </c>
      <c r="R9" s="1" t="str">
        <f>"فروش داخلي تهران - وزارت راه - شرکت ساخت و توسعه راهها"</f>
        <v>فروش داخلي تهران - وزارت راه - شرکت ساخت و توسعه راهها</v>
      </c>
      <c r="S9" s="1" t="str">
        <f t="shared" si="2"/>
        <v>قرارداد فروش</v>
      </c>
      <c r="T9" s="1" t="str">
        <f t="shared" si="3"/>
        <v>ندارد</v>
      </c>
      <c r="U9" s="1" t="str">
        <f>"قره باغي مجيد(1871065)"</f>
        <v>قره باغي مجيد(1871065)</v>
      </c>
      <c r="V9" s="1">
        <v>951800077</v>
      </c>
      <c r="W9" s="1">
        <v>951800077</v>
      </c>
      <c r="X9" s="1" t="str">
        <f>"1395433847"</f>
        <v>1395433847</v>
      </c>
      <c r="Y9" s="1" t="str">
        <f>"95/07/07"</f>
        <v>95/07/07</v>
      </c>
      <c r="Z9" s="1" t="str">
        <f>"30707/510"</f>
        <v>30707/510</v>
      </c>
      <c r="AA9" s="1" t="str">
        <f>"شركت  ساخت وتوسعه راهها"</f>
        <v>شركت  ساخت وتوسعه راهها</v>
      </c>
      <c r="AB9" s="1" t="str">
        <f>"95/06/28"</f>
        <v>95/06/28</v>
      </c>
      <c r="AC9" s="1" t="str">
        <f>"استان چهارمحال بختياري"</f>
        <v>استان چهارمحال بختياري</v>
      </c>
      <c r="AD9" s="1" t="str">
        <f>"95/07/05"</f>
        <v>95/07/05</v>
      </c>
      <c r="AE9" s="1" t="str">
        <f t="shared" si="4"/>
        <v>اختتام</v>
      </c>
      <c r="AF9" s="1" t="str">
        <f>""</f>
        <v/>
      </c>
      <c r="AG9" s="1" t="str">
        <f>""</f>
        <v/>
      </c>
      <c r="AH9" s="1" t="str">
        <f>""</f>
        <v/>
      </c>
      <c r="AI9" s="1" t="str">
        <f>""</f>
        <v/>
      </c>
      <c r="AJ9" s="1" t="str">
        <f>""</f>
        <v/>
      </c>
      <c r="AK9" s="1" t="str">
        <f>""</f>
        <v/>
      </c>
    </row>
    <row r="10" spans="1:37" x14ac:dyDescent="0.2">
      <c r="A10" s="1">
        <v>200000</v>
      </c>
      <c r="B10" s="1">
        <v>951900043</v>
      </c>
      <c r="C10" s="1" t="str">
        <f>"تخليه -كهگيلويه وبويراحمد-كارخانه آسفالت زارع ومظفرواقع درورودي دهدشت -خيرآباد"</f>
        <v>تخليه -كهگيلويه وبويراحمد-كارخانه آسفالت زارع ومظفرواقع درورودي دهدشت -خيرآباد</v>
      </c>
      <c r="D10" s="1">
        <v>6250</v>
      </c>
      <c r="E10" s="1">
        <v>0</v>
      </c>
      <c r="F10" s="1">
        <v>95</v>
      </c>
      <c r="G10" s="1">
        <v>200000</v>
      </c>
      <c r="H10" s="1" t="str">
        <f>"95/04/21"</f>
        <v>95/04/21</v>
      </c>
      <c r="I10" s="1" t="str">
        <f t="shared" si="0"/>
        <v>كيلوگرم</v>
      </c>
      <c r="J10" s="1" t="str">
        <f>"0000000091"</f>
        <v>0000000091</v>
      </c>
      <c r="K10" s="1" t="str">
        <f>"قير  PG64-22"</f>
        <v>قير  PG64-22</v>
      </c>
      <c r="L10" s="1">
        <v>100</v>
      </c>
      <c r="M10" s="1" t="str">
        <f t="shared" si="1"/>
        <v>مخازن قير اصفهان</v>
      </c>
      <c r="N10" s="1">
        <v>10686</v>
      </c>
      <c r="O10" s="1">
        <v>50031261</v>
      </c>
      <c r="P10" s="1" t="str">
        <f>"  عمارت گسترآويشن"</f>
        <v xml:space="preserve">  عمارت گسترآويشن</v>
      </c>
      <c r="Q10" s="1">
        <v>19</v>
      </c>
      <c r="R1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" s="1" t="str">
        <f t="shared" si="2"/>
        <v>قرارداد فروش</v>
      </c>
      <c r="T10" s="1" t="str">
        <f t="shared" si="3"/>
        <v>ندارد</v>
      </c>
      <c r="U10" s="1" t="str">
        <f>"غلام نجفي سيامك‌‌‌‌‌‌(1881082)"</f>
        <v>غلام نجفي سيامك‌‌‌‌‌‌(1881082)</v>
      </c>
      <c r="V10" s="1">
        <v>951900043</v>
      </c>
      <c r="W10" s="1">
        <v>951900043</v>
      </c>
      <c r="X10" s="1" t="str">
        <f>"1395414111"</f>
        <v>1395414111</v>
      </c>
      <c r="Y10" s="1" t="str">
        <f>"95/04/20"</f>
        <v>95/04/20</v>
      </c>
      <c r="Z10" s="1" t="str">
        <f>"15885/510"</f>
        <v>15885/510</v>
      </c>
      <c r="AA10" s="1" t="str">
        <f>"سازمان راهداري وحمل نقل جاده اي"</f>
        <v>سازمان راهداري وحمل نقل جاده اي</v>
      </c>
      <c r="AB10" s="1" t="str">
        <f>"95/04/13"</f>
        <v>95/04/13</v>
      </c>
      <c r="AC10" s="1" t="str">
        <f>"كهكيلويه و بوير احمد"</f>
        <v>كهكيلويه و بوير احمد</v>
      </c>
      <c r="AD10" s="1" t="str">
        <f>"95/04/19"</f>
        <v>95/04/19</v>
      </c>
      <c r="AE10" s="1" t="str">
        <f t="shared" si="4"/>
        <v>اختتام</v>
      </c>
      <c r="AF10" s="1" t="str">
        <f>""</f>
        <v/>
      </c>
      <c r="AG10" s="1" t="str">
        <f>""</f>
        <v/>
      </c>
      <c r="AH10" s="1" t="str">
        <f>""</f>
        <v/>
      </c>
      <c r="AI10" s="1" t="str">
        <f>""</f>
        <v/>
      </c>
      <c r="AJ10" s="1" t="str">
        <f>""</f>
        <v/>
      </c>
      <c r="AK10" s="1" t="str">
        <f>""</f>
        <v/>
      </c>
    </row>
    <row r="11" spans="1:37" x14ac:dyDescent="0.2">
      <c r="A11" s="1">
        <v>750000</v>
      </c>
      <c r="B11" s="1">
        <v>951800071</v>
      </c>
      <c r="C11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11" s="1">
        <v>7276</v>
      </c>
      <c r="E11" s="1">
        <v>0</v>
      </c>
      <c r="F11" s="1">
        <v>95</v>
      </c>
      <c r="G11" s="1">
        <v>750000</v>
      </c>
      <c r="H11" s="1" t="str">
        <f>"95/07/04"</f>
        <v>95/07/04</v>
      </c>
      <c r="I11" s="1" t="str">
        <f t="shared" si="0"/>
        <v>كيلوگرم</v>
      </c>
      <c r="J11" s="1" t="str">
        <f>"0000000092"</f>
        <v>0000000092</v>
      </c>
      <c r="K11" s="1" t="str">
        <f>"قير  PG64-16"</f>
        <v>قير  PG64-16</v>
      </c>
      <c r="L11" s="1">
        <v>100</v>
      </c>
      <c r="M11" s="1" t="str">
        <f t="shared" si="1"/>
        <v>مخازن قير اصفهان</v>
      </c>
      <c r="N11" s="1">
        <v>1665</v>
      </c>
      <c r="O11" s="1">
        <v>50031917</v>
      </c>
      <c r="P11" s="1" t="str">
        <f>"  جهاد نصر يزد"</f>
        <v xml:space="preserve">  جهاد نصر يزد</v>
      </c>
      <c r="Q11" s="1">
        <v>18</v>
      </c>
      <c r="R11" s="1" t="str">
        <f>"فروش داخلي تهران - وزارت راه - شرکت ساخت و توسعه راهها"</f>
        <v>فروش داخلي تهران - وزارت راه - شرکت ساخت و توسعه راهها</v>
      </c>
      <c r="S11" s="1" t="str">
        <f t="shared" si="2"/>
        <v>قرارداد فروش</v>
      </c>
      <c r="T11" s="1" t="str">
        <f t="shared" si="3"/>
        <v>ندارد</v>
      </c>
      <c r="U11" s="1" t="str">
        <f>"غلام نجفي سيامك‌‌‌‌‌‌(1881082)"</f>
        <v>غلام نجفي سيامك‌‌‌‌‌‌(1881082)</v>
      </c>
      <c r="V11" s="1">
        <v>951800071</v>
      </c>
      <c r="W11" s="1">
        <v>951800071</v>
      </c>
      <c r="X11" s="1" t="str">
        <f>"1395433634"</f>
        <v>1395433634</v>
      </c>
      <c r="Y11" s="1" t="str">
        <f>"95/07/04"</f>
        <v>95/07/04</v>
      </c>
      <c r="Z11" s="1" t="str">
        <f>"31061/510"</f>
        <v>31061/510</v>
      </c>
      <c r="AA11" s="1" t="str">
        <f>"شركت  ساخت وتوسعه راهها"</f>
        <v>شركت  ساخت وتوسعه راهها</v>
      </c>
      <c r="AB11" s="1" t="str">
        <f>"95/06/29"</f>
        <v>95/06/29</v>
      </c>
      <c r="AC11" s="1" t="str">
        <f>"خراسان جنوبي"</f>
        <v>خراسان جنوبي</v>
      </c>
      <c r="AD11" s="1" t="str">
        <f>"95/07/04"</f>
        <v>95/07/04</v>
      </c>
      <c r="AE11" s="1" t="str">
        <f t="shared" si="4"/>
        <v>اختتام</v>
      </c>
      <c r="AF11" s="1" t="str">
        <f>""</f>
        <v/>
      </c>
      <c r="AG11" s="1" t="str">
        <f>""</f>
        <v/>
      </c>
      <c r="AH11" s="1" t="str">
        <f>""</f>
        <v/>
      </c>
      <c r="AI11" s="1" t="str">
        <f>""</f>
        <v/>
      </c>
      <c r="AJ11" s="1" t="str">
        <f>""</f>
        <v/>
      </c>
      <c r="AK11" s="1" t="str">
        <f>""</f>
        <v/>
      </c>
    </row>
    <row r="12" spans="1:37" x14ac:dyDescent="0.2">
      <c r="A12" s="1">
        <v>94000</v>
      </c>
      <c r="B12" s="1">
        <v>951400110</v>
      </c>
      <c r="C12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2" s="1">
        <v>9061</v>
      </c>
      <c r="E12" s="1">
        <v>0</v>
      </c>
      <c r="F12" s="1">
        <v>95</v>
      </c>
      <c r="G12" s="1">
        <v>94000</v>
      </c>
      <c r="H12" s="1" t="str">
        <f>"95/10/13"</f>
        <v>95/10/13</v>
      </c>
      <c r="I12" s="1" t="str">
        <f t="shared" si="0"/>
        <v>كيلوگرم</v>
      </c>
      <c r="J12" s="1" t="str">
        <f>"0000000092"</f>
        <v>0000000092</v>
      </c>
      <c r="K12" s="1" t="str">
        <f>"قير  PG64-16"</f>
        <v>قير  PG64-16</v>
      </c>
      <c r="L12" s="1">
        <v>100</v>
      </c>
      <c r="M12" s="1" t="str">
        <f t="shared" si="1"/>
        <v>مخازن قير اصفهان</v>
      </c>
      <c r="N12" s="1">
        <v>10717</v>
      </c>
      <c r="O12" s="1">
        <v>50033254</v>
      </c>
      <c r="P12" s="1" t="str">
        <f>"  تعاوني نگين صحت جيرفت"</f>
        <v xml:space="preserve">  تعاوني نگين صحت جيرفت</v>
      </c>
      <c r="Q12" s="1">
        <v>14</v>
      </c>
      <c r="R12" s="1" t="str">
        <f>"فروش داخلي - وزارت راه - حوزه راه روستايي ساخت"</f>
        <v>فروش داخلي - وزارت راه - حوزه راه روستايي ساخت</v>
      </c>
      <c r="S12" s="1" t="str">
        <f t="shared" si="2"/>
        <v>قرارداد فروش</v>
      </c>
      <c r="T12" s="1" t="str">
        <f t="shared" si="3"/>
        <v>ندارد</v>
      </c>
      <c r="U12" s="1" t="str">
        <f>"دشت بشي پودنگ وبرادران رضا(4844014)"</f>
        <v>دشت بشي پودنگ وبرادران رضا(4844014)</v>
      </c>
      <c r="V12" s="1">
        <v>951400110</v>
      </c>
      <c r="W12" s="1">
        <v>951400110</v>
      </c>
      <c r="X12" s="1" t="str">
        <f>"1395456109"</f>
        <v>1395456109</v>
      </c>
      <c r="Y12" s="1" t="str">
        <f>"95/10/12"</f>
        <v>95/10/12</v>
      </c>
      <c r="Z12" s="1" t="str">
        <f>"47056/710"</f>
        <v>47056/710</v>
      </c>
      <c r="AA12" s="1" t="str">
        <f>"راه وروستايي -ساخت"</f>
        <v>راه وروستايي -ساخت</v>
      </c>
      <c r="AB12" s="1" t="str">
        <f>"95/09/28"</f>
        <v>95/09/28</v>
      </c>
      <c r="AC12" s="1" t="str">
        <f>"جنوب کرمان"</f>
        <v>جنوب کرمان</v>
      </c>
      <c r="AD12" s="1" t="str">
        <f>"95/10/11"</f>
        <v>95/10/11</v>
      </c>
      <c r="AE12" s="1" t="str">
        <f t="shared" si="4"/>
        <v>اختتام</v>
      </c>
      <c r="AF12" s="1" t="str">
        <f>""</f>
        <v/>
      </c>
      <c r="AG12" s="1" t="str">
        <f>""</f>
        <v/>
      </c>
      <c r="AH12" s="1" t="str">
        <f>""</f>
        <v/>
      </c>
      <c r="AI12" s="1" t="str">
        <f>""</f>
        <v/>
      </c>
      <c r="AJ12" s="1" t="str">
        <f>""</f>
        <v/>
      </c>
      <c r="AK12" s="1" t="str">
        <f>""</f>
        <v/>
      </c>
    </row>
    <row r="13" spans="1:37" x14ac:dyDescent="0.2">
      <c r="A13" s="1">
        <v>480000</v>
      </c>
      <c r="B13" s="1">
        <v>951400120</v>
      </c>
      <c r="C13" s="1" t="str">
        <f>"تخليه خراسان جنوبي پروژه بهسازي وآسفالت خاواز علي آبادشركت جهان راه"</f>
        <v>تخليه خراسان جنوبي پروژه بهسازي وآسفالت خاواز علي آبادشركت جهان راه</v>
      </c>
      <c r="D13" s="1">
        <v>9061</v>
      </c>
      <c r="E13" s="1">
        <v>0</v>
      </c>
      <c r="F13" s="1">
        <v>95</v>
      </c>
      <c r="G13" s="1">
        <v>480000</v>
      </c>
      <c r="H13" s="1" t="str">
        <f>"95/10/13"</f>
        <v>95/10/13</v>
      </c>
      <c r="I13" s="1" t="str">
        <f t="shared" si="0"/>
        <v>كيلوگرم</v>
      </c>
      <c r="J13" s="1" t="str">
        <f>"0000000091"</f>
        <v>0000000091</v>
      </c>
      <c r="K13" s="1" t="str">
        <f>"قير  PG64-22"</f>
        <v>قير  PG64-22</v>
      </c>
      <c r="L13" s="1">
        <v>100</v>
      </c>
      <c r="M13" s="1" t="str">
        <f t="shared" si="1"/>
        <v>مخازن قير اصفهان</v>
      </c>
      <c r="N13" s="1">
        <v>4012</v>
      </c>
      <c r="O13" s="1">
        <v>50033280</v>
      </c>
      <c r="P13" s="1" t="str">
        <f>"  اداره كل راه و شهرسازي خراسان جنوبي"</f>
        <v xml:space="preserve">  اداره كل راه و شهرسازي خراسان جنوبي</v>
      </c>
      <c r="Q13" s="1">
        <v>14</v>
      </c>
      <c r="R13" s="1" t="str">
        <f>"فروش داخلي - وزارت راه - حوزه راه روستايي ساخت"</f>
        <v>فروش داخلي - وزارت راه - حوزه راه روستايي ساخت</v>
      </c>
      <c r="S13" s="1" t="str">
        <f t="shared" si="2"/>
        <v>قرارداد فروش</v>
      </c>
      <c r="T13" s="1" t="str">
        <f t="shared" si="3"/>
        <v>ندارد</v>
      </c>
      <c r="U13" s="1" t="str">
        <f>"بابامحمدي عنايت اله(4844000)"</f>
        <v>بابامحمدي عنايت اله(4844000)</v>
      </c>
      <c r="V13" s="1">
        <v>951400120</v>
      </c>
      <c r="W13" s="1">
        <v>951400120</v>
      </c>
      <c r="X13" s="1" t="str">
        <f>"1395456363"</f>
        <v>1395456363</v>
      </c>
      <c r="Y13" s="1" t="str">
        <f>"95/10/13"</f>
        <v>95/10/13</v>
      </c>
      <c r="Z13" s="1" t="str">
        <f>"49492/710"</f>
        <v>49492/710</v>
      </c>
      <c r="AA13" s="1" t="str">
        <f>"راه وروستايي -ساخت"</f>
        <v>راه وروستايي -ساخت</v>
      </c>
      <c r="AB13" s="1" t="str">
        <f>"95/10/08"</f>
        <v>95/10/08</v>
      </c>
      <c r="AC13" s="1" t="str">
        <f>"خراسان جنوبي"</f>
        <v>خراسان جنوبي</v>
      </c>
      <c r="AD13" s="1" t="str">
        <f>"95/10/13"</f>
        <v>95/10/13</v>
      </c>
      <c r="AE13" s="1" t="str">
        <f t="shared" si="4"/>
        <v>اختتام</v>
      </c>
      <c r="AF13" s="1" t="str">
        <f>""</f>
        <v/>
      </c>
      <c r="AG13" s="1" t="str">
        <f>""</f>
        <v/>
      </c>
      <c r="AH13" s="1" t="str">
        <f>""</f>
        <v/>
      </c>
      <c r="AI13" s="1" t="str">
        <f>""</f>
        <v/>
      </c>
      <c r="AJ13" s="1" t="str">
        <f>""</f>
        <v/>
      </c>
      <c r="AK13" s="1" t="str">
        <f>""</f>
        <v/>
      </c>
    </row>
    <row r="14" spans="1:37" x14ac:dyDescent="0.2">
      <c r="A14" s="1">
        <v>161000</v>
      </c>
      <c r="B14" s="1">
        <v>951400126</v>
      </c>
      <c r="C14" s="1" t="str">
        <f>"تخليه خراسان جنوبي پروژه بهسازي وآسفالت راه روستايي زهان پايهان كارخانه آسفالت شركت توس راديه"</f>
        <v>تخليه خراسان جنوبي پروژه بهسازي وآسفالت راه روستايي زهان پايهان كارخانه آسفالت شركت توس راديه</v>
      </c>
      <c r="D14" s="1">
        <v>9061</v>
      </c>
      <c r="E14" s="1">
        <v>0</v>
      </c>
      <c r="F14" s="1">
        <v>95</v>
      </c>
      <c r="G14" s="1">
        <v>161000</v>
      </c>
      <c r="H14" s="1" t="str">
        <f>"95/10/22"</f>
        <v>95/10/22</v>
      </c>
      <c r="I14" s="1" t="str">
        <f t="shared" si="0"/>
        <v>كيلوگرم</v>
      </c>
      <c r="J14" s="1" t="str">
        <f>"0000000091"</f>
        <v>0000000091</v>
      </c>
      <c r="K14" s="1" t="str">
        <f>"قير  PG64-22"</f>
        <v>قير  PG64-22</v>
      </c>
      <c r="L14" s="1">
        <v>100</v>
      </c>
      <c r="M14" s="1" t="str">
        <f t="shared" si="1"/>
        <v>مخازن قير اصفهان</v>
      </c>
      <c r="N14" s="1">
        <v>4012</v>
      </c>
      <c r="O14" s="1">
        <v>50033366</v>
      </c>
      <c r="P14" s="1" t="str">
        <f>"  اداره كل راه و شهرسازي خراسان جنوبي"</f>
        <v xml:space="preserve">  اداره كل راه و شهرسازي خراسان جنوبي</v>
      </c>
      <c r="Q14" s="1">
        <v>14</v>
      </c>
      <c r="R14" s="1" t="str">
        <f>"فروش داخلي - وزارت راه - حوزه راه روستايي ساخت"</f>
        <v>فروش داخلي - وزارت راه - حوزه راه روستايي ساخت</v>
      </c>
      <c r="S14" s="1" t="str">
        <f t="shared" si="2"/>
        <v>قرارداد فروش</v>
      </c>
      <c r="T14" s="1" t="str">
        <f t="shared" si="3"/>
        <v>ندارد</v>
      </c>
      <c r="U14" s="1" t="str">
        <f>"بابامحمدي عنايت اله(4844000)"</f>
        <v>بابامحمدي عنايت اله(4844000)</v>
      </c>
      <c r="V14" s="1">
        <v>951400126</v>
      </c>
      <c r="W14" s="1">
        <v>951400126</v>
      </c>
      <c r="X14" s="1" t="str">
        <f>"1395457935"</f>
        <v>1395457935</v>
      </c>
      <c r="Y14" s="1" t="str">
        <f>"95/10/22"</f>
        <v>95/10/22</v>
      </c>
      <c r="Z14" s="1" t="str">
        <f>"51853/710"</f>
        <v>51853/710</v>
      </c>
      <c r="AA14" s="1" t="str">
        <f>"راه وروستايي -ساخت"</f>
        <v>راه وروستايي -ساخت</v>
      </c>
      <c r="AB14" s="1" t="str">
        <f>"95/10/20"</f>
        <v>95/10/20</v>
      </c>
      <c r="AC14" s="1" t="str">
        <f>"خراسان جنوبي"</f>
        <v>خراسان جنوبي</v>
      </c>
      <c r="AD14" s="1" t="str">
        <f>"95/10/22"</f>
        <v>95/10/22</v>
      </c>
      <c r="AE14" s="1" t="str">
        <f t="shared" si="4"/>
        <v>اختتام</v>
      </c>
      <c r="AF14" s="1" t="str">
        <f>""</f>
        <v/>
      </c>
      <c r="AG14" s="1" t="str">
        <f>""</f>
        <v/>
      </c>
      <c r="AH14" s="1" t="str">
        <f>""</f>
        <v/>
      </c>
      <c r="AI14" s="1" t="str">
        <f>""</f>
        <v/>
      </c>
      <c r="AJ14" s="1" t="str">
        <f>""</f>
        <v/>
      </c>
      <c r="AK14" s="1" t="str">
        <f>""</f>
        <v/>
      </c>
    </row>
    <row r="15" spans="1:37" x14ac:dyDescent="0.2">
      <c r="A15" s="1">
        <v>58000</v>
      </c>
      <c r="B15" s="1">
        <v>951700203</v>
      </c>
      <c r="C15" s="1" t="str">
        <f>"تخليه كرمان پروژه رباط -كيلومتر18جاده"</f>
        <v>تخليه كرمان پروژه رباط -كيلومتر18جاده</v>
      </c>
      <c r="D15" s="1">
        <v>7176</v>
      </c>
      <c r="E15" s="1">
        <v>0</v>
      </c>
      <c r="F15" s="1">
        <v>95</v>
      </c>
      <c r="G15" s="1">
        <v>58000</v>
      </c>
      <c r="H15" s="1" t="str">
        <f>"95/06/15"</f>
        <v>95/06/15</v>
      </c>
      <c r="I15" s="1" t="str">
        <f t="shared" si="0"/>
        <v>كيلوگرم</v>
      </c>
      <c r="J15" s="1" t="str">
        <f>"0000000091"</f>
        <v>0000000091</v>
      </c>
      <c r="K15" s="1" t="str">
        <f>"قير  PG64-22"</f>
        <v>قير  PG64-22</v>
      </c>
      <c r="L15" s="1">
        <v>100</v>
      </c>
      <c r="M15" s="1" t="str">
        <f t="shared" si="1"/>
        <v>مخازن قير اصفهان</v>
      </c>
      <c r="N15" s="1">
        <v>7034</v>
      </c>
      <c r="O15" s="1">
        <v>50031806</v>
      </c>
      <c r="P15" s="1" t="str">
        <f>"  اداره كل راه وشهرسازي كرمان"</f>
        <v xml:space="preserve">  اداره كل راه وشهرسازي كرمان</v>
      </c>
      <c r="Q15" s="1">
        <v>17</v>
      </c>
      <c r="R15" s="1" t="str">
        <f>"فروش داخلي تهران - وزارت راه - راه روستايي - روکش"</f>
        <v>فروش داخلي تهران - وزارت راه - راه روستايي - روکش</v>
      </c>
      <c r="S15" s="1" t="str">
        <f t="shared" si="2"/>
        <v>قرارداد فروش</v>
      </c>
      <c r="T15" s="1" t="str">
        <f t="shared" si="3"/>
        <v>ندارد</v>
      </c>
      <c r="U15" s="1" t="str">
        <f>"خضرائي فريدون(4844003)"</f>
        <v>خضرائي فريدون(4844003)</v>
      </c>
      <c r="V15" s="1">
        <v>951700203</v>
      </c>
      <c r="W15" s="1">
        <v>951700203</v>
      </c>
      <c r="X15" s="1" t="str">
        <f>"1395428995"</f>
        <v>1395428995</v>
      </c>
      <c r="Y15" s="1" t="str">
        <f>"95/06/15"</f>
        <v>95/06/15</v>
      </c>
      <c r="Z15" s="1" t="str">
        <f>"27493/510"</f>
        <v>27493/510</v>
      </c>
      <c r="AA15" s="1" t="str">
        <f>"راه روستائي -روكش"</f>
        <v>راه روستائي -روكش</v>
      </c>
      <c r="AB15" s="1" t="str">
        <f>"95/06/10"</f>
        <v>95/06/10</v>
      </c>
      <c r="AC15" s="1" t="str">
        <f>"استان كرمان"</f>
        <v>استان كرمان</v>
      </c>
      <c r="AD15" s="1" t="str">
        <f>"95/06/14"</f>
        <v>95/06/14</v>
      </c>
      <c r="AE15" s="1" t="str">
        <f t="shared" si="4"/>
        <v>اختتام</v>
      </c>
      <c r="AF15" s="1" t="str">
        <f>""</f>
        <v/>
      </c>
      <c r="AG15" s="1" t="str">
        <f>""</f>
        <v/>
      </c>
      <c r="AH15" s="1" t="str">
        <f>""</f>
        <v/>
      </c>
      <c r="AI15" s="1" t="str">
        <f>""</f>
        <v/>
      </c>
      <c r="AJ15" s="1" t="str">
        <f>""</f>
        <v/>
      </c>
      <c r="AK15" s="1" t="str">
        <f>""</f>
        <v/>
      </c>
    </row>
    <row r="16" spans="1:37" x14ac:dyDescent="0.2">
      <c r="A16" s="1">
        <v>22100</v>
      </c>
      <c r="B16" s="1">
        <v>951900176</v>
      </c>
      <c r="C16" s="1" t="str">
        <f>"تخليه-خراسان جنوبي-قاين-کارخانه آسفالت محدوده آرين شهر"</f>
        <v>تخليه-خراسان جنوبي-قاين-کارخانه آسفالت محدوده آرين شهر</v>
      </c>
      <c r="D16" s="1">
        <v>8323</v>
      </c>
      <c r="E16" s="1">
        <v>0</v>
      </c>
      <c r="F16" s="1">
        <v>95</v>
      </c>
      <c r="G16" s="1">
        <v>22100</v>
      </c>
      <c r="H16" s="1" t="str">
        <f>"95/08/06"</f>
        <v>95/08/06</v>
      </c>
      <c r="I16" s="1" t="str">
        <f t="shared" si="0"/>
        <v>كيلوگرم</v>
      </c>
      <c r="J16" s="1" t="str">
        <f>"0000000091"</f>
        <v>0000000091</v>
      </c>
      <c r="K16" s="1" t="str">
        <f>"قير  PG64-22"</f>
        <v>قير  PG64-22</v>
      </c>
      <c r="L16" s="1">
        <v>100</v>
      </c>
      <c r="M16" s="1" t="str">
        <f t="shared" si="1"/>
        <v>مخازن قير اصفهان</v>
      </c>
      <c r="N16" s="1">
        <v>11053</v>
      </c>
      <c r="O16" s="1">
        <v>50032316</v>
      </c>
      <c r="P16" s="1" t="str">
        <f>"  آوارادين شرق"</f>
        <v xml:space="preserve">  آوارادين شرق</v>
      </c>
      <c r="Q16" s="1">
        <v>19</v>
      </c>
      <c r="R1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" s="1" t="str">
        <f t="shared" si="2"/>
        <v>قرارداد فروش</v>
      </c>
      <c r="T16" s="1" t="str">
        <f t="shared" si="3"/>
        <v>ندارد</v>
      </c>
      <c r="U16" s="1" t="str">
        <f>"كاردان اسپادان راه مصطفي  (1911100)"</f>
        <v>كاردان اسپادان راه مصطفي  (1911100)</v>
      </c>
      <c r="V16" s="1">
        <v>951900176</v>
      </c>
      <c r="W16" s="1">
        <v>951900176</v>
      </c>
      <c r="X16" s="1" t="str">
        <f>"1395433639"</f>
        <v>1395433639</v>
      </c>
      <c r="Y16" s="1" t="str">
        <f>"95/08/06"</f>
        <v>95/08/06</v>
      </c>
      <c r="Z16" s="1" t="str">
        <f>"30936/510"</f>
        <v>30936/510</v>
      </c>
      <c r="AA16" s="1" t="str">
        <f>"سازمان راهداري وحمل نقل جاده اي"</f>
        <v>سازمان راهداري وحمل نقل جاده اي</v>
      </c>
      <c r="AB16" s="1" t="str">
        <f>"95/06/29"</f>
        <v>95/06/29</v>
      </c>
      <c r="AC16" s="1" t="str">
        <f>"خراسان جنوبي"</f>
        <v>خراسان جنوبي</v>
      </c>
      <c r="AD16" s="1" t="str">
        <f>"95/07/04"</f>
        <v>95/07/04</v>
      </c>
      <c r="AE16" s="1" t="str">
        <f t="shared" si="4"/>
        <v>اختتام</v>
      </c>
      <c r="AF16" s="1" t="str">
        <f>""</f>
        <v/>
      </c>
      <c r="AG16" s="1" t="str">
        <f>""</f>
        <v/>
      </c>
      <c r="AH16" s="1" t="str">
        <f>""</f>
        <v/>
      </c>
      <c r="AI16" s="1" t="str">
        <f>""</f>
        <v/>
      </c>
      <c r="AJ16" s="1" t="str">
        <f>""</f>
        <v/>
      </c>
      <c r="AK16" s="1" t="str">
        <f>""</f>
        <v/>
      </c>
    </row>
    <row r="17" spans="1:37" x14ac:dyDescent="0.2">
      <c r="A17" s="1">
        <v>131660</v>
      </c>
      <c r="B17" s="1">
        <v>951800109</v>
      </c>
      <c r="C17" s="1" t="str">
        <f>"تخليه چهارمحال وبختياري -سفيددشت كارگاه بهارديمه"</f>
        <v>تخليه چهارمحال وبختياري -سفيددشت كارگاه بهارديمه</v>
      </c>
      <c r="D17" s="1">
        <v>9061</v>
      </c>
      <c r="E17" s="1">
        <v>0</v>
      </c>
      <c r="F17" s="1">
        <v>95</v>
      </c>
      <c r="G17" s="1">
        <v>131660</v>
      </c>
      <c r="H17" s="1" t="str">
        <f>"95/10/05"</f>
        <v>95/10/05</v>
      </c>
      <c r="I17" s="1" t="str">
        <f t="shared" si="0"/>
        <v>كيلوگرم</v>
      </c>
      <c r="J17" s="1" t="str">
        <f>"0000000088"</f>
        <v>0000000088</v>
      </c>
      <c r="K17" s="1" t="str">
        <f>"قير  PG58-22"</f>
        <v>قير  PG58-22</v>
      </c>
      <c r="L17" s="1">
        <v>100</v>
      </c>
      <c r="M17" s="1" t="str">
        <f t="shared" si="1"/>
        <v>مخازن قير اصفهان</v>
      </c>
      <c r="N17" s="1">
        <v>11110</v>
      </c>
      <c r="O17" s="1">
        <v>50033145</v>
      </c>
      <c r="P17" s="1" t="str">
        <f>"  بهارديمه"</f>
        <v xml:space="preserve">  بهارديمه</v>
      </c>
      <c r="Q17" s="1">
        <v>18</v>
      </c>
      <c r="R17" s="1" t="str">
        <f>"فروش داخلي تهران - وزارت راه - شرکت ساخت و توسعه راهها"</f>
        <v>فروش داخلي تهران - وزارت راه - شرکت ساخت و توسعه راهها</v>
      </c>
      <c r="S17" s="1" t="str">
        <f t="shared" si="2"/>
        <v>قرارداد فروش</v>
      </c>
      <c r="T17" s="1" t="str">
        <f t="shared" si="3"/>
        <v>ندارد</v>
      </c>
      <c r="U17" s="1" t="str">
        <f>"غلام نجفي سيامك‌‌‌‌‌‌(1881082)"</f>
        <v>غلام نجفي سيامك‌‌‌‌‌‌(1881082)</v>
      </c>
      <c r="V17" s="1">
        <v>951800109</v>
      </c>
      <c r="W17" s="1">
        <v>951800109</v>
      </c>
      <c r="X17" s="1" t="str">
        <f>"1395431913"</f>
        <v>1395431913</v>
      </c>
      <c r="Y17" s="1" t="str">
        <f>"95/10/05"</f>
        <v>95/10/05</v>
      </c>
      <c r="Z17" s="1" t="str">
        <f>"28207/510"</f>
        <v>28207/510</v>
      </c>
      <c r="AA17" s="1" t="str">
        <f>"شركت  ساخت وتوسعه راهها"</f>
        <v>شركت  ساخت وتوسعه راهها</v>
      </c>
      <c r="AB17" s="1" t="str">
        <f>"95/06/14"</f>
        <v>95/06/14</v>
      </c>
      <c r="AC17" s="1" t="str">
        <f>"استان چهارمحال بختياري"</f>
        <v>استان چهارمحال بختياري</v>
      </c>
      <c r="AD17" s="1" t="str">
        <f>"95/06/24"</f>
        <v>95/06/24</v>
      </c>
      <c r="AE17" s="1" t="str">
        <f t="shared" si="4"/>
        <v>اختتام</v>
      </c>
      <c r="AF17" s="1" t="str">
        <f>""</f>
        <v/>
      </c>
      <c r="AG17" s="1" t="str">
        <f>""</f>
        <v/>
      </c>
      <c r="AH17" s="1" t="str">
        <f>""</f>
        <v/>
      </c>
      <c r="AI17" s="1" t="str">
        <f>""</f>
        <v/>
      </c>
      <c r="AJ17" s="1" t="str">
        <f>""</f>
        <v/>
      </c>
      <c r="AK17" s="1" t="str">
        <f>""</f>
        <v/>
      </c>
    </row>
    <row r="18" spans="1:37" x14ac:dyDescent="0.2">
      <c r="A18" s="1">
        <v>463000</v>
      </c>
      <c r="B18" s="1">
        <v>951400108</v>
      </c>
      <c r="C18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8" s="1">
        <v>9061</v>
      </c>
      <c r="E18" s="1">
        <v>0</v>
      </c>
      <c r="F18" s="1">
        <v>95</v>
      </c>
      <c r="G18" s="1">
        <v>463000</v>
      </c>
      <c r="H18" s="1" t="str">
        <f>"95/10/12"</f>
        <v>95/10/12</v>
      </c>
      <c r="I18" s="1" t="str">
        <f t="shared" si="0"/>
        <v>كيلوگرم</v>
      </c>
      <c r="J18" s="1" t="str">
        <f>"0000000092"</f>
        <v>0000000092</v>
      </c>
      <c r="K18" s="1" t="str">
        <f>"قير  PG64-16"</f>
        <v>قير  PG64-16</v>
      </c>
      <c r="L18" s="1">
        <v>100</v>
      </c>
      <c r="M18" s="1" t="str">
        <f t="shared" si="1"/>
        <v>مخازن قير اصفهان</v>
      </c>
      <c r="N18" s="1">
        <v>10717</v>
      </c>
      <c r="O18" s="1">
        <v>50033252</v>
      </c>
      <c r="P18" s="1" t="str">
        <f>"  تعاوني نگين صحت جيرفت"</f>
        <v xml:space="preserve">  تعاوني نگين صحت جيرفت</v>
      </c>
      <c r="Q18" s="1">
        <v>14</v>
      </c>
      <c r="R18" s="1" t="str">
        <f>"فروش داخلي - وزارت راه - حوزه راه روستايي ساخت"</f>
        <v>فروش داخلي - وزارت راه - حوزه راه روستايي ساخت</v>
      </c>
      <c r="S18" s="1" t="str">
        <f t="shared" si="2"/>
        <v>قرارداد فروش</v>
      </c>
      <c r="T18" s="1" t="str">
        <f t="shared" si="3"/>
        <v>ندارد</v>
      </c>
      <c r="U18" s="1" t="str">
        <f>"دشت بشي پودنگ وبرادران رضا(4844014)"</f>
        <v>دشت بشي پودنگ وبرادران رضا(4844014)</v>
      </c>
      <c r="V18" s="1">
        <v>951400108</v>
      </c>
      <c r="W18" s="1">
        <v>951400108</v>
      </c>
      <c r="X18" s="1" t="str">
        <f>"1395456109"</f>
        <v>1395456109</v>
      </c>
      <c r="Y18" s="1" t="str">
        <f>"95/10/12"</f>
        <v>95/10/12</v>
      </c>
      <c r="Z18" s="1" t="str">
        <f>"47058/710"</f>
        <v>47058/710</v>
      </c>
      <c r="AA18" s="1" t="str">
        <f>"راه وروستايي -ساخت"</f>
        <v>راه وروستايي -ساخت</v>
      </c>
      <c r="AB18" s="1" t="str">
        <f>"95/09/28"</f>
        <v>95/09/28</v>
      </c>
      <c r="AC18" s="1" t="str">
        <f>"جنوب کرمان"</f>
        <v>جنوب کرمان</v>
      </c>
      <c r="AD18" s="1" t="str">
        <f>"95/10/11"</f>
        <v>95/10/11</v>
      </c>
      <c r="AE18" s="1" t="str">
        <f t="shared" si="4"/>
        <v>اختتام</v>
      </c>
      <c r="AF18" s="1" t="str">
        <f>""</f>
        <v/>
      </c>
      <c r="AG18" s="1" t="str">
        <f>""</f>
        <v/>
      </c>
      <c r="AH18" s="1" t="str">
        <f>""</f>
        <v/>
      </c>
      <c r="AI18" s="1" t="str">
        <f>""</f>
        <v/>
      </c>
      <c r="AJ18" s="1" t="str">
        <f>""</f>
        <v/>
      </c>
      <c r="AK18" s="1" t="str">
        <f>""</f>
        <v/>
      </c>
    </row>
    <row r="19" spans="1:37" x14ac:dyDescent="0.2">
      <c r="A19" s="1">
        <v>50000</v>
      </c>
      <c r="B19" s="1">
        <v>951400112</v>
      </c>
      <c r="C19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9" s="1">
        <v>9061</v>
      </c>
      <c r="E19" s="1">
        <v>0</v>
      </c>
      <c r="F19" s="1">
        <v>95</v>
      </c>
      <c r="G19" s="1">
        <v>50000</v>
      </c>
      <c r="H19" s="1" t="str">
        <f>"95/10/13"</f>
        <v>95/10/13</v>
      </c>
      <c r="I19" s="1" t="str">
        <f t="shared" si="0"/>
        <v>كيلوگرم</v>
      </c>
      <c r="J19" s="1" t="str">
        <f>"0000000092"</f>
        <v>0000000092</v>
      </c>
      <c r="K19" s="1" t="str">
        <f>"قير  PG64-16"</f>
        <v>قير  PG64-16</v>
      </c>
      <c r="L19" s="1">
        <v>100</v>
      </c>
      <c r="M19" s="1" t="str">
        <f t="shared" si="1"/>
        <v>مخازن قير اصفهان</v>
      </c>
      <c r="N19" s="1">
        <v>10717</v>
      </c>
      <c r="O19" s="1">
        <v>50033256</v>
      </c>
      <c r="P19" s="1" t="str">
        <f>"  تعاوني نگين صحت جيرفت"</f>
        <v xml:space="preserve">  تعاوني نگين صحت جيرفت</v>
      </c>
      <c r="Q19" s="1">
        <v>14</v>
      </c>
      <c r="R19" s="1" t="str">
        <f>"فروش داخلي - وزارت راه - حوزه راه روستايي ساخت"</f>
        <v>فروش داخلي - وزارت راه - حوزه راه روستايي ساخت</v>
      </c>
      <c r="S19" s="1" t="str">
        <f t="shared" si="2"/>
        <v>قرارداد فروش</v>
      </c>
      <c r="T19" s="1" t="str">
        <f t="shared" si="3"/>
        <v>ندارد</v>
      </c>
      <c r="U19" s="1" t="str">
        <f>"دشت بشي پودنگ وبرادران رضا(4844014)"</f>
        <v>دشت بشي پودنگ وبرادران رضا(4844014)</v>
      </c>
      <c r="V19" s="1">
        <v>951400112</v>
      </c>
      <c r="W19" s="1">
        <v>951400112</v>
      </c>
      <c r="X19" s="1" t="str">
        <f>"1395456109"</f>
        <v>1395456109</v>
      </c>
      <c r="Y19" s="1" t="str">
        <f>"95/10/12"</f>
        <v>95/10/12</v>
      </c>
      <c r="Z19" s="1" t="str">
        <f>"45723/710"</f>
        <v>45723/710</v>
      </c>
      <c r="AA19" s="1" t="str">
        <f>"راه وروستايي -ساخت"</f>
        <v>راه وروستايي -ساخت</v>
      </c>
      <c r="AB19" s="1" t="str">
        <f>"95/09/21"</f>
        <v>95/09/21</v>
      </c>
      <c r="AC19" s="1" t="str">
        <f>"جنوب کرمان"</f>
        <v>جنوب کرمان</v>
      </c>
      <c r="AD19" s="1" t="str">
        <f>"95/10/11"</f>
        <v>95/10/11</v>
      </c>
      <c r="AE19" s="1" t="str">
        <f t="shared" si="4"/>
        <v>اختتام</v>
      </c>
      <c r="AF19" s="1" t="str">
        <f>""</f>
        <v/>
      </c>
      <c r="AG19" s="1" t="str">
        <f>""</f>
        <v/>
      </c>
      <c r="AH19" s="1" t="str">
        <f>""</f>
        <v/>
      </c>
      <c r="AI19" s="1" t="str">
        <f>""</f>
        <v/>
      </c>
      <c r="AJ19" s="1" t="str">
        <f>""</f>
        <v/>
      </c>
      <c r="AK19" s="1" t="str">
        <f>""</f>
        <v/>
      </c>
    </row>
    <row r="20" spans="1:37" x14ac:dyDescent="0.2">
      <c r="A20" s="1">
        <v>267700</v>
      </c>
      <c r="B20" s="1">
        <v>951900232</v>
      </c>
      <c r="C20" s="1" t="str">
        <f>"تخليه -يزدجاده فهرج -كارخانه آسفالت گسترنصريزد"</f>
        <v>تخليه -يزدجاده فهرج -كارخانه آسفالت گسترنصريزد</v>
      </c>
      <c r="D20" s="1">
        <v>9061</v>
      </c>
      <c r="E20" s="1">
        <v>0</v>
      </c>
      <c r="F20" s="1">
        <v>95</v>
      </c>
      <c r="G20" s="1">
        <v>267700</v>
      </c>
      <c r="H20" s="1" t="str">
        <f>"95/10/05"</f>
        <v>95/10/05</v>
      </c>
      <c r="I20" s="1" t="str">
        <f t="shared" si="0"/>
        <v>كيلوگرم</v>
      </c>
      <c r="J20" s="1" t="str">
        <f>"0000000091"</f>
        <v>0000000091</v>
      </c>
      <c r="K20" s="1" t="str">
        <f>"قير  PG64-22"</f>
        <v>قير  PG64-22</v>
      </c>
      <c r="L20" s="1">
        <v>100</v>
      </c>
      <c r="M20" s="1" t="str">
        <f t="shared" si="1"/>
        <v>مخازن قير اصفهان</v>
      </c>
      <c r="N20" s="1">
        <v>1665</v>
      </c>
      <c r="O20" s="1">
        <v>50033156</v>
      </c>
      <c r="P20" s="1" t="str">
        <f>"  جهاد نصر يزد"</f>
        <v xml:space="preserve">  جهاد نصر يزد</v>
      </c>
      <c r="Q20" s="1">
        <v>19</v>
      </c>
      <c r="R2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" s="1" t="str">
        <f t="shared" si="2"/>
        <v>قرارداد فروش</v>
      </c>
      <c r="T20" s="1" t="str">
        <f t="shared" si="3"/>
        <v>ندارد</v>
      </c>
      <c r="U20" s="1" t="str">
        <f>"غلام نجفي سيامك‌‌‌‌‌‌(1881082)"</f>
        <v>غلام نجفي سيامك‌‌‌‌‌‌(1881082)</v>
      </c>
      <c r="V20" s="1">
        <v>951900232</v>
      </c>
      <c r="W20" s="1">
        <v>951900232</v>
      </c>
      <c r="X20" s="1" t="str">
        <f>"1395447677"</f>
        <v>1395447677</v>
      </c>
      <c r="Y20" s="1" t="str">
        <f>"95/10/05"</f>
        <v>95/10/05</v>
      </c>
      <c r="Z20" s="1" t="str">
        <f>"42077/710"</f>
        <v>42077/710</v>
      </c>
      <c r="AA20" s="1" t="str">
        <f>"سازمان راهداري وحمل نقل جاده اي"</f>
        <v>سازمان راهداري وحمل نقل جاده اي</v>
      </c>
      <c r="AB20" s="1" t="str">
        <f>"95/08/29"</f>
        <v>95/08/29</v>
      </c>
      <c r="AC20" s="1" t="str">
        <f>"استان يزد"</f>
        <v>استان يزد</v>
      </c>
      <c r="AD20" s="1" t="str">
        <f>"95/09/06"</f>
        <v>95/09/06</v>
      </c>
      <c r="AE20" s="1" t="str">
        <f t="shared" si="4"/>
        <v>اختتام</v>
      </c>
      <c r="AF20" s="1" t="str">
        <f>""</f>
        <v/>
      </c>
      <c r="AG20" s="1" t="str">
        <f>""</f>
        <v/>
      </c>
      <c r="AH20" s="1" t="str">
        <f>""</f>
        <v/>
      </c>
      <c r="AI20" s="1" t="str">
        <f>""</f>
        <v/>
      </c>
      <c r="AJ20" s="1" t="str">
        <f>""</f>
        <v/>
      </c>
      <c r="AK20" s="1" t="str">
        <f>""</f>
        <v/>
      </c>
    </row>
    <row r="21" spans="1:37" x14ac:dyDescent="0.2">
      <c r="A21" s="1">
        <v>200000</v>
      </c>
      <c r="B21" s="1">
        <v>951700254</v>
      </c>
      <c r="C21" s="1" t="str">
        <f>"تخليه -خراسان رضوي محورتربت جام -فريمان كيلومتر45كارخانه استحكام انديش توس"</f>
        <v>تخليه -خراسان رضوي محورتربت جام -فريمان كيلومتر45كارخانه استحكام انديش توس</v>
      </c>
      <c r="D21" s="1">
        <v>8323</v>
      </c>
      <c r="E21" s="1">
        <v>0</v>
      </c>
      <c r="F21" s="1">
        <v>95</v>
      </c>
      <c r="G21" s="1">
        <v>200000</v>
      </c>
      <c r="H21" s="1" t="str">
        <f>"95/08/08"</f>
        <v>95/08/08</v>
      </c>
      <c r="I21" s="1" t="str">
        <f t="shared" si="0"/>
        <v>كيلوگرم</v>
      </c>
      <c r="J21" s="1" t="str">
        <f>"0000000091"</f>
        <v>0000000091</v>
      </c>
      <c r="K21" s="1" t="str">
        <f>"قير  PG64-22"</f>
        <v>قير  PG64-22</v>
      </c>
      <c r="L21" s="1">
        <v>100</v>
      </c>
      <c r="M21" s="1" t="str">
        <f t="shared" si="1"/>
        <v>مخازن قير اصفهان</v>
      </c>
      <c r="N21" s="1">
        <v>4026</v>
      </c>
      <c r="O21" s="1">
        <v>50032364</v>
      </c>
      <c r="P21" s="1" t="str">
        <f>"  اداره كل راه و شهرسازي خراسان رضوي"</f>
        <v xml:space="preserve">  اداره كل راه و شهرسازي خراسان رضوي</v>
      </c>
      <c r="Q21" s="1">
        <v>17</v>
      </c>
      <c r="R21" s="1" t="str">
        <f>"فروش داخلي تهران - وزارت راه - راه روستايي - روکش"</f>
        <v>فروش داخلي تهران - وزارت راه - راه روستايي - روکش</v>
      </c>
      <c r="S21" s="1" t="str">
        <f t="shared" si="2"/>
        <v>قرارداد فروش</v>
      </c>
      <c r="T21" s="1" t="str">
        <f t="shared" si="3"/>
        <v>ندارد</v>
      </c>
      <c r="U21" s="1" t="str">
        <f>"نظام دوست امين (1911102)"</f>
        <v>نظام دوست امين (1911102)</v>
      </c>
      <c r="V21" s="1">
        <v>951700254</v>
      </c>
      <c r="W21" s="1">
        <v>951700254</v>
      </c>
      <c r="X21" s="1" t="str">
        <f>"1395433834"</f>
        <v>1395433834</v>
      </c>
      <c r="Y21" s="1" t="str">
        <f>"95/08/08"</f>
        <v>95/08/08</v>
      </c>
      <c r="Z21" s="1" t="str">
        <f>"31304/510"</f>
        <v>31304/510</v>
      </c>
      <c r="AA21" s="1" t="str">
        <f>"راه روستائي -روكش"</f>
        <v>راه روستائي -روكش</v>
      </c>
      <c r="AB21" s="1" t="str">
        <f>"95/06/31"</f>
        <v>95/06/31</v>
      </c>
      <c r="AC21" s="1" t="str">
        <f>"خراسان رضوي"</f>
        <v>خراسان رضوي</v>
      </c>
      <c r="AD21" s="1" t="str">
        <f>"95/07/05"</f>
        <v>95/07/05</v>
      </c>
      <c r="AE21" s="1" t="str">
        <f t="shared" si="4"/>
        <v>اختتام</v>
      </c>
      <c r="AF21" s="1" t="str">
        <f>""</f>
        <v/>
      </c>
      <c r="AG21" s="1" t="str">
        <f>""</f>
        <v/>
      </c>
      <c r="AH21" s="1" t="str">
        <f>""</f>
        <v/>
      </c>
      <c r="AI21" s="1" t="str">
        <f>""</f>
        <v/>
      </c>
      <c r="AJ21" s="1" t="str">
        <f>""</f>
        <v/>
      </c>
      <c r="AK21" s="1" t="str">
        <f>""</f>
        <v/>
      </c>
    </row>
    <row r="22" spans="1:37" x14ac:dyDescent="0.2">
      <c r="A22" s="1">
        <v>15640</v>
      </c>
      <c r="B22" s="1">
        <v>951600044</v>
      </c>
      <c r="C22" s="1" t="str">
        <f>"تخليه- خراسان جنوبي - کيلومتر 8 محور زاهدان-بجد کارخانه شرکت ارتقاء"</f>
        <v>تخليه- خراسان جنوبي - کيلومتر 8 محور زاهدان-بجد کارخانه شرکت ارتقاء</v>
      </c>
      <c r="D22" s="1">
        <v>8323</v>
      </c>
      <c r="E22" s="1">
        <v>0</v>
      </c>
      <c r="F22" s="1">
        <v>95</v>
      </c>
      <c r="G22" s="1">
        <v>15640</v>
      </c>
      <c r="H22" s="1" t="str">
        <f>"95/08/08"</f>
        <v>95/08/08</v>
      </c>
      <c r="I22" s="1" t="str">
        <f t="shared" si="0"/>
        <v>كيلوگرم</v>
      </c>
      <c r="J22" s="1" t="str">
        <f>"0000000091"</f>
        <v>0000000091</v>
      </c>
      <c r="K22" s="1" t="str">
        <f>"قير  PG64-22"</f>
        <v>قير  PG64-22</v>
      </c>
      <c r="L22" s="1">
        <v>100</v>
      </c>
      <c r="M22" s="1" t="str">
        <f t="shared" si="1"/>
        <v>مخازن قير اصفهان</v>
      </c>
      <c r="N22" s="1">
        <v>8289</v>
      </c>
      <c r="O22" s="1">
        <v>50032361</v>
      </c>
      <c r="P22" s="1" t="str">
        <f>"  ارتقاء"</f>
        <v xml:space="preserve">  ارتقاء</v>
      </c>
      <c r="Q22" s="1">
        <v>16</v>
      </c>
      <c r="R22" s="1" t="str">
        <f>"فروش داخلي تهران - وزارت راه - معاونت اقتصاد"</f>
        <v>فروش داخلي تهران - وزارت راه - معاونت اقتصاد</v>
      </c>
      <c r="S22" s="1" t="str">
        <f t="shared" si="2"/>
        <v>قرارداد فروش</v>
      </c>
      <c r="T22" s="1" t="str">
        <f t="shared" si="3"/>
        <v>ندارد</v>
      </c>
      <c r="U22" s="1" t="str">
        <f>"فتحي حميد(1901090)"</f>
        <v>فتحي حميد(1901090)</v>
      </c>
      <c r="V22" s="1">
        <v>951600044</v>
      </c>
      <c r="W22" s="1">
        <v>951600044</v>
      </c>
      <c r="X22" s="1" t="str">
        <f>"1395433633"</f>
        <v>1395433633</v>
      </c>
      <c r="Y22" s="1" t="str">
        <f>"95/08/08"</f>
        <v>95/08/08</v>
      </c>
      <c r="Z22" s="1" t="str">
        <f>"31049/510"</f>
        <v>31049/510</v>
      </c>
      <c r="AA22" s="1" t="str">
        <f>"معاونت اقتصادوزارت راه وشهرسازي"</f>
        <v>معاونت اقتصادوزارت راه وشهرسازي</v>
      </c>
      <c r="AB22" s="1" t="str">
        <f>"95/06/29"</f>
        <v>95/06/29</v>
      </c>
      <c r="AC22" s="1" t="str">
        <f>"خراسان جنوبي"</f>
        <v>خراسان جنوبي</v>
      </c>
      <c r="AD22" s="1" t="str">
        <f>"95/07/04"</f>
        <v>95/07/04</v>
      </c>
      <c r="AE22" s="1" t="str">
        <f t="shared" si="4"/>
        <v>اختتام</v>
      </c>
      <c r="AF22" s="1" t="str">
        <f>""</f>
        <v/>
      </c>
      <c r="AG22" s="1" t="str">
        <f>""</f>
        <v/>
      </c>
      <c r="AH22" s="1" t="str">
        <f>""</f>
        <v/>
      </c>
      <c r="AI22" s="1" t="str">
        <f>""</f>
        <v/>
      </c>
      <c r="AJ22" s="1" t="str">
        <f>""</f>
        <v/>
      </c>
      <c r="AK22" s="1" t="str">
        <f>""</f>
        <v/>
      </c>
    </row>
    <row r="23" spans="1:37" x14ac:dyDescent="0.2">
      <c r="A23" s="1">
        <v>78000</v>
      </c>
      <c r="B23" s="1">
        <v>951400075</v>
      </c>
      <c r="C23" s="1" t="str">
        <f>"تخليه خراسان رضوي مشهدجاده كلات شركت پالايش قيرزرين"</f>
        <v>تخليه خراسان رضوي مشهدجاده كلات شركت پالايش قيرزرين</v>
      </c>
      <c r="D23" s="1">
        <v>7276</v>
      </c>
      <c r="E23" s="1">
        <v>0</v>
      </c>
      <c r="F23" s="1">
        <v>95</v>
      </c>
      <c r="G23" s="1">
        <v>78000</v>
      </c>
      <c r="H23" s="1" t="str">
        <f>"95/07/13"</f>
        <v>95/07/13</v>
      </c>
      <c r="I23" s="1" t="str">
        <f t="shared" si="0"/>
        <v>كيلوگرم</v>
      </c>
      <c r="J23" s="1" t="str">
        <f>"0000000092"</f>
        <v>0000000092</v>
      </c>
      <c r="K23" s="1" t="str">
        <f>"قير  PG64-16"</f>
        <v>قير  PG64-16</v>
      </c>
      <c r="L23" s="1">
        <v>100</v>
      </c>
      <c r="M23" s="1" t="str">
        <f t="shared" si="1"/>
        <v>مخازن قير اصفهان</v>
      </c>
      <c r="N23" s="1">
        <v>10986</v>
      </c>
      <c r="O23" s="1">
        <v>50032087</v>
      </c>
      <c r="P23" s="1" t="str">
        <f>"  پوياكوه گسترخراسان"</f>
        <v xml:space="preserve">  پوياكوه گسترخراسان</v>
      </c>
      <c r="Q23" s="1">
        <v>14</v>
      </c>
      <c r="R23" s="1" t="str">
        <f>"فروش داخلي - وزارت راه - حوزه راه روستايي ساخت"</f>
        <v>فروش داخلي - وزارت راه - حوزه راه روستايي ساخت</v>
      </c>
      <c r="S23" s="1" t="str">
        <f t="shared" si="2"/>
        <v>قرارداد فروش</v>
      </c>
      <c r="T23" s="1" t="str">
        <f t="shared" si="3"/>
        <v>ندارد</v>
      </c>
      <c r="U23" s="1" t="str">
        <f>"قره باغي مجيد(1871065)"</f>
        <v>قره باغي مجيد(1871065)</v>
      </c>
      <c r="V23" s="1">
        <v>951400075</v>
      </c>
      <c r="W23" s="1">
        <v>951400075</v>
      </c>
      <c r="X23" s="1" t="str">
        <f>"1395435603"</f>
        <v>1395435603</v>
      </c>
      <c r="Y23" s="1" t="str">
        <f>"95/07/13"</f>
        <v>95/07/13</v>
      </c>
      <c r="Z23" s="1" t="str">
        <f>"30312/510"</f>
        <v>30312/510</v>
      </c>
      <c r="AA23" s="1" t="str">
        <f>"راه وروستايي -ساخت"</f>
        <v>راه وروستايي -ساخت</v>
      </c>
      <c r="AB23" s="1" t="str">
        <f>"95/06/27"</f>
        <v>95/06/27</v>
      </c>
      <c r="AC23" s="1" t="str">
        <f>"خراسان رضوي"</f>
        <v>خراسان رضوي</v>
      </c>
      <c r="AD23" s="1" t="str">
        <f>"95/07/13"</f>
        <v>95/07/13</v>
      </c>
      <c r="AE23" s="1" t="str">
        <f t="shared" si="4"/>
        <v>اختتام</v>
      </c>
      <c r="AF23" s="1" t="str">
        <f>""</f>
        <v/>
      </c>
      <c r="AG23" s="1" t="str">
        <f>""</f>
        <v/>
      </c>
      <c r="AH23" s="1" t="str">
        <f>""</f>
        <v/>
      </c>
      <c r="AI23" s="1" t="str">
        <f>""</f>
        <v/>
      </c>
      <c r="AJ23" s="1" t="str">
        <f>""</f>
        <v/>
      </c>
      <c r="AK23" s="1" t="str">
        <f>""</f>
        <v/>
      </c>
    </row>
    <row r="24" spans="1:37" x14ac:dyDescent="0.2">
      <c r="A24" s="1">
        <v>17300</v>
      </c>
      <c r="B24" s="1">
        <v>951800081</v>
      </c>
      <c r="C24" s="1" t="str">
        <f>"تخليه -گلستان شهرگاليكش جاده روستاي ميرزاپنك"</f>
        <v>تخليه -گلستان شهرگاليكش جاده روستاي ميرزاپنك</v>
      </c>
      <c r="D24" s="1">
        <v>8323</v>
      </c>
      <c r="E24" s="1">
        <v>0</v>
      </c>
      <c r="F24" s="1">
        <v>95</v>
      </c>
      <c r="G24" s="1">
        <v>17300</v>
      </c>
      <c r="H24" s="1" t="str">
        <f>"95/08/08"</f>
        <v>95/08/08</v>
      </c>
      <c r="I24" s="1" t="str">
        <f t="shared" si="0"/>
        <v>كيلوگرم</v>
      </c>
      <c r="J24" s="1" t="str">
        <f>"0000000093"</f>
        <v>0000000093</v>
      </c>
      <c r="K24" s="1" t="str">
        <f>"قير  PG64-10"</f>
        <v>قير  PG64-10</v>
      </c>
      <c r="L24" s="1">
        <v>100</v>
      </c>
      <c r="M24" s="1" t="str">
        <f t="shared" si="1"/>
        <v>مخازن قير اصفهان</v>
      </c>
      <c r="N24" s="1">
        <v>10253</v>
      </c>
      <c r="O24" s="1">
        <v>50032325</v>
      </c>
      <c r="P24" s="1" t="str">
        <f>"  مهندسي پروژه هاي آب ونيروي ايران (پانير)"</f>
        <v xml:space="preserve">  مهندسي پروژه هاي آب ونيروي ايران (پانير)</v>
      </c>
      <c r="Q24" s="1">
        <v>18</v>
      </c>
      <c r="R24" s="1" t="str">
        <f>"فروش داخلي تهران - وزارت راه - شرکت ساخت و توسعه راهها"</f>
        <v>فروش داخلي تهران - وزارت راه - شرکت ساخت و توسعه راهها</v>
      </c>
      <c r="S24" s="1" t="str">
        <f t="shared" si="2"/>
        <v>قرارداد فروش</v>
      </c>
      <c r="T24" s="1" t="str">
        <f t="shared" si="3"/>
        <v>ندارد</v>
      </c>
      <c r="U24" s="1" t="str">
        <f>"غلام نجفي سيامك‌‌‌‌‌‌(1881082)"</f>
        <v>غلام نجفي سيامك‌‌‌‌‌‌(1881082)</v>
      </c>
      <c r="V24" s="1">
        <v>951800081</v>
      </c>
      <c r="W24" s="1">
        <v>951800081</v>
      </c>
      <c r="X24" s="1" t="str">
        <f>"1395412283"</f>
        <v>1395412283</v>
      </c>
      <c r="Y24" s="1" t="str">
        <f>"95/08/08"</f>
        <v>95/08/08</v>
      </c>
      <c r="Z24" s="1" t="str">
        <f>"12307/510"</f>
        <v>12307/510</v>
      </c>
      <c r="AA24" s="1" t="str">
        <f>"شركت  ساخت وتوسعه راهها"</f>
        <v>شركت  ساخت وتوسعه راهها</v>
      </c>
      <c r="AB24" s="1" t="str">
        <f>"95/03/25"</f>
        <v>95/03/25</v>
      </c>
      <c r="AC24" s="1" t="str">
        <f>"استان گلستان"</f>
        <v>استان گلستان</v>
      </c>
      <c r="AD24" s="1" t="str">
        <f>"95/04/09"</f>
        <v>95/04/09</v>
      </c>
      <c r="AE24" s="1" t="str">
        <f t="shared" si="4"/>
        <v>اختتام</v>
      </c>
      <c r="AF24" s="1" t="str">
        <f>""</f>
        <v/>
      </c>
      <c r="AG24" s="1" t="str">
        <f>""</f>
        <v/>
      </c>
      <c r="AH24" s="1" t="str">
        <f>""</f>
        <v/>
      </c>
      <c r="AI24" s="1" t="str">
        <f>""</f>
        <v/>
      </c>
      <c r="AJ24" s="1" t="str">
        <f>""</f>
        <v/>
      </c>
      <c r="AK24" s="1" t="str">
        <f>""</f>
        <v/>
      </c>
    </row>
    <row r="25" spans="1:37" x14ac:dyDescent="0.2">
      <c r="A25" s="1">
        <v>15520</v>
      </c>
      <c r="B25" s="1">
        <v>951700088</v>
      </c>
      <c r="C25" s="1" t="str">
        <f>"تخليه -سيستان وبلوچستان خاش محورخاش -ايرندگان"</f>
        <v>تخليه -سيستان وبلوچستان خاش محورخاش -ايرندگان</v>
      </c>
      <c r="D25" s="1">
        <v>9980</v>
      </c>
      <c r="E25" s="1">
        <v>0</v>
      </c>
      <c r="F25" s="1">
        <v>95</v>
      </c>
      <c r="G25" s="1">
        <v>15520</v>
      </c>
      <c r="H25" s="1" t="str">
        <f>"95/04/19"</f>
        <v>95/04/19</v>
      </c>
      <c r="I25" s="1" t="str">
        <f t="shared" si="0"/>
        <v>كيلوگرم</v>
      </c>
      <c r="J25" s="1" t="str">
        <f>"1000000003"</f>
        <v>1000000003</v>
      </c>
      <c r="K25" s="1" t="str">
        <f>"قير MC250"</f>
        <v>قير MC250</v>
      </c>
      <c r="L25" s="1">
        <v>100</v>
      </c>
      <c r="M25" s="1" t="str">
        <f t="shared" si="1"/>
        <v>مخازن قير اصفهان</v>
      </c>
      <c r="N25" s="1">
        <v>4095</v>
      </c>
      <c r="O25" s="1">
        <v>50031226</v>
      </c>
      <c r="P25" s="1" t="str">
        <f>"  اداره كل راه وشهرسازي سيستان وبلوچستان"</f>
        <v xml:space="preserve">  اداره كل راه وشهرسازي سيستان وبلوچستان</v>
      </c>
      <c r="Q25" s="1">
        <v>17</v>
      </c>
      <c r="R25" s="1" t="str">
        <f>"فروش داخلي تهران - وزارت راه - راه روستايي - روکش"</f>
        <v>فروش داخلي تهران - وزارت راه - راه روستايي - روکش</v>
      </c>
      <c r="S25" s="1" t="str">
        <f t="shared" si="2"/>
        <v>قرارداد فروش</v>
      </c>
      <c r="T25" s="1" t="str">
        <f t="shared" si="3"/>
        <v>ندارد</v>
      </c>
      <c r="U25" s="1" t="str">
        <f>"نگهبان چاپارسبزجاده عليرضا(1043ج 94)"</f>
        <v>نگهبان چاپارسبزجاده عليرضا(1043ج 94)</v>
      </c>
      <c r="V25" s="1">
        <v>951700088</v>
      </c>
      <c r="W25" s="1">
        <v>951700088</v>
      </c>
      <c r="X25" s="1" t="str">
        <f>"1394391519"</f>
        <v>1394391519</v>
      </c>
      <c r="Y25" s="1" t="str">
        <f>"95/04/19"</f>
        <v>95/04/19</v>
      </c>
      <c r="Z25" s="1" t="str">
        <f>"60508/510"</f>
        <v>60508/510</v>
      </c>
      <c r="AA25" s="1" t="str">
        <f>"راه روستائي -روكش"</f>
        <v>راه روستائي -روكش</v>
      </c>
      <c r="AB25" s="1" t="str">
        <f>"94/11/04"</f>
        <v>94/11/04</v>
      </c>
      <c r="AC25" s="1" t="str">
        <f>"استان سيستان بلوچستان"</f>
        <v>استان سيستان بلوچستان</v>
      </c>
      <c r="AD25" s="1" t="str">
        <f>"94/11/19"</f>
        <v>94/11/19</v>
      </c>
      <c r="AE25" s="1" t="str">
        <f t="shared" si="4"/>
        <v>اختتام</v>
      </c>
      <c r="AF25" s="1" t="str">
        <f>""</f>
        <v/>
      </c>
      <c r="AG25" s="1" t="str">
        <f>""</f>
        <v/>
      </c>
      <c r="AH25" s="1" t="str">
        <f>""</f>
        <v/>
      </c>
      <c r="AI25" s="1" t="str">
        <f>""</f>
        <v/>
      </c>
      <c r="AJ25" s="1" t="str">
        <f>""</f>
        <v/>
      </c>
      <c r="AK25" s="1" t="str">
        <f>""</f>
        <v/>
      </c>
    </row>
    <row r="26" spans="1:37" x14ac:dyDescent="0.2">
      <c r="A26" s="1">
        <v>16080</v>
      </c>
      <c r="B26" s="1">
        <v>951400085</v>
      </c>
      <c r="C26" s="1" t="str">
        <f>"تخليه-خراسان جنوبي-اداره راه وشهرسازي شهرستان درميان"</f>
        <v>تخليه-خراسان جنوبي-اداره راه وشهرسازي شهرستان درميان</v>
      </c>
      <c r="D26" s="1">
        <v>10906</v>
      </c>
      <c r="E26" s="1">
        <v>0</v>
      </c>
      <c r="F26" s="1">
        <v>95</v>
      </c>
      <c r="G26" s="1">
        <v>16080</v>
      </c>
      <c r="H26" s="1" t="str">
        <f>"95/08/08"</f>
        <v>95/08/08</v>
      </c>
      <c r="I26" s="1" t="str">
        <f t="shared" si="0"/>
        <v>كيلوگرم</v>
      </c>
      <c r="J26" s="1" t="str">
        <f>"1000000003"</f>
        <v>1000000003</v>
      </c>
      <c r="K26" s="1" t="str">
        <f>"قير MC250"</f>
        <v>قير MC250</v>
      </c>
      <c r="L26" s="1">
        <v>100</v>
      </c>
      <c r="M26" s="1" t="str">
        <f t="shared" si="1"/>
        <v>مخازن قير اصفهان</v>
      </c>
      <c r="N26" s="1">
        <v>4012</v>
      </c>
      <c r="O26" s="1">
        <v>50032381</v>
      </c>
      <c r="P26" s="1" t="str">
        <f>"  اداره كل راه و شهرسازي خراسان جنوبي"</f>
        <v xml:space="preserve">  اداره كل راه و شهرسازي خراسان جنوبي</v>
      </c>
      <c r="Q26" s="1">
        <v>14</v>
      </c>
      <c r="R26" s="1" t="str">
        <f>"فروش داخلي - وزارت راه - حوزه راه روستايي ساخت"</f>
        <v>فروش داخلي - وزارت راه - حوزه راه روستايي ساخت</v>
      </c>
      <c r="S26" s="1" t="str">
        <f t="shared" si="2"/>
        <v>قرارداد فروش</v>
      </c>
      <c r="T26" s="1" t="str">
        <f t="shared" si="3"/>
        <v>ندارد</v>
      </c>
      <c r="U26" s="1" t="str">
        <f>"مظفري مرتضي(4844023)"</f>
        <v>مظفري مرتضي(4844023)</v>
      </c>
      <c r="V26" s="1">
        <v>951400085</v>
      </c>
      <c r="W26" s="1">
        <v>951400085</v>
      </c>
      <c r="X26" s="1" t="str">
        <f>"1395416200"</f>
        <v>1395416200</v>
      </c>
      <c r="Y26" s="1" t="str">
        <f>"95/08/08"</f>
        <v>95/08/08</v>
      </c>
      <c r="Z26" s="1" t="str">
        <f>"17854/510"</f>
        <v>17854/510</v>
      </c>
      <c r="AA26" s="1" t="str">
        <f>"راه وروستايي -ساخت"</f>
        <v>راه وروستايي -ساخت</v>
      </c>
      <c r="AB26" s="1" t="str">
        <f>"95/04/26"</f>
        <v>95/04/26</v>
      </c>
      <c r="AC26" s="1" t="str">
        <f>"خراسان جنوبي"</f>
        <v>خراسان جنوبي</v>
      </c>
      <c r="AD26" s="1" t="str">
        <f>"95/04/28"</f>
        <v>95/04/28</v>
      </c>
      <c r="AE26" s="1" t="str">
        <f t="shared" si="4"/>
        <v>اختتام</v>
      </c>
      <c r="AF26" s="1" t="str">
        <f>""</f>
        <v/>
      </c>
      <c r="AG26" s="1" t="str">
        <f>""</f>
        <v/>
      </c>
      <c r="AH26" s="1" t="str">
        <f>""</f>
        <v/>
      </c>
      <c r="AI26" s="1" t="str">
        <f>""</f>
        <v/>
      </c>
      <c r="AJ26" s="1" t="str">
        <f>""</f>
        <v/>
      </c>
      <c r="AK26" s="1" t="str">
        <f>""</f>
        <v/>
      </c>
    </row>
    <row r="27" spans="1:37" x14ac:dyDescent="0.2">
      <c r="A27" s="1">
        <v>16080</v>
      </c>
      <c r="B27" s="1">
        <v>951400086</v>
      </c>
      <c r="C27" s="1" t="str">
        <f>"تخليه-خراسان جنوبي-اداره راه وشهرسازي شهرستان قاين"</f>
        <v>تخليه-خراسان جنوبي-اداره راه وشهرسازي شهرستان قاين</v>
      </c>
      <c r="D27" s="1">
        <v>10906</v>
      </c>
      <c r="E27" s="1">
        <v>0</v>
      </c>
      <c r="F27" s="1">
        <v>95</v>
      </c>
      <c r="G27" s="1">
        <v>16080</v>
      </c>
      <c r="H27" s="1" t="str">
        <f>"95/08/08"</f>
        <v>95/08/08</v>
      </c>
      <c r="I27" s="1" t="str">
        <f t="shared" si="0"/>
        <v>كيلوگرم</v>
      </c>
      <c r="J27" s="1" t="str">
        <f>"1000000003"</f>
        <v>1000000003</v>
      </c>
      <c r="K27" s="1" t="str">
        <f>"قير MC250"</f>
        <v>قير MC250</v>
      </c>
      <c r="L27" s="1">
        <v>100</v>
      </c>
      <c r="M27" s="1" t="str">
        <f t="shared" si="1"/>
        <v>مخازن قير اصفهان</v>
      </c>
      <c r="N27" s="1">
        <v>4012</v>
      </c>
      <c r="O27" s="1">
        <v>50032382</v>
      </c>
      <c r="P27" s="1" t="str">
        <f>"  اداره كل راه و شهرسازي خراسان جنوبي"</f>
        <v xml:space="preserve">  اداره كل راه و شهرسازي خراسان جنوبي</v>
      </c>
      <c r="Q27" s="1">
        <v>14</v>
      </c>
      <c r="R27" s="1" t="str">
        <f>"فروش داخلي - وزارت راه - حوزه راه روستايي ساخت"</f>
        <v>فروش داخلي - وزارت راه - حوزه راه روستايي ساخت</v>
      </c>
      <c r="S27" s="1" t="str">
        <f t="shared" si="2"/>
        <v>قرارداد فروش</v>
      </c>
      <c r="T27" s="1" t="str">
        <f t="shared" si="3"/>
        <v>ندارد</v>
      </c>
      <c r="U27" s="1" t="str">
        <f>"مظفري مرتضي(4844023)"</f>
        <v>مظفري مرتضي(4844023)</v>
      </c>
      <c r="V27" s="1">
        <v>951400086</v>
      </c>
      <c r="W27" s="1">
        <v>951400086</v>
      </c>
      <c r="X27" s="1" t="str">
        <f>"1395416200"</f>
        <v>1395416200</v>
      </c>
      <c r="Y27" s="1" t="str">
        <f>"95/08/08"</f>
        <v>95/08/08</v>
      </c>
      <c r="Z27" s="1" t="str">
        <f>"17854/510"</f>
        <v>17854/510</v>
      </c>
      <c r="AA27" s="1" t="str">
        <f>"راه وروستايي -ساخت"</f>
        <v>راه وروستايي -ساخت</v>
      </c>
      <c r="AB27" s="1" t="str">
        <f>"95/04/26"</f>
        <v>95/04/26</v>
      </c>
      <c r="AC27" s="1" t="str">
        <f>"خراسان جنوبي"</f>
        <v>خراسان جنوبي</v>
      </c>
      <c r="AD27" s="1" t="str">
        <f>"95/04/28"</f>
        <v>95/04/28</v>
      </c>
      <c r="AE27" s="1" t="str">
        <f t="shared" si="4"/>
        <v>اختتام</v>
      </c>
      <c r="AF27" s="1" t="str">
        <f>""</f>
        <v/>
      </c>
      <c r="AG27" s="1" t="str">
        <f>""</f>
        <v/>
      </c>
      <c r="AH27" s="1" t="str">
        <f>""</f>
        <v/>
      </c>
      <c r="AI27" s="1" t="str">
        <f>""</f>
        <v/>
      </c>
      <c r="AJ27" s="1" t="str">
        <f>""</f>
        <v/>
      </c>
      <c r="AK27" s="1" t="str">
        <f>""</f>
        <v/>
      </c>
    </row>
    <row r="28" spans="1:37" x14ac:dyDescent="0.2">
      <c r="A28" s="1">
        <v>215000</v>
      </c>
      <c r="B28" s="1">
        <v>951400119</v>
      </c>
      <c r="C28" s="1" t="str">
        <f>"تخليه -خراسان جنوبي -بيرجند-كارخانه آسفالت شماره 2"</f>
        <v>تخليه -خراسان جنوبي -بيرجند-كارخانه آسفالت شماره 2</v>
      </c>
      <c r="D28" s="1">
        <v>9061</v>
      </c>
      <c r="E28" s="1">
        <v>0</v>
      </c>
      <c r="F28" s="1">
        <v>95</v>
      </c>
      <c r="G28" s="1">
        <v>215000</v>
      </c>
      <c r="H28" s="1" t="str">
        <f>"95/10/13"</f>
        <v>95/10/13</v>
      </c>
      <c r="I28" s="1" t="str">
        <f t="shared" si="0"/>
        <v>كيلوگرم</v>
      </c>
      <c r="J28" s="1" t="str">
        <f>"0000000091"</f>
        <v>0000000091</v>
      </c>
      <c r="K28" s="1" t="str">
        <f>"قير  PG64-22"</f>
        <v>قير  PG64-22</v>
      </c>
      <c r="L28" s="1">
        <v>100</v>
      </c>
      <c r="M28" s="1" t="str">
        <f t="shared" si="1"/>
        <v>مخازن قير اصفهان</v>
      </c>
      <c r="N28" s="1">
        <v>4012</v>
      </c>
      <c r="O28" s="1">
        <v>50033277</v>
      </c>
      <c r="P28" s="1" t="str">
        <f>"  اداره كل راه و شهرسازي خراسان جنوبي"</f>
        <v xml:space="preserve">  اداره كل راه و شهرسازي خراسان جنوبي</v>
      </c>
      <c r="Q28" s="1">
        <v>14</v>
      </c>
      <c r="R28" s="1" t="str">
        <f>"فروش داخلي - وزارت راه - حوزه راه روستايي ساخت"</f>
        <v>فروش داخلي - وزارت راه - حوزه راه روستايي ساخت</v>
      </c>
      <c r="S28" s="1" t="str">
        <f t="shared" si="2"/>
        <v>قرارداد فروش</v>
      </c>
      <c r="T28" s="1" t="str">
        <f t="shared" si="3"/>
        <v>ندارد</v>
      </c>
      <c r="U28" s="1" t="str">
        <f>"بابامحمدي عنايت اله(4844000)"</f>
        <v>بابامحمدي عنايت اله(4844000)</v>
      </c>
      <c r="V28" s="1">
        <v>951400119</v>
      </c>
      <c r="W28" s="1">
        <v>951400119</v>
      </c>
      <c r="X28" s="1" t="str">
        <f>"1395456363"</f>
        <v>1395456363</v>
      </c>
      <c r="Y28" s="1" t="str">
        <f>"95/10/13"</f>
        <v>95/10/13</v>
      </c>
      <c r="Z28" s="1" t="str">
        <f>"49493/710"</f>
        <v>49493/710</v>
      </c>
      <c r="AA28" s="1" t="str">
        <f>"راه وروستايي -ساخت"</f>
        <v>راه وروستايي -ساخت</v>
      </c>
      <c r="AB28" s="1" t="str">
        <f>"95/10/08"</f>
        <v>95/10/08</v>
      </c>
      <c r="AC28" s="1" t="str">
        <f>"خراسان جنوبي"</f>
        <v>خراسان جنوبي</v>
      </c>
      <c r="AD28" s="1" t="str">
        <f>"95/10/13"</f>
        <v>95/10/13</v>
      </c>
      <c r="AE28" s="1" t="str">
        <f t="shared" si="4"/>
        <v>اختتام</v>
      </c>
      <c r="AF28" s="1" t="str">
        <f>""</f>
        <v/>
      </c>
      <c r="AG28" s="1" t="str">
        <f>""</f>
        <v/>
      </c>
      <c r="AH28" s="1" t="str">
        <f>""</f>
        <v/>
      </c>
      <c r="AI28" s="1" t="str">
        <f>""</f>
        <v/>
      </c>
      <c r="AJ28" s="1" t="str">
        <f>""</f>
        <v/>
      </c>
      <c r="AK28" s="1" t="str">
        <f>""</f>
        <v/>
      </c>
    </row>
    <row r="29" spans="1:37" x14ac:dyDescent="0.2">
      <c r="A29" s="1">
        <v>263000</v>
      </c>
      <c r="B29" s="1">
        <v>951700223</v>
      </c>
      <c r="C29" s="1" t="str">
        <f>"تخليه -خراسان رضوي -شهرستان باخرز-كارخانه آسفالت شهرداري باخرز"</f>
        <v>تخليه -خراسان رضوي -شهرستان باخرز-كارخانه آسفالت شهرداري باخرز</v>
      </c>
      <c r="D29" s="1">
        <v>7276</v>
      </c>
      <c r="E29" s="1">
        <v>0</v>
      </c>
      <c r="F29" s="1">
        <v>95</v>
      </c>
      <c r="G29" s="1">
        <v>263000</v>
      </c>
      <c r="H29" s="1" t="str">
        <f>"95/07/06"</f>
        <v>95/07/06</v>
      </c>
      <c r="I29" s="1" t="str">
        <f t="shared" si="0"/>
        <v>كيلوگرم</v>
      </c>
      <c r="J29" s="1" t="str">
        <f>"0000000091"</f>
        <v>0000000091</v>
      </c>
      <c r="K29" s="1" t="str">
        <f>"قير  PG64-22"</f>
        <v>قير  PG64-22</v>
      </c>
      <c r="L29" s="1">
        <v>100</v>
      </c>
      <c r="M29" s="1" t="str">
        <f t="shared" si="1"/>
        <v>مخازن قير اصفهان</v>
      </c>
      <c r="N29" s="1">
        <v>4026</v>
      </c>
      <c r="O29" s="1">
        <v>50032025</v>
      </c>
      <c r="P29" s="1" t="str">
        <f>"  اداره كل راه و شهرسازي خراسان رضوي"</f>
        <v xml:space="preserve">  اداره كل راه و شهرسازي خراسان رضوي</v>
      </c>
      <c r="Q29" s="1">
        <v>17</v>
      </c>
      <c r="R29" s="1" t="str">
        <f>"فروش داخلي تهران - وزارت راه - راه روستايي - روکش"</f>
        <v>فروش داخلي تهران - وزارت راه - راه روستايي - روکش</v>
      </c>
      <c r="S29" s="1" t="str">
        <f t="shared" si="2"/>
        <v>قرارداد فروش</v>
      </c>
      <c r="T29" s="1" t="str">
        <f t="shared" si="3"/>
        <v>ندارد</v>
      </c>
      <c r="U29" s="1" t="str">
        <f>"نظام دوست امين (1911102)"</f>
        <v>نظام دوست امين (1911102)</v>
      </c>
      <c r="V29" s="1">
        <v>951700223</v>
      </c>
      <c r="W29" s="1">
        <v>951700223</v>
      </c>
      <c r="X29" s="1" t="str">
        <f>"1395433846"</f>
        <v>1395433846</v>
      </c>
      <c r="Y29" s="1" t="str">
        <f>"95/07/06"</f>
        <v>95/07/06</v>
      </c>
      <c r="Z29" s="1" t="str">
        <f>"31275/510"</f>
        <v>31275/510</v>
      </c>
      <c r="AA29" s="1" t="str">
        <f>"راه روستائي -روكش"</f>
        <v>راه روستائي -روكش</v>
      </c>
      <c r="AB29" s="1" t="str">
        <f>"95/06/31"</f>
        <v>95/06/31</v>
      </c>
      <c r="AC29" s="1" t="str">
        <f>"خراسان رضوي"</f>
        <v>خراسان رضوي</v>
      </c>
      <c r="AD29" s="1" t="str">
        <f>"95/07/05"</f>
        <v>95/07/05</v>
      </c>
      <c r="AE29" s="1" t="str">
        <f t="shared" si="4"/>
        <v>اختتام</v>
      </c>
      <c r="AF29" s="1" t="str">
        <f>""</f>
        <v/>
      </c>
      <c r="AG29" s="1" t="str">
        <f>""</f>
        <v/>
      </c>
      <c r="AH29" s="1" t="str">
        <f>""</f>
        <v/>
      </c>
      <c r="AI29" s="1" t="str">
        <f>""</f>
        <v/>
      </c>
      <c r="AJ29" s="1" t="str">
        <f>""</f>
        <v/>
      </c>
      <c r="AK29" s="1" t="str">
        <f>""</f>
        <v/>
      </c>
    </row>
    <row r="30" spans="1:37" x14ac:dyDescent="0.2">
      <c r="A30" s="1">
        <v>1000000</v>
      </c>
      <c r="B30" s="1">
        <v>951700298</v>
      </c>
      <c r="C30" s="1" t="str">
        <f>"تخليه -خراسان رضوي -نيشابور-كيلومتر120جاده فيروزآبادشركت دل حفره"</f>
        <v>تخليه -خراسان رضوي -نيشابور-كيلومتر120جاده فيروزآبادشركت دل حفره</v>
      </c>
      <c r="D30" s="1">
        <v>9061</v>
      </c>
      <c r="E30" s="1">
        <v>0</v>
      </c>
      <c r="F30" s="1">
        <v>95</v>
      </c>
      <c r="G30" s="1">
        <v>1000000</v>
      </c>
      <c r="H30" s="1" t="str">
        <f>"95/10/13"</f>
        <v>95/10/13</v>
      </c>
      <c r="I30" s="1" t="str">
        <f t="shared" si="0"/>
        <v>كيلوگرم</v>
      </c>
      <c r="J30" s="1" t="str">
        <f>"0000000092"</f>
        <v>0000000092</v>
      </c>
      <c r="K30" s="1" t="str">
        <f>"قير  PG64-16"</f>
        <v>قير  PG64-16</v>
      </c>
      <c r="L30" s="1">
        <v>100</v>
      </c>
      <c r="M30" s="1" t="str">
        <f t="shared" si="1"/>
        <v>مخازن قير اصفهان</v>
      </c>
      <c r="N30" s="1">
        <v>4026</v>
      </c>
      <c r="O30" s="1">
        <v>50033266</v>
      </c>
      <c r="P30" s="1" t="str">
        <f>"  اداره كل راه و شهرسازي خراسان رضوي"</f>
        <v xml:space="preserve">  اداره كل راه و شهرسازي خراسان رضوي</v>
      </c>
      <c r="Q30" s="1">
        <v>17</v>
      </c>
      <c r="R30" s="1" t="str">
        <f>"فروش داخلي تهران - وزارت راه - راه روستايي - روکش"</f>
        <v>فروش داخلي تهران - وزارت راه - راه روستايي - روکش</v>
      </c>
      <c r="S30" s="1" t="str">
        <f t="shared" si="2"/>
        <v>قرارداد فروش</v>
      </c>
      <c r="T30" s="1" t="str">
        <f t="shared" si="3"/>
        <v>ندارد</v>
      </c>
      <c r="U30" s="1" t="str">
        <f>"بابامحمدي عنايت اله(4844000)"</f>
        <v>بابامحمدي عنايت اله(4844000)</v>
      </c>
      <c r="V30" s="1">
        <v>951700298</v>
      </c>
      <c r="W30" s="1">
        <v>951700298</v>
      </c>
      <c r="X30" s="1" t="str">
        <f>"1395456364"</f>
        <v>1395456364</v>
      </c>
      <c r="Y30" s="1" t="str">
        <f>"95/10/13"</f>
        <v>95/10/13</v>
      </c>
      <c r="Z30" s="1" t="str">
        <f>"49320/710"</f>
        <v>49320/710</v>
      </c>
      <c r="AA30" s="1" t="str">
        <f>"راه روستائي -روكش"</f>
        <v>راه روستائي -روكش</v>
      </c>
      <c r="AB30" s="1" t="str">
        <f>"95/10/07"</f>
        <v>95/10/07</v>
      </c>
      <c r="AC30" s="1" t="str">
        <f>"خراسان رضوي"</f>
        <v>خراسان رضوي</v>
      </c>
      <c r="AD30" s="1" t="str">
        <f>"95/10/13"</f>
        <v>95/10/13</v>
      </c>
      <c r="AE30" s="1" t="str">
        <f t="shared" si="4"/>
        <v>اختتام</v>
      </c>
      <c r="AF30" s="1" t="str">
        <f>""</f>
        <v/>
      </c>
      <c r="AG30" s="1" t="str">
        <f>""</f>
        <v/>
      </c>
      <c r="AH30" s="1" t="str">
        <f>""</f>
        <v/>
      </c>
      <c r="AI30" s="1" t="str">
        <f>""</f>
        <v/>
      </c>
      <c r="AJ30" s="1" t="str">
        <f>""</f>
        <v/>
      </c>
      <c r="AK30" s="1" t="str">
        <f>""</f>
        <v/>
      </c>
    </row>
    <row r="31" spans="1:37" x14ac:dyDescent="0.2">
      <c r="A31" s="1">
        <v>300000</v>
      </c>
      <c r="B31" s="1">
        <v>951400097</v>
      </c>
      <c r="C31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31" s="1">
        <v>7276</v>
      </c>
      <c r="E31" s="1">
        <v>0</v>
      </c>
      <c r="F31" s="1">
        <v>95</v>
      </c>
      <c r="G31" s="1">
        <v>300000</v>
      </c>
      <c r="H31" s="1" t="str">
        <f>"95/09/23"</f>
        <v>95/09/23</v>
      </c>
      <c r="I31" s="1" t="str">
        <f t="shared" si="0"/>
        <v>كيلوگرم</v>
      </c>
      <c r="J31" s="1" t="str">
        <f>"0000000092"</f>
        <v>0000000092</v>
      </c>
      <c r="K31" s="1" t="str">
        <f>"قير  PG64-16"</f>
        <v>قير  PG64-16</v>
      </c>
      <c r="L31" s="1">
        <v>100</v>
      </c>
      <c r="M31" s="1" t="str">
        <f t="shared" si="1"/>
        <v>مخازن قير اصفهان</v>
      </c>
      <c r="N31" s="1">
        <v>10717</v>
      </c>
      <c r="O31" s="1">
        <v>50033008</v>
      </c>
      <c r="P31" s="1" t="str">
        <f>"  تعاوني نگين صحت جيرفت"</f>
        <v xml:space="preserve">  تعاوني نگين صحت جيرفت</v>
      </c>
      <c r="Q31" s="1">
        <v>14</v>
      </c>
      <c r="R31" s="1" t="str">
        <f>"فروش داخلي - وزارت راه - حوزه راه روستايي ساخت"</f>
        <v>فروش داخلي - وزارت راه - حوزه راه روستايي ساخت</v>
      </c>
      <c r="S31" s="1" t="str">
        <f t="shared" si="2"/>
        <v>قرارداد فروش</v>
      </c>
      <c r="T31" s="1" t="str">
        <f t="shared" si="3"/>
        <v>ندارد</v>
      </c>
      <c r="U31" s="1" t="str">
        <f>"دهقانيان بيژن (4954038)"</f>
        <v>دهقانيان بيژن (4954038)</v>
      </c>
      <c r="V31" s="1">
        <v>951400097</v>
      </c>
      <c r="W31" s="1">
        <v>951400097</v>
      </c>
      <c r="X31" s="1" t="str">
        <f>"1395451389"</f>
        <v>1395451389</v>
      </c>
      <c r="Y31" s="1" t="str">
        <f>"95/09/23"</f>
        <v>95/09/23</v>
      </c>
      <c r="Z31" s="1" t="str">
        <f>"45721/710"</f>
        <v>45721/710</v>
      </c>
      <c r="AA31" s="1" t="str">
        <f>"راه وروستايي -ساخت"</f>
        <v>راه وروستايي -ساخت</v>
      </c>
      <c r="AB31" s="1" t="str">
        <f>"95/09/21"</f>
        <v>95/09/21</v>
      </c>
      <c r="AC31" s="1" t="str">
        <f>"جنوب کرمان"</f>
        <v>جنوب کرمان</v>
      </c>
      <c r="AD31" s="1" t="str">
        <f>"95/09/22"</f>
        <v>95/09/22</v>
      </c>
      <c r="AE31" s="1" t="str">
        <f t="shared" si="4"/>
        <v>اختتام</v>
      </c>
      <c r="AF31" s="1" t="str">
        <f>""</f>
        <v/>
      </c>
      <c r="AG31" s="1" t="str">
        <f>""</f>
        <v/>
      </c>
      <c r="AH31" s="1" t="str">
        <f>""</f>
        <v/>
      </c>
      <c r="AI31" s="1" t="str">
        <f>""</f>
        <v/>
      </c>
      <c r="AJ31" s="1" t="str">
        <f>""</f>
        <v/>
      </c>
      <c r="AK31" s="1" t="str">
        <f>""</f>
        <v/>
      </c>
    </row>
    <row r="32" spans="1:37" x14ac:dyDescent="0.2">
      <c r="A32" s="1">
        <v>72000</v>
      </c>
      <c r="B32" s="1">
        <v>951400111</v>
      </c>
      <c r="C32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32" s="1">
        <v>9061</v>
      </c>
      <c r="E32" s="1">
        <v>0</v>
      </c>
      <c r="F32" s="1">
        <v>95</v>
      </c>
      <c r="G32" s="1">
        <v>72000</v>
      </c>
      <c r="H32" s="1" t="str">
        <f>"95/10/13"</f>
        <v>95/10/13</v>
      </c>
      <c r="I32" s="1" t="str">
        <f t="shared" si="0"/>
        <v>كيلوگرم</v>
      </c>
      <c r="J32" s="1" t="str">
        <f>"0000000092"</f>
        <v>0000000092</v>
      </c>
      <c r="K32" s="1" t="str">
        <f>"قير  PG64-16"</f>
        <v>قير  PG64-16</v>
      </c>
      <c r="L32" s="1">
        <v>100</v>
      </c>
      <c r="M32" s="1" t="str">
        <f t="shared" si="1"/>
        <v>مخازن قير اصفهان</v>
      </c>
      <c r="N32" s="1">
        <v>10717</v>
      </c>
      <c r="O32" s="1">
        <v>50033255</v>
      </c>
      <c r="P32" s="1" t="str">
        <f>"  تعاوني نگين صحت جيرفت"</f>
        <v xml:space="preserve">  تعاوني نگين صحت جيرفت</v>
      </c>
      <c r="Q32" s="1">
        <v>14</v>
      </c>
      <c r="R32" s="1" t="str">
        <f>"فروش داخلي - وزارت راه - حوزه راه روستايي ساخت"</f>
        <v>فروش داخلي - وزارت راه - حوزه راه روستايي ساخت</v>
      </c>
      <c r="S32" s="1" t="str">
        <f t="shared" si="2"/>
        <v>قرارداد فروش</v>
      </c>
      <c r="T32" s="1" t="str">
        <f t="shared" si="3"/>
        <v>ندارد</v>
      </c>
      <c r="U32" s="1" t="str">
        <f>"دشت بشي پودنگ وبرادران رضا(4844014)"</f>
        <v>دشت بشي پودنگ وبرادران رضا(4844014)</v>
      </c>
      <c r="V32" s="1">
        <v>951400111</v>
      </c>
      <c r="W32" s="1">
        <v>951400111</v>
      </c>
      <c r="X32" s="1" t="str">
        <f>"1395456109"</f>
        <v>1395456109</v>
      </c>
      <c r="Y32" s="1" t="str">
        <f>"95/10/12"</f>
        <v>95/10/12</v>
      </c>
      <c r="Z32" s="1" t="str">
        <f>"45724/710"</f>
        <v>45724/710</v>
      </c>
      <c r="AA32" s="1" t="str">
        <f>"راه وروستايي -ساخت"</f>
        <v>راه وروستايي -ساخت</v>
      </c>
      <c r="AB32" s="1" t="str">
        <f>"95/09/21"</f>
        <v>95/09/21</v>
      </c>
      <c r="AC32" s="1" t="str">
        <f>"جنوب کرمان"</f>
        <v>جنوب کرمان</v>
      </c>
      <c r="AD32" s="1" t="str">
        <f>"95/10/11"</f>
        <v>95/10/11</v>
      </c>
      <c r="AE32" s="1" t="str">
        <f t="shared" si="4"/>
        <v>اختتام</v>
      </c>
      <c r="AF32" s="1" t="str">
        <f>""</f>
        <v/>
      </c>
      <c r="AG32" s="1" t="str">
        <f>""</f>
        <v/>
      </c>
      <c r="AH32" s="1" t="str">
        <f>""</f>
        <v/>
      </c>
      <c r="AI32" s="1" t="str">
        <f>""</f>
        <v/>
      </c>
      <c r="AJ32" s="1" t="str">
        <f>""</f>
        <v/>
      </c>
      <c r="AK32" s="1" t="str">
        <f>""</f>
        <v/>
      </c>
    </row>
    <row r="33" spans="1:37" x14ac:dyDescent="0.2">
      <c r="A33" s="1">
        <v>300000</v>
      </c>
      <c r="B33" s="1">
        <v>951800102</v>
      </c>
      <c r="C33" s="1" t="str">
        <f>"تخليه گيلان لوشان شهرك صنعتي لوشان آسمان سراي 5شركت عمران دژالماس"</f>
        <v>تخليه گيلان لوشان شهرك صنعتي لوشان آسمان سراي 5شركت عمران دژالماس</v>
      </c>
      <c r="D33" s="1">
        <v>7276</v>
      </c>
      <c r="E33" s="1">
        <v>0</v>
      </c>
      <c r="F33" s="1">
        <v>95</v>
      </c>
      <c r="G33" s="1">
        <v>300000</v>
      </c>
      <c r="H33" s="1" t="str">
        <f>"95/09/16"</f>
        <v>95/09/16</v>
      </c>
      <c r="I33" s="1" t="str">
        <f t="shared" si="0"/>
        <v>كيلوگرم</v>
      </c>
      <c r="J33" s="1" t="str">
        <f>"0000000093"</f>
        <v>0000000093</v>
      </c>
      <c r="K33" s="1" t="str">
        <f>"قير  PG64-10"</f>
        <v>قير  PG64-10</v>
      </c>
      <c r="L33" s="1">
        <v>100</v>
      </c>
      <c r="M33" s="1" t="str">
        <f t="shared" si="1"/>
        <v>مخازن قير اصفهان</v>
      </c>
      <c r="N33" s="1">
        <v>8029</v>
      </c>
      <c r="O33" s="1">
        <v>50032886</v>
      </c>
      <c r="P33" s="1" t="str">
        <f>"  خلخال دشت"</f>
        <v xml:space="preserve">  خلخال دشت</v>
      </c>
      <c r="Q33" s="1">
        <v>18</v>
      </c>
      <c r="R33" s="1" t="str">
        <f>"فروش داخلي تهران - وزارت راه - شرکت ساخت و توسعه راهها"</f>
        <v>فروش داخلي تهران - وزارت راه - شرکت ساخت و توسعه راهها</v>
      </c>
      <c r="S33" s="1" t="str">
        <f t="shared" si="2"/>
        <v>قرارداد فروش</v>
      </c>
      <c r="T33" s="1" t="str">
        <f t="shared" si="3"/>
        <v>ندارد</v>
      </c>
      <c r="U33" s="1" t="str">
        <f>"خليل الهي حسن(1841005)"</f>
        <v>خليل الهي حسن(1841005)</v>
      </c>
      <c r="V33" s="1">
        <v>951800102</v>
      </c>
      <c r="W33" s="1">
        <v>951800102</v>
      </c>
      <c r="X33" s="1" t="str">
        <f>"1395449861"</f>
        <v>1395449861</v>
      </c>
      <c r="Y33" s="1" t="str">
        <f>"95/09/16"</f>
        <v>95/09/16</v>
      </c>
      <c r="Z33" s="1" t="str">
        <f>"43646/710"</f>
        <v>43646/710</v>
      </c>
      <c r="AA33" s="1" t="str">
        <f>"شركت  ساخت وتوسعه راهها"</f>
        <v>شركت  ساخت وتوسعه راهها</v>
      </c>
      <c r="AB33" s="1" t="str">
        <f>"95/09/07"</f>
        <v>95/09/07</v>
      </c>
      <c r="AC33" s="1" t="str">
        <f>"استان گيلان"</f>
        <v>استان گيلان</v>
      </c>
      <c r="AD33" s="1" t="str">
        <f>"95/09/16"</f>
        <v>95/09/16</v>
      </c>
      <c r="AE33" s="1" t="str">
        <f t="shared" si="4"/>
        <v>اختتام</v>
      </c>
      <c r="AF33" s="1" t="str">
        <f>""</f>
        <v/>
      </c>
      <c r="AG33" s="1" t="str">
        <f>""</f>
        <v/>
      </c>
      <c r="AH33" s="1" t="str">
        <f>""</f>
        <v/>
      </c>
      <c r="AI33" s="1" t="str">
        <f>""</f>
        <v/>
      </c>
      <c r="AJ33" s="1" t="str">
        <f>""</f>
        <v/>
      </c>
      <c r="AK33" s="1" t="str">
        <f>""</f>
        <v/>
      </c>
    </row>
    <row r="34" spans="1:37" x14ac:dyDescent="0.2">
      <c r="A34" s="1">
        <v>1000000</v>
      </c>
      <c r="B34" s="1">
        <v>951600052</v>
      </c>
      <c r="C34" s="1" t="str">
        <f>"تخليه - خراسان جنوبي - عمليات خاکي و آسفالت و ابنيه فني باند دوم محور طبس -اصفهان-کارخانه بهبود صنعت"</f>
        <v>تخليه - خراسان جنوبي - عمليات خاکي و آسفالت و ابنيه فني باند دوم محور طبس -اصفهان-کارخانه بهبود صنعت</v>
      </c>
      <c r="D34" s="1">
        <v>7276</v>
      </c>
      <c r="E34" s="1">
        <v>0</v>
      </c>
      <c r="F34" s="1">
        <v>95</v>
      </c>
      <c r="G34" s="1">
        <v>1000000</v>
      </c>
      <c r="H34" s="1" t="str">
        <f>"95/09/06"</f>
        <v>95/09/06</v>
      </c>
      <c r="I34" s="1" t="str">
        <f t="shared" si="0"/>
        <v>كيلوگرم</v>
      </c>
      <c r="J34" s="1" t="str">
        <f>"0000000093"</f>
        <v>0000000093</v>
      </c>
      <c r="K34" s="1" t="str">
        <f>"قير  PG64-10"</f>
        <v>قير  PG64-10</v>
      </c>
      <c r="L34" s="1">
        <v>100</v>
      </c>
      <c r="M34" s="1" t="str">
        <f t="shared" si="1"/>
        <v>مخازن قير اصفهان</v>
      </c>
      <c r="N34" s="1">
        <v>10635</v>
      </c>
      <c r="O34" s="1">
        <v>50033058</v>
      </c>
      <c r="P34" s="1" t="str">
        <f>"  ريحان گسترخاوران"</f>
        <v xml:space="preserve">  ريحان گسترخاوران</v>
      </c>
      <c r="Q34" s="1">
        <v>16</v>
      </c>
      <c r="R34" s="1" t="str">
        <f>"فروش داخلي تهران - وزارت راه - معاونت اقتصاد"</f>
        <v>فروش داخلي تهران - وزارت راه - معاونت اقتصاد</v>
      </c>
      <c r="S34" s="1" t="str">
        <f t="shared" si="2"/>
        <v>قرارداد فروش</v>
      </c>
      <c r="T34" s="1" t="str">
        <f t="shared" si="3"/>
        <v>ندارد</v>
      </c>
      <c r="U34" s="1" t="str">
        <f>"بابامحمدي عنايت اله(4844000)"</f>
        <v>بابامحمدي عنايت اله(4844000)</v>
      </c>
      <c r="V34" s="1">
        <v>951600052</v>
      </c>
      <c r="W34" s="1">
        <v>951600052</v>
      </c>
      <c r="X34" s="1" t="str">
        <f>"1395447611"</f>
        <v>1395447611</v>
      </c>
      <c r="Y34" s="1" t="str">
        <f>"95/09/06"</f>
        <v>95/09/06</v>
      </c>
      <c r="Z34" s="1" t="str">
        <f>"40598/710"</f>
        <v>40598/710</v>
      </c>
      <c r="AA34" s="1" t="str">
        <f>"معاونت اقتصادوزارت راه وشهرسازي"</f>
        <v>معاونت اقتصادوزارت راه وشهرسازي</v>
      </c>
      <c r="AB34" s="1" t="str">
        <f>"95/08/19"</f>
        <v>95/08/19</v>
      </c>
      <c r="AC34" s="1" t="str">
        <f>"خراسان جنوبي"</f>
        <v>خراسان جنوبي</v>
      </c>
      <c r="AD34" s="1" t="str">
        <f>"95/09/06"</f>
        <v>95/09/06</v>
      </c>
      <c r="AE34" s="1" t="str">
        <f t="shared" si="4"/>
        <v>اختتام</v>
      </c>
      <c r="AF34" s="1" t="str">
        <f>""</f>
        <v/>
      </c>
      <c r="AG34" s="1" t="str">
        <f>""</f>
        <v/>
      </c>
      <c r="AH34" s="1" t="str">
        <f>""</f>
        <v/>
      </c>
      <c r="AI34" s="1" t="str">
        <f>""</f>
        <v/>
      </c>
      <c r="AJ34" s="1" t="str">
        <f>""</f>
        <v/>
      </c>
      <c r="AK34" s="1" t="str">
        <f>""</f>
        <v/>
      </c>
    </row>
    <row r="35" spans="1:37" x14ac:dyDescent="0.2">
      <c r="A35" s="1">
        <v>650000</v>
      </c>
      <c r="B35" s="1">
        <v>951700212</v>
      </c>
      <c r="C35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35" s="1">
        <v>7276</v>
      </c>
      <c r="E35" s="1">
        <v>0</v>
      </c>
      <c r="F35" s="1">
        <v>95</v>
      </c>
      <c r="G35" s="1">
        <v>650000</v>
      </c>
      <c r="H35" s="1" t="str">
        <f>"95/07/04"</f>
        <v>95/07/04</v>
      </c>
      <c r="I35" s="1" t="str">
        <f t="shared" si="0"/>
        <v>كيلوگرم</v>
      </c>
      <c r="J35" s="1" t="str">
        <f>"0000000091"</f>
        <v>0000000091</v>
      </c>
      <c r="K35" s="1" t="str">
        <f>"قير  PG64-22"</f>
        <v>قير  PG64-22</v>
      </c>
      <c r="L35" s="1">
        <v>100</v>
      </c>
      <c r="M35" s="1" t="str">
        <f t="shared" si="1"/>
        <v>مخازن قير اصفهان</v>
      </c>
      <c r="N35" s="1">
        <v>1602</v>
      </c>
      <c r="O35" s="1">
        <v>50031936</v>
      </c>
      <c r="P35" s="1" t="str">
        <f>"  اداره كل راه و شهرسازي يزد"</f>
        <v xml:space="preserve">  اداره كل راه و شهرسازي يزد</v>
      </c>
      <c r="Q35" s="1">
        <v>17</v>
      </c>
      <c r="R35" s="1" t="str">
        <f>"فروش داخلي تهران - وزارت راه - راه روستايي - روکش"</f>
        <v>فروش داخلي تهران - وزارت راه - راه روستايي - روکش</v>
      </c>
      <c r="S35" s="1" t="str">
        <f t="shared" si="2"/>
        <v>قرارداد فروش</v>
      </c>
      <c r="T35" s="1" t="str">
        <f t="shared" si="3"/>
        <v>ندارد</v>
      </c>
      <c r="U35" s="1" t="str">
        <f>"قانعي محمدرضا(1011ج89)"</f>
        <v>قانعي محمدرضا(1011ج89)</v>
      </c>
      <c r="V35" s="1">
        <v>951700212</v>
      </c>
      <c r="W35" s="1">
        <v>951700212</v>
      </c>
      <c r="X35" s="1" t="str">
        <f>"1395433636"</f>
        <v>1395433636</v>
      </c>
      <c r="Y35" s="1" t="str">
        <f>"95/07/04"</f>
        <v>95/07/04</v>
      </c>
      <c r="Z35" s="1" t="str">
        <f>"30515/510"</f>
        <v>30515/510</v>
      </c>
      <c r="AA35" s="1" t="str">
        <f>"راه روستائي -روكش"</f>
        <v>راه روستائي -روكش</v>
      </c>
      <c r="AB35" s="1" t="str">
        <f>"95/06/27"</f>
        <v>95/06/27</v>
      </c>
      <c r="AC35" s="1" t="str">
        <f>"استان يزد"</f>
        <v>استان يزد</v>
      </c>
      <c r="AD35" s="1" t="str">
        <f>"95/07/04"</f>
        <v>95/07/04</v>
      </c>
      <c r="AE35" s="1" t="str">
        <f t="shared" si="4"/>
        <v>اختتام</v>
      </c>
      <c r="AF35" s="1" t="str">
        <f>""</f>
        <v/>
      </c>
      <c r="AG35" s="1" t="str">
        <f>""</f>
        <v/>
      </c>
      <c r="AH35" s="1" t="str">
        <f>""</f>
        <v/>
      </c>
      <c r="AI35" s="1" t="str">
        <f>""</f>
        <v/>
      </c>
      <c r="AJ35" s="1" t="str">
        <f>""</f>
        <v/>
      </c>
      <c r="AK35" s="1" t="str">
        <f>""</f>
        <v/>
      </c>
    </row>
    <row r="36" spans="1:37" x14ac:dyDescent="0.2">
      <c r="A36" s="1">
        <v>40760</v>
      </c>
      <c r="B36" s="1">
        <v>951800113</v>
      </c>
      <c r="C36" s="1" t="str">
        <f>"تخليه-خراسان جنوبي-آرين شهر 3کيلومتر بعداز آرين شهر به سمت بيرجند کارخانه آسفالت شرکت آب شن-راه توس"</f>
        <v>تخليه-خراسان جنوبي-آرين شهر 3کيلومتر بعداز آرين شهر به سمت بيرجند کارخانه آسفالت شرکت آب شن-راه توس</v>
      </c>
      <c r="D36" s="1">
        <v>9061</v>
      </c>
      <c r="E36" s="1">
        <v>0</v>
      </c>
      <c r="F36" s="1">
        <v>95</v>
      </c>
      <c r="G36" s="1">
        <v>40760</v>
      </c>
      <c r="H36" s="1" t="str">
        <f>"95/10/05"</f>
        <v>95/10/05</v>
      </c>
      <c r="I36" s="1" t="str">
        <f t="shared" si="0"/>
        <v>كيلوگرم</v>
      </c>
      <c r="J36" s="1" t="str">
        <f>"0000000091"</f>
        <v>0000000091</v>
      </c>
      <c r="K36" s="1" t="str">
        <f>"قير  PG64-22"</f>
        <v>قير  PG64-22</v>
      </c>
      <c r="L36" s="1">
        <v>100</v>
      </c>
      <c r="M36" s="1" t="str">
        <f t="shared" si="1"/>
        <v>مخازن قير اصفهان</v>
      </c>
      <c r="N36" s="1">
        <v>1661</v>
      </c>
      <c r="O36" s="1">
        <v>50033169</v>
      </c>
      <c r="P36" s="1" t="str">
        <f>"  ساختماني او-يول"</f>
        <v xml:space="preserve">  ساختماني او-يول</v>
      </c>
      <c r="Q36" s="1">
        <v>18</v>
      </c>
      <c r="R36" s="1" t="str">
        <f>"فروش داخلي تهران - وزارت راه - شرکت ساخت و توسعه راهها"</f>
        <v>فروش داخلي تهران - وزارت راه - شرکت ساخت و توسعه راهها</v>
      </c>
      <c r="S36" s="1" t="str">
        <f t="shared" si="2"/>
        <v>قرارداد فروش</v>
      </c>
      <c r="T36" s="1" t="str">
        <f t="shared" si="3"/>
        <v>ندارد</v>
      </c>
      <c r="U36" s="1" t="str">
        <f>"درودي رضا(1841030)"</f>
        <v>درودي رضا(1841030)</v>
      </c>
      <c r="V36" s="1">
        <v>951800113</v>
      </c>
      <c r="W36" s="1">
        <v>951800113</v>
      </c>
      <c r="X36" s="1" t="str">
        <f>"1395423466"</f>
        <v>1395423466</v>
      </c>
      <c r="Y36" s="1" t="str">
        <f>"95/10/05"</f>
        <v>95/10/05</v>
      </c>
      <c r="Z36" s="1" t="str">
        <f>"21620/510"</f>
        <v>21620/510</v>
      </c>
      <c r="AA36" s="1" t="str">
        <f>"شركت  ساخت وتوسعه راهها"</f>
        <v>شركت  ساخت وتوسعه راهها</v>
      </c>
      <c r="AB36" s="1" t="str">
        <f>"95/05/16"</f>
        <v>95/05/16</v>
      </c>
      <c r="AC36" s="1" t="str">
        <f>"خراسان جنوبي"</f>
        <v>خراسان جنوبي</v>
      </c>
      <c r="AD36" s="1" t="str">
        <f>"95/05/23"</f>
        <v>95/05/23</v>
      </c>
      <c r="AE36" s="1" t="str">
        <f t="shared" si="4"/>
        <v>اختتام</v>
      </c>
      <c r="AF36" s="1" t="str">
        <f>""</f>
        <v/>
      </c>
      <c r="AG36" s="1" t="str">
        <f>""</f>
        <v/>
      </c>
      <c r="AH36" s="1" t="str">
        <f>""</f>
        <v/>
      </c>
      <c r="AI36" s="1" t="str">
        <f>""</f>
        <v/>
      </c>
      <c r="AJ36" s="1" t="str">
        <f>""</f>
        <v/>
      </c>
      <c r="AK36" s="1" t="str">
        <f>""</f>
        <v/>
      </c>
    </row>
    <row r="37" spans="1:37" x14ac:dyDescent="0.2">
      <c r="A37" s="1">
        <v>1000000</v>
      </c>
      <c r="B37" s="1">
        <v>951900212</v>
      </c>
      <c r="C37" s="1" t="str">
        <f>"تخليه يزدكمربندي يزدبعدازپادگان شهيدصدوقي شركت تعاوني موحدين آسفالت"</f>
        <v>تخليه يزدكمربندي يزدبعدازپادگان شهيدصدوقي شركت تعاوني موحدين آسفالت</v>
      </c>
      <c r="D37" s="1">
        <v>7276</v>
      </c>
      <c r="E37" s="1">
        <v>0</v>
      </c>
      <c r="F37" s="1">
        <v>95</v>
      </c>
      <c r="G37" s="1">
        <v>1000000</v>
      </c>
      <c r="H37" s="1" t="str">
        <f>"95/09/06"</f>
        <v>95/09/06</v>
      </c>
      <c r="I37" s="1" t="str">
        <f t="shared" si="0"/>
        <v>كيلوگرم</v>
      </c>
      <c r="J37" s="1" t="str">
        <f>"0000000091"</f>
        <v>0000000091</v>
      </c>
      <c r="K37" s="1" t="str">
        <f>"قير  PG64-22"</f>
        <v>قير  PG64-22</v>
      </c>
      <c r="L37" s="1">
        <v>100</v>
      </c>
      <c r="M37" s="1" t="str">
        <f t="shared" si="1"/>
        <v>مخازن قير اصفهان</v>
      </c>
      <c r="N37" s="1">
        <v>11130</v>
      </c>
      <c r="O37" s="1">
        <v>50032691</v>
      </c>
      <c r="P37" s="1" t="str">
        <f>"  داريون راه بنا"</f>
        <v xml:space="preserve">  داريون راه بنا</v>
      </c>
      <c r="Q37" s="1">
        <v>19</v>
      </c>
      <c r="R3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7" s="1" t="str">
        <f t="shared" si="2"/>
        <v>قرارداد فروش</v>
      </c>
      <c r="T37" s="1" t="str">
        <f t="shared" si="3"/>
        <v>ندارد</v>
      </c>
      <c r="U37" s="1" t="str">
        <f>"قانعي محمدرضا(1011ج89)"</f>
        <v>قانعي محمدرضا(1011ج89)</v>
      </c>
      <c r="V37" s="1">
        <v>951900212</v>
      </c>
      <c r="W37" s="1">
        <v>951900212</v>
      </c>
      <c r="X37" s="1" t="str">
        <f>"1395447619"</f>
        <v>1395447619</v>
      </c>
      <c r="Y37" s="1" t="str">
        <f>"95/09/06"</f>
        <v>95/09/06</v>
      </c>
      <c r="Z37" s="1" t="str">
        <f>"42079/710"</f>
        <v>42079/710</v>
      </c>
      <c r="AA37" s="1" t="str">
        <f>"سازمان راهداري وحمل نقل جاده اي"</f>
        <v>سازمان راهداري وحمل نقل جاده اي</v>
      </c>
      <c r="AB37" s="1" t="str">
        <f>"95/08/29"</f>
        <v>95/08/29</v>
      </c>
      <c r="AC37" s="1" t="str">
        <f>"استان يزد"</f>
        <v>استان يزد</v>
      </c>
      <c r="AD37" s="1" t="str">
        <f>"95/09/06"</f>
        <v>95/09/06</v>
      </c>
      <c r="AE37" s="1" t="str">
        <f t="shared" si="4"/>
        <v>اختتام</v>
      </c>
      <c r="AF37" s="1" t="str">
        <f>""</f>
        <v/>
      </c>
      <c r="AG37" s="1" t="str">
        <f>""</f>
        <v/>
      </c>
      <c r="AH37" s="1" t="str">
        <f>""</f>
        <v/>
      </c>
      <c r="AI37" s="1" t="str">
        <f>""</f>
        <v/>
      </c>
      <c r="AJ37" s="1" t="str">
        <f>""</f>
        <v/>
      </c>
      <c r="AK37" s="1" t="str">
        <f>""</f>
        <v/>
      </c>
    </row>
    <row r="38" spans="1:37" x14ac:dyDescent="0.2">
      <c r="A38" s="1">
        <v>357640</v>
      </c>
      <c r="B38" s="1">
        <v>951800110</v>
      </c>
      <c r="C38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38" s="1">
        <v>9061</v>
      </c>
      <c r="E38" s="1">
        <v>0</v>
      </c>
      <c r="F38" s="1">
        <v>95</v>
      </c>
      <c r="G38" s="1">
        <v>357640</v>
      </c>
      <c r="H38" s="1" t="str">
        <f>"95/10/05"</f>
        <v>95/10/05</v>
      </c>
      <c r="I38" s="1" t="str">
        <f t="shared" si="0"/>
        <v>كيلوگرم</v>
      </c>
      <c r="J38" s="1" t="str">
        <f>"0000000092"</f>
        <v>0000000092</v>
      </c>
      <c r="K38" s="1" t="str">
        <f>"قير  PG64-16"</f>
        <v>قير  PG64-16</v>
      </c>
      <c r="L38" s="1">
        <v>100</v>
      </c>
      <c r="M38" s="1" t="str">
        <f t="shared" si="1"/>
        <v>مخازن قير اصفهان</v>
      </c>
      <c r="N38" s="1">
        <v>1665</v>
      </c>
      <c r="O38" s="1">
        <v>50033147</v>
      </c>
      <c r="P38" s="1" t="str">
        <f>"  جهاد نصر يزد"</f>
        <v xml:space="preserve">  جهاد نصر يزد</v>
      </c>
      <c r="Q38" s="1">
        <v>18</v>
      </c>
      <c r="R38" s="1" t="str">
        <f>"فروش داخلي تهران - وزارت راه - شرکت ساخت و توسعه راهها"</f>
        <v>فروش داخلي تهران - وزارت راه - شرکت ساخت و توسعه راهها</v>
      </c>
      <c r="S38" s="1" t="str">
        <f t="shared" si="2"/>
        <v>قرارداد فروش</v>
      </c>
      <c r="T38" s="1" t="str">
        <f t="shared" si="3"/>
        <v>ندارد</v>
      </c>
      <c r="U38" s="1" t="str">
        <f>"غلام نجفي سيامك‌‌‌‌‌‌(1881082)"</f>
        <v>غلام نجفي سيامك‌‌‌‌‌‌(1881082)</v>
      </c>
      <c r="V38" s="1">
        <v>951800110</v>
      </c>
      <c r="W38" s="1">
        <v>951800110</v>
      </c>
      <c r="X38" s="1" t="str">
        <f>"1395433634"</f>
        <v>1395433634</v>
      </c>
      <c r="Y38" s="1" t="str">
        <f>"95/10/05"</f>
        <v>95/10/05</v>
      </c>
      <c r="Z38" s="1" t="str">
        <f>"31061/510"</f>
        <v>31061/510</v>
      </c>
      <c r="AA38" s="1" t="str">
        <f>"شركت  ساخت وتوسعه راهها"</f>
        <v>شركت  ساخت وتوسعه راهها</v>
      </c>
      <c r="AB38" s="1" t="str">
        <f>"95/06/29"</f>
        <v>95/06/29</v>
      </c>
      <c r="AC38" s="1" t="str">
        <f>"خراسان جنوبي"</f>
        <v>خراسان جنوبي</v>
      </c>
      <c r="AD38" s="1" t="str">
        <f>"95/07/04"</f>
        <v>95/07/04</v>
      </c>
      <c r="AE38" s="1" t="str">
        <f t="shared" ref="AE38:AE69" si="5">"اختتام"</f>
        <v>اختتام</v>
      </c>
      <c r="AF38" s="1" t="str">
        <f>""</f>
        <v/>
      </c>
      <c r="AG38" s="1" t="str">
        <f>""</f>
        <v/>
      </c>
      <c r="AH38" s="1" t="str">
        <f>""</f>
        <v/>
      </c>
      <c r="AI38" s="1" t="str">
        <f>""</f>
        <v/>
      </c>
      <c r="AJ38" s="1" t="str">
        <f>""</f>
        <v/>
      </c>
      <c r="AK38" s="1" t="str">
        <f>""</f>
        <v/>
      </c>
    </row>
    <row r="39" spans="1:37" x14ac:dyDescent="0.2">
      <c r="A39" s="1">
        <v>1000000</v>
      </c>
      <c r="B39" s="1">
        <v>951900238</v>
      </c>
      <c r="C39" s="1" t="str">
        <f>"تخليه -جنوب كرمان -جيرفت جنب كارخانه سبوس -كارخانه ره يادسازه جنوب"</f>
        <v>تخليه -جنوب كرمان -جيرفت جنب كارخانه سبوس -كارخانه ره يادسازه جنوب</v>
      </c>
      <c r="D39" s="1">
        <v>9061</v>
      </c>
      <c r="E39" s="1">
        <v>0</v>
      </c>
      <c r="F39" s="1">
        <v>95</v>
      </c>
      <c r="G39" s="1">
        <v>1000000</v>
      </c>
      <c r="H39" s="1" t="str">
        <f>"95/10/14"</f>
        <v>95/10/14</v>
      </c>
      <c r="I39" s="1" t="str">
        <f t="shared" si="0"/>
        <v>كيلوگرم</v>
      </c>
      <c r="J39" s="1" t="str">
        <f>"0000000092"</f>
        <v>0000000092</v>
      </c>
      <c r="K39" s="1" t="str">
        <f>"قير  PG64-16"</f>
        <v>قير  PG64-16</v>
      </c>
      <c r="L39" s="1">
        <v>100</v>
      </c>
      <c r="M39" s="1" t="str">
        <f t="shared" si="1"/>
        <v>مخازن قير اصفهان</v>
      </c>
      <c r="N39" s="1">
        <v>9424</v>
      </c>
      <c r="O39" s="1">
        <v>50033289</v>
      </c>
      <c r="P39" s="1" t="str">
        <f>"  راه وساختمان ره يادسازه جنوب"</f>
        <v xml:space="preserve">  راه وساختمان ره يادسازه جنوب</v>
      </c>
      <c r="Q39" s="1">
        <v>19</v>
      </c>
      <c r="R3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9" s="1" t="str">
        <f t="shared" si="2"/>
        <v>قرارداد فروش</v>
      </c>
      <c r="T39" s="1" t="str">
        <f t="shared" si="3"/>
        <v>ندارد</v>
      </c>
      <c r="U39" s="1" t="str">
        <f>"حاصليان ترابرجنوب مرتضي حاصلي (4844006)"</f>
        <v>حاصليان ترابرجنوب مرتضي حاصلي (4844006)</v>
      </c>
      <c r="V39" s="1">
        <v>951900238</v>
      </c>
      <c r="W39" s="1">
        <v>951900238</v>
      </c>
      <c r="X39" s="1" t="str">
        <f>"1395456603"</f>
        <v>1395456603</v>
      </c>
      <c r="Y39" s="1" t="str">
        <f>"95/10/14"</f>
        <v>95/10/14</v>
      </c>
      <c r="Z39" s="1" t="str">
        <f>"46047/710"</f>
        <v>46047/710</v>
      </c>
      <c r="AA39" s="1" t="str">
        <f>"سازمان راهداري وحمل نقل جاده اي"</f>
        <v>سازمان راهداري وحمل نقل جاده اي</v>
      </c>
      <c r="AB39" s="1" t="str">
        <f>"95/09/22"</f>
        <v>95/09/22</v>
      </c>
      <c r="AC39" s="1" t="str">
        <f>"جنوب کرمان"</f>
        <v>جنوب کرمان</v>
      </c>
      <c r="AD39" s="1" t="str">
        <f>"95/10/14"</f>
        <v>95/10/14</v>
      </c>
      <c r="AE39" s="1" t="str">
        <f t="shared" si="5"/>
        <v>اختتام</v>
      </c>
      <c r="AF39" s="1" t="str">
        <f>""</f>
        <v/>
      </c>
      <c r="AG39" s="1" t="str">
        <f>""</f>
        <v/>
      </c>
      <c r="AH39" s="1" t="str">
        <f>""</f>
        <v/>
      </c>
      <c r="AI39" s="1" t="str">
        <f>""</f>
        <v/>
      </c>
      <c r="AJ39" s="1" t="str">
        <f>""</f>
        <v/>
      </c>
      <c r="AK39" s="1" t="str">
        <f>""</f>
        <v/>
      </c>
    </row>
    <row r="40" spans="1:37" x14ac:dyDescent="0.2">
      <c r="A40" s="1">
        <v>200000</v>
      </c>
      <c r="B40" s="1">
        <v>951700266</v>
      </c>
      <c r="C40" s="1" t="str">
        <f>"تخليه- همدان-سوباشي"</f>
        <v>تخليه- همدان-سوباشي</v>
      </c>
      <c r="D40" s="1">
        <v>10906</v>
      </c>
      <c r="E40" s="1">
        <v>0</v>
      </c>
      <c r="F40" s="1">
        <v>95</v>
      </c>
      <c r="G40" s="1">
        <v>200000</v>
      </c>
      <c r="H40" s="1" t="str">
        <f>"95/08/08"</f>
        <v>95/08/08</v>
      </c>
      <c r="I40" s="1" t="str">
        <f t="shared" si="0"/>
        <v>كيلوگرم</v>
      </c>
      <c r="J40" s="1" t="str">
        <f>"1000000003"</f>
        <v>1000000003</v>
      </c>
      <c r="K40" s="1" t="str">
        <f>"قير MC250"</f>
        <v>قير MC250</v>
      </c>
      <c r="L40" s="1">
        <v>100</v>
      </c>
      <c r="M40" s="1" t="str">
        <f t="shared" si="1"/>
        <v>مخازن قير اصفهان</v>
      </c>
      <c r="N40" s="1">
        <v>4014</v>
      </c>
      <c r="O40" s="1">
        <v>50032392</v>
      </c>
      <c r="P40" s="1" t="str">
        <f>"  اداره كل راه وشهرسازي همدان"</f>
        <v xml:space="preserve">  اداره كل راه وشهرسازي همدان</v>
      </c>
      <c r="Q40" s="1">
        <v>17</v>
      </c>
      <c r="R40" s="1" t="str">
        <f>"فروش داخلي تهران - وزارت راه - راه روستايي - روکش"</f>
        <v>فروش داخلي تهران - وزارت راه - راه روستايي - روکش</v>
      </c>
      <c r="S40" s="1" t="str">
        <f t="shared" si="2"/>
        <v>قرارداد فروش</v>
      </c>
      <c r="T40" s="1" t="str">
        <f t="shared" si="3"/>
        <v>ندارد</v>
      </c>
      <c r="U40" s="1" t="str">
        <f>"حاجيلوئي علي اصغر(2842019)"</f>
        <v>حاجيلوئي علي اصغر(2842019)</v>
      </c>
      <c r="V40" s="1">
        <v>951700266</v>
      </c>
      <c r="W40" s="1">
        <v>951700266</v>
      </c>
      <c r="X40" s="1" t="str">
        <f>"1395423456"</f>
        <v>1395423456</v>
      </c>
      <c r="Y40" s="1" t="str">
        <f>"95/08/08"</f>
        <v>95/08/08</v>
      </c>
      <c r="Z40" s="1" t="str">
        <f>"18191/510"</f>
        <v>18191/510</v>
      </c>
      <c r="AA40" s="1" t="str">
        <f>"راه روستائي -روكش"</f>
        <v>راه روستائي -روكش</v>
      </c>
      <c r="AB40" s="1" t="str">
        <f>"95/04/27"</f>
        <v>95/04/27</v>
      </c>
      <c r="AC40" s="1" t="str">
        <f>"استان همدان"</f>
        <v>استان همدان</v>
      </c>
      <c r="AD40" s="1" t="str">
        <f>"95/05/23"</f>
        <v>95/05/23</v>
      </c>
      <c r="AE40" s="1" t="str">
        <f t="shared" si="5"/>
        <v>اختتام</v>
      </c>
      <c r="AF40" s="1" t="str">
        <f>""</f>
        <v/>
      </c>
      <c r="AG40" s="1" t="str">
        <f>""</f>
        <v/>
      </c>
      <c r="AH40" s="1" t="str">
        <f>""</f>
        <v/>
      </c>
      <c r="AI40" s="1" t="str">
        <f>""</f>
        <v/>
      </c>
      <c r="AJ40" s="1" t="str">
        <f>""</f>
        <v/>
      </c>
      <c r="AK40" s="1" t="str">
        <f>""</f>
        <v/>
      </c>
    </row>
    <row r="41" spans="1:37" x14ac:dyDescent="0.2">
      <c r="A41" s="1">
        <v>200000</v>
      </c>
      <c r="B41" s="1">
        <v>951900168</v>
      </c>
      <c r="C41" s="1" t="str">
        <f>"تخليه -سمنان -ميامي جنب نيروگاه برق كارگاه مركزي شركت راهسازان كويرشاهرود"</f>
        <v>تخليه -سمنان -ميامي جنب نيروگاه برق كارگاه مركزي شركت راهسازان كويرشاهرود</v>
      </c>
      <c r="D41" s="1">
        <v>8323</v>
      </c>
      <c r="E41" s="1">
        <v>0</v>
      </c>
      <c r="F41" s="1">
        <v>95</v>
      </c>
      <c r="G41" s="1">
        <v>200000</v>
      </c>
      <c r="H41" s="1" t="str">
        <f>"95/08/06"</f>
        <v>95/08/06</v>
      </c>
      <c r="I41" s="1" t="str">
        <f t="shared" si="0"/>
        <v>كيلوگرم</v>
      </c>
      <c r="J41" s="1" t="str">
        <f>"0000000092"</f>
        <v>0000000092</v>
      </c>
      <c r="K41" s="1" t="str">
        <f>"قير  PG64-16"</f>
        <v>قير  PG64-16</v>
      </c>
      <c r="L41" s="1">
        <v>100</v>
      </c>
      <c r="M41" s="1" t="str">
        <f t="shared" si="1"/>
        <v>مخازن قير اصفهان</v>
      </c>
      <c r="N41" s="1">
        <v>11085</v>
      </c>
      <c r="O41" s="1">
        <v>50032308</v>
      </c>
      <c r="P41" s="1" t="str">
        <f>"  راه سازان توحيدشمالشرق"</f>
        <v xml:space="preserve">  راه سازان توحيدشمالشرق</v>
      </c>
      <c r="Q41" s="1">
        <v>19</v>
      </c>
      <c r="R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41" s="1" t="str">
        <f t="shared" si="2"/>
        <v>قرارداد فروش</v>
      </c>
      <c r="T41" s="1" t="str">
        <f t="shared" si="3"/>
        <v>ندارد</v>
      </c>
      <c r="U41" s="1" t="str">
        <f>"دهقانيان بهرام(4844012)"</f>
        <v>دهقانيان بهرام(4844012)</v>
      </c>
      <c r="V41" s="1">
        <v>951900168</v>
      </c>
      <c r="W41" s="1">
        <v>951900168</v>
      </c>
      <c r="X41" s="1" t="str">
        <f>"1395421996"</f>
        <v>1395421996</v>
      </c>
      <c r="Y41" s="1" t="str">
        <f>"95/08/06"</f>
        <v>95/08/06</v>
      </c>
      <c r="Z41" s="1" t="str">
        <f>"21558/510"</f>
        <v>21558/510</v>
      </c>
      <c r="AA41" s="1" t="str">
        <f>"سازمان راهداري وحمل نقل جاده اي"</f>
        <v>سازمان راهداري وحمل نقل جاده اي</v>
      </c>
      <c r="AB41" s="1" t="str">
        <f>"95/05/13"</f>
        <v>95/05/13</v>
      </c>
      <c r="AC41" s="1" t="str">
        <f>"استان سمنان"</f>
        <v>استان سمنان</v>
      </c>
      <c r="AD41" s="1" t="str">
        <f>"95/05/18"</f>
        <v>95/05/18</v>
      </c>
      <c r="AE41" s="1" t="str">
        <f t="shared" si="5"/>
        <v>اختتام</v>
      </c>
      <c r="AF41" s="1" t="str">
        <f>""</f>
        <v/>
      </c>
      <c r="AG41" s="1" t="str">
        <f>""</f>
        <v/>
      </c>
      <c r="AH41" s="1" t="str">
        <f>""</f>
        <v/>
      </c>
      <c r="AI41" s="1" t="str">
        <f>""</f>
        <v/>
      </c>
      <c r="AJ41" s="1" t="str">
        <f>""</f>
        <v/>
      </c>
      <c r="AK41" s="1" t="str">
        <f>""</f>
        <v/>
      </c>
    </row>
    <row r="42" spans="1:37" x14ac:dyDescent="0.2">
      <c r="A42" s="1">
        <v>18920</v>
      </c>
      <c r="B42" s="1">
        <v>951400083</v>
      </c>
      <c r="C42" s="1" t="str">
        <f>"تخليه -خراسان جنوبي -فردوس اداره راه وشهرسازي فردوس"</f>
        <v>تخليه -خراسان جنوبي -فردوس اداره راه وشهرسازي فردوس</v>
      </c>
      <c r="D42" s="1">
        <v>10906</v>
      </c>
      <c r="E42" s="1">
        <v>0</v>
      </c>
      <c r="F42" s="1">
        <v>95</v>
      </c>
      <c r="G42" s="1">
        <v>18920</v>
      </c>
      <c r="H42" s="1" t="str">
        <f>"95/08/08"</f>
        <v>95/08/08</v>
      </c>
      <c r="I42" s="1" t="str">
        <f t="shared" si="0"/>
        <v>كيلوگرم</v>
      </c>
      <c r="J42" s="1" t="str">
        <f>"1000000003"</f>
        <v>1000000003</v>
      </c>
      <c r="K42" s="1" t="str">
        <f>"قير MC250"</f>
        <v>قير MC250</v>
      </c>
      <c r="L42" s="1">
        <v>100</v>
      </c>
      <c r="M42" s="1" t="str">
        <f t="shared" si="1"/>
        <v>مخازن قير اصفهان</v>
      </c>
      <c r="N42" s="1">
        <v>4012</v>
      </c>
      <c r="O42" s="1">
        <v>50032375</v>
      </c>
      <c r="P42" s="1" t="str">
        <f>"  اداره كل راه و شهرسازي خراسان جنوبي"</f>
        <v xml:space="preserve">  اداره كل راه و شهرسازي خراسان جنوبي</v>
      </c>
      <c r="Q42" s="1">
        <v>14</v>
      </c>
      <c r="R42" s="1" t="str">
        <f>"فروش داخلي - وزارت راه - حوزه راه روستايي ساخت"</f>
        <v>فروش داخلي - وزارت راه - حوزه راه روستايي ساخت</v>
      </c>
      <c r="S42" s="1" t="str">
        <f t="shared" si="2"/>
        <v>قرارداد فروش</v>
      </c>
      <c r="T42" s="1" t="str">
        <f t="shared" si="3"/>
        <v>ندارد</v>
      </c>
      <c r="U42" s="1" t="str">
        <f>"مظفري مرتضي(4844023)"</f>
        <v>مظفري مرتضي(4844023)</v>
      </c>
      <c r="V42" s="1">
        <v>951400083</v>
      </c>
      <c r="W42" s="1">
        <v>951400083</v>
      </c>
      <c r="X42" s="1" t="str">
        <f>"1395414103"</f>
        <v>1395414103</v>
      </c>
      <c r="Y42" s="1" t="str">
        <f>"95/08/08"</f>
        <v>95/08/08</v>
      </c>
      <c r="Z42" s="1" t="str">
        <f>"15995/510"</f>
        <v>15995/510</v>
      </c>
      <c r="AA42" s="1" t="str">
        <f>"راه وروستايي -ساخت"</f>
        <v>راه وروستايي -ساخت</v>
      </c>
      <c r="AB42" s="1" t="str">
        <f>"95/04/14"</f>
        <v>95/04/14</v>
      </c>
      <c r="AC42" s="1" t="str">
        <f>"خراسان جنوبي"</f>
        <v>خراسان جنوبي</v>
      </c>
      <c r="AD42" s="1" t="str">
        <f>"95/04/19"</f>
        <v>95/04/19</v>
      </c>
      <c r="AE42" s="1" t="str">
        <f t="shared" si="5"/>
        <v>اختتام</v>
      </c>
      <c r="AF42" s="1" t="str">
        <f>""</f>
        <v/>
      </c>
      <c r="AG42" s="1" t="str">
        <f>""</f>
        <v/>
      </c>
      <c r="AH42" s="1" t="str">
        <f>""</f>
        <v/>
      </c>
      <c r="AI42" s="1" t="str">
        <f>""</f>
        <v/>
      </c>
      <c r="AJ42" s="1" t="str">
        <f>""</f>
        <v/>
      </c>
      <c r="AK42" s="1" t="str">
        <f>""</f>
        <v/>
      </c>
    </row>
    <row r="43" spans="1:37" x14ac:dyDescent="0.2">
      <c r="A43" s="1">
        <v>200000</v>
      </c>
      <c r="B43" s="1">
        <v>951700157</v>
      </c>
      <c r="C43" s="1" t="str">
        <f>"تخليه- همدان-سوباشي"</f>
        <v>تخليه- همدان-سوباشي</v>
      </c>
      <c r="D43" s="1">
        <v>10200</v>
      </c>
      <c r="E43" s="1">
        <v>0</v>
      </c>
      <c r="F43" s="1">
        <v>95</v>
      </c>
      <c r="G43" s="1">
        <v>200000</v>
      </c>
      <c r="H43" s="1" t="str">
        <f>"95/05/24"</f>
        <v>95/05/24</v>
      </c>
      <c r="I43" s="1" t="str">
        <f t="shared" si="0"/>
        <v>كيلوگرم</v>
      </c>
      <c r="J43" s="1" t="str">
        <f>"1000000003"</f>
        <v>1000000003</v>
      </c>
      <c r="K43" s="1" t="str">
        <f>"قير MC250"</f>
        <v>قير MC250</v>
      </c>
      <c r="L43" s="1">
        <v>100</v>
      </c>
      <c r="M43" s="1" t="str">
        <f t="shared" si="1"/>
        <v>مخازن قير اصفهان</v>
      </c>
      <c r="N43" s="1">
        <v>4014</v>
      </c>
      <c r="O43" s="1">
        <v>50031526</v>
      </c>
      <c r="P43" s="1" t="str">
        <f>"  اداره كل راه وشهرسازي همدان"</f>
        <v xml:space="preserve">  اداره كل راه وشهرسازي همدان</v>
      </c>
      <c r="Q43" s="1">
        <v>17</v>
      </c>
      <c r="R43" s="1" t="str">
        <f>"فروش داخلي تهران - وزارت راه - راه روستايي - روکش"</f>
        <v>فروش داخلي تهران - وزارت راه - راه روستايي - روکش</v>
      </c>
      <c r="S43" s="1" t="str">
        <f t="shared" si="2"/>
        <v>قرارداد فروش</v>
      </c>
      <c r="T43" s="1" t="str">
        <f t="shared" si="3"/>
        <v>ندارد</v>
      </c>
      <c r="U43" s="1" t="str">
        <f>"حاجيلوئي علي اصغر(2842019)"</f>
        <v>حاجيلوئي علي اصغر(2842019)</v>
      </c>
      <c r="V43" s="1">
        <v>951700157</v>
      </c>
      <c r="W43" s="1">
        <v>951700157</v>
      </c>
      <c r="X43" s="1" t="str">
        <f>"1395423456"</f>
        <v>1395423456</v>
      </c>
      <c r="Y43" s="1" t="str">
        <f>"95/05/24"</f>
        <v>95/05/24</v>
      </c>
      <c r="Z43" s="1" t="str">
        <f>"18191/510"</f>
        <v>18191/510</v>
      </c>
      <c r="AA43" s="1" t="str">
        <f>"راه روستائي -روكش"</f>
        <v>راه روستائي -روكش</v>
      </c>
      <c r="AB43" s="1" t="str">
        <f>"95/04/27"</f>
        <v>95/04/27</v>
      </c>
      <c r="AC43" s="1" t="str">
        <f>"استان همدان"</f>
        <v>استان همدان</v>
      </c>
      <c r="AD43" s="1" t="str">
        <f>"95/05/23"</f>
        <v>95/05/23</v>
      </c>
      <c r="AE43" s="1" t="str">
        <f t="shared" si="5"/>
        <v>اختتام</v>
      </c>
      <c r="AF43" s="1" t="str">
        <f>""</f>
        <v/>
      </c>
      <c r="AG43" s="1" t="str">
        <f>""</f>
        <v/>
      </c>
      <c r="AH43" s="1" t="str">
        <f>""</f>
        <v/>
      </c>
      <c r="AI43" s="1" t="str">
        <f>""</f>
        <v/>
      </c>
      <c r="AJ43" s="1" t="str">
        <f>""</f>
        <v/>
      </c>
      <c r="AK43" s="1" t="str">
        <f>""</f>
        <v/>
      </c>
    </row>
    <row r="44" spans="1:37" x14ac:dyDescent="0.2">
      <c r="A44" s="1">
        <v>62320</v>
      </c>
      <c r="B44" s="1">
        <v>951900230</v>
      </c>
      <c r="C44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44" s="1">
        <v>9061</v>
      </c>
      <c r="E44" s="1">
        <v>0</v>
      </c>
      <c r="F44" s="1">
        <v>95</v>
      </c>
      <c r="G44" s="1">
        <v>62320</v>
      </c>
      <c r="H44" s="1" t="str">
        <f>"95/10/05"</f>
        <v>95/10/05</v>
      </c>
      <c r="I44" s="1" t="str">
        <f t="shared" si="0"/>
        <v>كيلوگرم</v>
      </c>
      <c r="J44" s="1" t="str">
        <f>"0000000089"</f>
        <v>0000000089</v>
      </c>
      <c r="K44" s="1" t="str">
        <f>"قير  PG58-16"</f>
        <v>قير  PG58-16</v>
      </c>
      <c r="L44" s="1">
        <v>100</v>
      </c>
      <c r="M44" s="1" t="str">
        <f t="shared" si="1"/>
        <v>مخازن قير اصفهان</v>
      </c>
      <c r="N44" s="1">
        <v>8874</v>
      </c>
      <c r="O44" s="1">
        <v>50033154</v>
      </c>
      <c r="P44" s="1" t="str">
        <f>"  كيهان پژوه پويا"</f>
        <v xml:space="preserve">  كيهان پژوه پويا</v>
      </c>
      <c r="Q44" s="1">
        <v>19</v>
      </c>
      <c r="R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44" s="1" t="str">
        <f t="shared" si="2"/>
        <v>قرارداد فروش</v>
      </c>
      <c r="T44" s="1" t="str">
        <f t="shared" si="3"/>
        <v>ندارد</v>
      </c>
      <c r="U44" s="1" t="str">
        <f>"ريسماني حسن(1007ج89)"</f>
        <v>ريسماني حسن(1007ج89)</v>
      </c>
      <c r="V44" s="1">
        <v>951900230</v>
      </c>
      <c r="W44" s="1">
        <v>951900230</v>
      </c>
      <c r="X44" s="1" t="str">
        <f>"1395446289"</f>
        <v>1395446289</v>
      </c>
      <c r="Y44" s="1" t="str">
        <f>"95/10/05"</f>
        <v>95/10/05</v>
      </c>
      <c r="Z44" s="1" t="str">
        <f>"39762/710"</f>
        <v>39762/710</v>
      </c>
      <c r="AA44" s="1" t="str">
        <f>"سازمان راهداري وحمل نقل جاده اي"</f>
        <v>سازمان راهداري وحمل نقل جاده اي</v>
      </c>
      <c r="AB44" s="1" t="str">
        <f>"95/08/15"</f>
        <v>95/08/15</v>
      </c>
      <c r="AC44" s="1" t="str">
        <f>"لرستان"</f>
        <v>لرستان</v>
      </c>
      <c r="AD44" s="1" t="str">
        <f>"95/08/29"</f>
        <v>95/08/29</v>
      </c>
      <c r="AE44" s="1" t="str">
        <f t="shared" si="5"/>
        <v>اختتام</v>
      </c>
      <c r="AF44" s="1" t="str">
        <f>""</f>
        <v/>
      </c>
      <c r="AG44" s="1" t="str">
        <f>""</f>
        <v/>
      </c>
      <c r="AH44" s="1" t="str">
        <f>""</f>
        <v/>
      </c>
      <c r="AI44" s="1" t="str">
        <f>""</f>
        <v/>
      </c>
      <c r="AJ44" s="1" t="str">
        <f>""</f>
        <v/>
      </c>
      <c r="AK44" s="1" t="str">
        <f>""</f>
        <v/>
      </c>
    </row>
    <row r="45" spans="1:37" x14ac:dyDescent="0.2">
      <c r="A45" s="1">
        <v>1000000</v>
      </c>
      <c r="B45" s="1">
        <v>951900209</v>
      </c>
      <c r="C45" s="1" t="str">
        <f>"تخليه -يزدجاده فهرج -كارخانه آسفالت گسترنصريزد"</f>
        <v>تخليه -يزدجاده فهرج -كارخانه آسفالت گسترنصريزد</v>
      </c>
      <c r="D45" s="1">
        <v>7276</v>
      </c>
      <c r="E45" s="1">
        <v>0</v>
      </c>
      <c r="F45" s="1">
        <v>95</v>
      </c>
      <c r="G45" s="1">
        <v>1000000</v>
      </c>
      <c r="H45" s="1" t="str">
        <f>"95/09/06"</f>
        <v>95/09/06</v>
      </c>
      <c r="I45" s="1" t="str">
        <f t="shared" si="0"/>
        <v>كيلوگرم</v>
      </c>
      <c r="J45" s="1" t="str">
        <f>"0000000091"</f>
        <v>0000000091</v>
      </c>
      <c r="K45" s="1" t="str">
        <f>"قير  PG64-22"</f>
        <v>قير  PG64-22</v>
      </c>
      <c r="L45" s="1">
        <v>100</v>
      </c>
      <c r="M45" s="1" t="str">
        <f t="shared" si="1"/>
        <v>مخازن قير اصفهان</v>
      </c>
      <c r="N45" s="1">
        <v>1665</v>
      </c>
      <c r="O45" s="1">
        <v>50032680</v>
      </c>
      <c r="P45" s="1" t="str">
        <f>"  جهاد نصر يزد"</f>
        <v xml:space="preserve">  جهاد نصر يزد</v>
      </c>
      <c r="Q45" s="1">
        <v>19</v>
      </c>
      <c r="R4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45" s="1" t="str">
        <f t="shared" si="2"/>
        <v>قرارداد فروش</v>
      </c>
      <c r="T45" s="1" t="str">
        <f t="shared" si="3"/>
        <v>ندارد</v>
      </c>
      <c r="U45" s="1" t="str">
        <f>"غلام نجفي سيامك‌‌‌‌‌‌(1881082)"</f>
        <v>غلام نجفي سيامك‌‌‌‌‌‌(1881082)</v>
      </c>
      <c r="V45" s="1">
        <v>951900209</v>
      </c>
      <c r="W45" s="1">
        <v>951900209</v>
      </c>
      <c r="X45" s="1" t="str">
        <f>"1395447613"</f>
        <v>1395447613</v>
      </c>
      <c r="Y45" s="1" t="str">
        <f>"95/09/06"</f>
        <v>95/09/06</v>
      </c>
      <c r="Z45" s="1" t="str">
        <f>"42078/710"</f>
        <v>42078/710</v>
      </c>
      <c r="AA45" s="1" t="str">
        <f>"سازمان راهداري وحمل نقل جاده اي"</f>
        <v>سازمان راهداري وحمل نقل جاده اي</v>
      </c>
      <c r="AB45" s="1" t="str">
        <f>"95/08/29"</f>
        <v>95/08/29</v>
      </c>
      <c r="AC45" s="1" t="str">
        <f>"استان يزد"</f>
        <v>استان يزد</v>
      </c>
      <c r="AD45" s="1" t="str">
        <f>"95/09/06"</f>
        <v>95/09/06</v>
      </c>
      <c r="AE45" s="1" t="str">
        <f t="shared" si="5"/>
        <v>اختتام</v>
      </c>
      <c r="AF45" s="1" t="str">
        <f>""</f>
        <v/>
      </c>
      <c r="AG45" s="1" t="str">
        <f>""</f>
        <v/>
      </c>
      <c r="AH45" s="1" t="str">
        <f>""</f>
        <v/>
      </c>
      <c r="AI45" s="1" t="str">
        <f>""</f>
        <v/>
      </c>
      <c r="AJ45" s="1" t="str">
        <f>""</f>
        <v/>
      </c>
      <c r="AK45" s="1" t="str">
        <f>""</f>
        <v/>
      </c>
    </row>
    <row r="46" spans="1:37" x14ac:dyDescent="0.2">
      <c r="A46" s="1">
        <v>105000</v>
      </c>
      <c r="B46" s="1">
        <v>951400118</v>
      </c>
      <c r="C46" s="1" t="str">
        <f>"تخليه خراسان جنوبي پروژه بهسازي وآسفالت خاواز علي آبادشركت جهان راه"</f>
        <v>تخليه خراسان جنوبي پروژه بهسازي وآسفالت خاواز علي آبادشركت جهان راه</v>
      </c>
      <c r="D46" s="1">
        <v>9061</v>
      </c>
      <c r="E46" s="1">
        <v>0</v>
      </c>
      <c r="F46" s="1">
        <v>95</v>
      </c>
      <c r="G46" s="1">
        <v>105000</v>
      </c>
      <c r="H46" s="1" t="str">
        <f>"95/10/13"</f>
        <v>95/10/13</v>
      </c>
      <c r="I46" s="1" t="str">
        <f t="shared" si="0"/>
        <v>كيلوگرم</v>
      </c>
      <c r="J46" s="1" t="str">
        <f>"0000000091"</f>
        <v>0000000091</v>
      </c>
      <c r="K46" s="1" t="str">
        <f>"قير  PG64-22"</f>
        <v>قير  PG64-22</v>
      </c>
      <c r="L46" s="1">
        <v>100</v>
      </c>
      <c r="M46" s="1" t="str">
        <f t="shared" si="1"/>
        <v>مخازن قير اصفهان</v>
      </c>
      <c r="N46" s="1">
        <v>4012</v>
      </c>
      <c r="O46" s="1">
        <v>50033276</v>
      </c>
      <c r="P46" s="1" t="str">
        <f>"  اداره كل راه و شهرسازي خراسان جنوبي"</f>
        <v xml:space="preserve">  اداره كل راه و شهرسازي خراسان جنوبي</v>
      </c>
      <c r="Q46" s="1">
        <v>14</v>
      </c>
      <c r="R46" s="1" t="str">
        <f>"فروش داخلي - وزارت راه - حوزه راه روستايي ساخت"</f>
        <v>فروش داخلي - وزارت راه - حوزه راه روستايي ساخت</v>
      </c>
      <c r="S46" s="1" t="str">
        <f t="shared" si="2"/>
        <v>قرارداد فروش</v>
      </c>
      <c r="T46" s="1" t="str">
        <f t="shared" si="3"/>
        <v>ندارد</v>
      </c>
      <c r="U46" s="1" t="str">
        <f>"بابامحمدي عنايت اله(4844000)"</f>
        <v>بابامحمدي عنايت اله(4844000)</v>
      </c>
      <c r="V46" s="1">
        <v>951400118</v>
      </c>
      <c r="W46" s="1">
        <v>951400118</v>
      </c>
      <c r="X46" s="1" t="str">
        <f>"1395456363"</f>
        <v>1395456363</v>
      </c>
      <c r="Y46" s="1" t="str">
        <f>"95/10/13"</f>
        <v>95/10/13</v>
      </c>
      <c r="Z46" s="1" t="str">
        <f>"49491/710"</f>
        <v>49491/710</v>
      </c>
      <c r="AA46" s="1" t="str">
        <f>"راه وروستايي -ساخت"</f>
        <v>راه وروستايي -ساخت</v>
      </c>
      <c r="AB46" s="1" t="str">
        <f>"95/10/08"</f>
        <v>95/10/08</v>
      </c>
      <c r="AC46" s="1" t="str">
        <f>"خراسان جنوبي"</f>
        <v>خراسان جنوبي</v>
      </c>
      <c r="AD46" s="1" t="str">
        <f>"95/10/13"</f>
        <v>95/10/13</v>
      </c>
      <c r="AE46" s="1" t="str">
        <f t="shared" si="5"/>
        <v>اختتام</v>
      </c>
      <c r="AF46" s="1" t="str">
        <f>""</f>
        <v/>
      </c>
      <c r="AG46" s="1" t="str">
        <f>""</f>
        <v/>
      </c>
      <c r="AH46" s="1" t="str">
        <f>""</f>
        <v/>
      </c>
      <c r="AI46" s="1" t="str">
        <f>""</f>
        <v/>
      </c>
      <c r="AJ46" s="1" t="str">
        <f>""</f>
        <v/>
      </c>
      <c r="AK46" s="1" t="str">
        <f>""</f>
        <v/>
      </c>
    </row>
    <row r="47" spans="1:37" x14ac:dyDescent="0.2">
      <c r="A47" s="1">
        <v>360000</v>
      </c>
      <c r="B47" s="1">
        <v>951400121</v>
      </c>
      <c r="C47" s="1" t="str">
        <f>"تخليه -خراسان جنوبي -بيرجند-كارخانه آسفالت شماره 2"</f>
        <v>تخليه -خراسان جنوبي -بيرجند-كارخانه آسفالت شماره 2</v>
      </c>
      <c r="D47" s="1">
        <v>9061</v>
      </c>
      <c r="E47" s="1">
        <v>0</v>
      </c>
      <c r="F47" s="1">
        <v>95</v>
      </c>
      <c r="G47" s="1">
        <v>360000</v>
      </c>
      <c r="H47" s="1" t="str">
        <f>"95/10/13"</f>
        <v>95/10/13</v>
      </c>
      <c r="I47" s="1" t="str">
        <f t="shared" si="0"/>
        <v>كيلوگرم</v>
      </c>
      <c r="J47" s="1" t="str">
        <f>"0000000091"</f>
        <v>0000000091</v>
      </c>
      <c r="K47" s="1" t="str">
        <f>"قير  PG64-22"</f>
        <v>قير  PG64-22</v>
      </c>
      <c r="L47" s="1">
        <v>100</v>
      </c>
      <c r="M47" s="1" t="str">
        <f t="shared" si="1"/>
        <v>مخازن قير اصفهان</v>
      </c>
      <c r="N47" s="1">
        <v>4012</v>
      </c>
      <c r="O47" s="1">
        <v>50033281</v>
      </c>
      <c r="P47" s="1" t="str">
        <f>"  اداره كل راه و شهرسازي خراسان جنوبي"</f>
        <v xml:space="preserve">  اداره كل راه و شهرسازي خراسان جنوبي</v>
      </c>
      <c r="Q47" s="1">
        <v>14</v>
      </c>
      <c r="R47" s="1" t="str">
        <f>"فروش داخلي - وزارت راه - حوزه راه روستايي ساخت"</f>
        <v>فروش داخلي - وزارت راه - حوزه راه روستايي ساخت</v>
      </c>
      <c r="S47" s="1" t="str">
        <f t="shared" si="2"/>
        <v>قرارداد فروش</v>
      </c>
      <c r="T47" s="1" t="str">
        <f t="shared" si="3"/>
        <v>ندارد</v>
      </c>
      <c r="U47" s="1" t="str">
        <f>"بابامحمدي عنايت اله(4844000)"</f>
        <v>بابامحمدي عنايت اله(4844000)</v>
      </c>
      <c r="V47" s="1">
        <v>951400121</v>
      </c>
      <c r="W47" s="1">
        <v>951400121</v>
      </c>
      <c r="X47" s="1" t="str">
        <f>"1395456363"</f>
        <v>1395456363</v>
      </c>
      <c r="Y47" s="1" t="str">
        <f>"95/10/13"</f>
        <v>95/10/13</v>
      </c>
      <c r="Z47" s="1" t="str">
        <f>"49485/710"</f>
        <v>49485/710</v>
      </c>
      <c r="AA47" s="1" t="str">
        <f>"راه وروستايي -ساخت"</f>
        <v>راه وروستايي -ساخت</v>
      </c>
      <c r="AB47" s="1" t="str">
        <f>"95/10/08"</f>
        <v>95/10/08</v>
      </c>
      <c r="AC47" s="1" t="str">
        <f>"استان تهران"</f>
        <v>استان تهران</v>
      </c>
      <c r="AD47" s="1" t="str">
        <f>"95/10/13"</f>
        <v>95/10/13</v>
      </c>
      <c r="AE47" s="1" t="str">
        <f t="shared" si="5"/>
        <v>اختتام</v>
      </c>
      <c r="AF47" s="1" t="str">
        <f>""</f>
        <v/>
      </c>
      <c r="AG47" s="1" t="str">
        <f>""</f>
        <v/>
      </c>
      <c r="AH47" s="1" t="str">
        <f>""</f>
        <v/>
      </c>
      <c r="AI47" s="1" t="str">
        <f>""</f>
        <v/>
      </c>
      <c r="AJ47" s="1" t="str">
        <f>""</f>
        <v/>
      </c>
      <c r="AK47" s="1" t="str">
        <f>""</f>
        <v/>
      </c>
    </row>
    <row r="48" spans="1:37" x14ac:dyDescent="0.2">
      <c r="A48" s="1">
        <v>55000</v>
      </c>
      <c r="B48" s="1">
        <v>951700291</v>
      </c>
      <c r="C48" s="1" t="str">
        <f>"تخليه -خراسان رضوي -شهرستان باخرز-كارخانه آسفالت شهرداري باخرز"</f>
        <v>تخليه -خراسان رضوي -شهرستان باخرز-كارخانه آسفالت شهرداري باخرز</v>
      </c>
      <c r="D48" s="1">
        <v>9061</v>
      </c>
      <c r="E48" s="1">
        <v>0</v>
      </c>
      <c r="F48" s="1">
        <v>95</v>
      </c>
      <c r="G48" s="1">
        <v>55000</v>
      </c>
      <c r="H48" s="1" t="str">
        <f>"95/10/05"</f>
        <v>95/10/05</v>
      </c>
      <c r="I48" s="1" t="str">
        <f t="shared" si="0"/>
        <v>كيلوگرم</v>
      </c>
      <c r="J48" s="1" t="str">
        <f>"0000000091"</f>
        <v>0000000091</v>
      </c>
      <c r="K48" s="1" t="str">
        <f>"قير  PG64-22"</f>
        <v>قير  PG64-22</v>
      </c>
      <c r="L48" s="1">
        <v>100</v>
      </c>
      <c r="M48" s="1" t="str">
        <f t="shared" si="1"/>
        <v>مخازن قير اصفهان</v>
      </c>
      <c r="N48" s="1">
        <v>4026</v>
      </c>
      <c r="O48" s="1">
        <v>50033135</v>
      </c>
      <c r="P48" s="1" t="str">
        <f>"  اداره كل راه و شهرسازي خراسان رضوي"</f>
        <v xml:space="preserve">  اداره كل راه و شهرسازي خراسان رضوي</v>
      </c>
      <c r="Q48" s="1">
        <v>17</v>
      </c>
      <c r="R48" s="1" t="str">
        <f>"فروش داخلي تهران - وزارت راه - راه روستايي - روکش"</f>
        <v>فروش داخلي تهران - وزارت راه - راه روستايي - روکش</v>
      </c>
      <c r="S48" s="1" t="str">
        <f t="shared" si="2"/>
        <v>قرارداد فروش</v>
      </c>
      <c r="T48" s="1" t="str">
        <f t="shared" si="3"/>
        <v>ندارد</v>
      </c>
      <c r="U48" s="1" t="str">
        <f>"نظام دوست امين (1911102)"</f>
        <v>نظام دوست امين (1911102)</v>
      </c>
      <c r="V48" s="1">
        <v>951700291</v>
      </c>
      <c r="W48" s="1">
        <v>951700291</v>
      </c>
      <c r="X48" s="1" t="str">
        <f>"1395433846"</f>
        <v>1395433846</v>
      </c>
      <c r="Y48" s="1" t="str">
        <f>"95/10/05"</f>
        <v>95/10/05</v>
      </c>
      <c r="Z48" s="1" t="str">
        <f>"31275/510"</f>
        <v>31275/510</v>
      </c>
      <c r="AA48" s="1" t="str">
        <f>"راه روستائي -روكش"</f>
        <v>راه روستائي -روكش</v>
      </c>
      <c r="AB48" s="1" t="str">
        <f>"95/06/31"</f>
        <v>95/06/31</v>
      </c>
      <c r="AC48" s="1" t="str">
        <f>"خراسان رضوي"</f>
        <v>خراسان رضوي</v>
      </c>
      <c r="AD48" s="1" t="str">
        <f>"95/07/05"</f>
        <v>95/07/05</v>
      </c>
      <c r="AE48" s="1" t="str">
        <f t="shared" si="5"/>
        <v>اختتام</v>
      </c>
      <c r="AF48" s="1" t="str">
        <f>""</f>
        <v/>
      </c>
      <c r="AG48" s="1" t="str">
        <f>""</f>
        <v/>
      </c>
      <c r="AH48" s="1" t="str">
        <f>""</f>
        <v/>
      </c>
      <c r="AI48" s="1" t="str">
        <f>""</f>
        <v/>
      </c>
      <c r="AJ48" s="1" t="str">
        <f>""</f>
        <v/>
      </c>
      <c r="AK48" s="1" t="str">
        <f>""</f>
        <v/>
      </c>
    </row>
    <row r="49" spans="1:37" x14ac:dyDescent="0.2">
      <c r="A49" s="1">
        <v>122000</v>
      </c>
      <c r="B49" s="1">
        <v>951700156</v>
      </c>
      <c r="C49" s="1" t="str">
        <f>"تخليه -کرمان-راور-کارخانه قلي زاده"</f>
        <v>تخليه -کرمان-راور-کارخانه قلي زاده</v>
      </c>
      <c r="D49" s="1">
        <v>6726</v>
      </c>
      <c r="E49" s="1">
        <v>0</v>
      </c>
      <c r="F49" s="1">
        <v>95</v>
      </c>
      <c r="G49" s="1">
        <v>122000</v>
      </c>
      <c r="H49" s="1" t="str">
        <f>"95/05/24"</f>
        <v>95/05/24</v>
      </c>
      <c r="I49" s="1" t="str">
        <f t="shared" si="0"/>
        <v>كيلوگرم</v>
      </c>
      <c r="J49" s="1" t="str">
        <f>"0000000091"</f>
        <v>0000000091</v>
      </c>
      <c r="K49" s="1" t="str">
        <f>"قير  PG64-22"</f>
        <v>قير  PG64-22</v>
      </c>
      <c r="L49" s="1">
        <v>100</v>
      </c>
      <c r="M49" s="1" t="str">
        <f t="shared" si="1"/>
        <v>مخازن قير اصفهان</v>
      </c>
      <c r="N49" s="1">
        <v>7034</v>
      </c>
      <c r="O49" s="1">
        <v>50031521</v>
      </c>
      <c r="P49" s="1" t="str">
        <f>"  اداره كل راه وشهرسازي كرمان"</f>
        <v xml:space="preserve">  اداره كل راه وشهرسازي كرمان</v>
      </c>
      <c r="Q49" s="1">
        <v>17</v>
      </c>
      <c r="R49" s="1" t="str">
        <f>"فروش داخلي تهران - وزارت راه - راه روستايي - روکش"</f>
        <v>فروش داخلي تهران - وزارت راه - راه روستايي - روکش</v>
      </c>
      <c r="S49" s="1" t="str">
        <f t="shared" si="2"/>
        <v>قرارداد فروش</v>
      </c>
      <c r="T49" s="1" t="str">
        <f t="shared" si="3"/>
        <v>ندارد</v>
      </c>
      <c r="U49" s="1" t="str">
        <f>"قانعي محمدرضا(1011ج89)"</f>
        <v>قانعي محمدرضا(1011ج89)</v>
      </c>
      <c r="V49" s="1">
        <v>951700156</v>
      </c>
      <c r="W49" s="1">
        <v>951700156</v>
      </c>
      <c r="X49" s="1" t="str">
        <f>"1395423492"</f>
        <v>1395423492</v>
      </c>
      <c r="Y49" s="1" t="str">
        <f>"95/05/24"</f>
        <v>95/05/24</v>
      </c>
      <c r="Z49" s="1" t="str">
        <f>"22306/510"</f>
        <v>22306/510</v>
      </c>
      <c r="AA49" s="1" t="str">
        <f>"راه روستائي -روكش"</f>
        <v>راه روستائي -روكش</v>
      </c>
      <c r="AB49" s="1" t="str">
        <f>"95/05/18"</f>
        <v>95/05/18</v>
      </c>
      <c r="AC49" s="1" t="str">
        <f>"استان كرمان"</f>
        <v>استان كرمان</v>
      </c>
      <c r="AD49" s="1" t="str">
        <f>"95/05/23"</f>
        <v>95/05/23</v>
      </c>
      <c r="AE49" s="1" t="str">
        <f t="shared" si="5"/>
        <v>اختتام</v>
      </c>
      <c r="AF49" s="1" t="str">
        <f>""</f>
        <v/>
      </c>
      <c r="AG49" s="1" t="str">
        <f>""</f>
        <v/>
      </c>
      <c r="AH49" s="1" t="str">
        <f>""</f>
        <v/>
      </c>
      <c r="AI49" s="1" t="str">
        <f>""</f>
        <v/>
      </c>
      <c r="AJ49" s="1" t="str">
        <f>""</f>
        <v/>
      </c>
      <c r="AK49" s="1" t="str">
        <f>""</f>
        <v/>
      </c>
    </row>
    <row r="50" spans="1:37" x14ac:dyDescent="0.2">
      <c r="A50" s="1">
        <v>600000</v>
      </c>
      <c r="B50" s="1">
        <v>951900096</v>
      </c>
      <c r="C50" s="1" t="str">
        <f>"تخليه - سيستان و بلوچستان -قطعه دوم محور خاش ايرانشهر"</f>
        <v>تخليه - سيستان و بلوچستان -قطعه دوم محور خاش ايرانشهر</v>
      </c>
      <c r="D50" s="1">
        <v>7026</v>
      </c>
      <c r="E50" s="1">
        <v>0</v>
      </c>
      <c r="F50" s="1">
        <v>95</v>
      </c>
      <c r="G50" s="1">
        <v>600000</v>
      </c>
      <c r="H50" s="1" t="str">
        <f>"95/05/17"</f>
        <v>95/05/17</v>
      </c>
      <c r="I50" s="1" t="str">
        <f t="shared" si="0"/>
        <v>كيلوگرم</v>
      </c>
      <c r="J50" s="1" t="str">
        <f>"0000000094"</f>
        <v>0000000094</v>
      </c>
      <c r="K50" s="1" t="str">
        <f>"قير  PG70-10"</f>
        <v>قير  PG70-10</v>
      </c>
      <c r="L50" s="1">
        <v>100</v>
      </c>
      <c r="M50" s="1" t="str">
        <f t="shared" si="1"/>
        <v>مخازن قير اصفهان</v>
      </c>
      <c r="N50" s="1">
        <v>8694</v>
      </c>
      <c r="O50" s="1">
        <v>50031449</v>
      </c>
      <c r="P50" s="1" t="str">
        <f>"  ابنيه فني تهران"</f>
        <v xml:space="preserve">  ابنيه فني تهران</v>
      </c>
      <c r="Q50" s="1">
        <v>19</v>
      </c>
      <c r="R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0" s="1" t="str">
        <f t="shared" si="2"/>
        <v>قرارداد فروش</v>
      </c>
      <c r="T50" s="1" t="str">
        <f t="shared" si="3"/>
        <v>ندارد</v>
      </c>
      <c r="U50" s="1" t="str">
        <f>"مظلوم فريبرز(1008ج89)"</f>
        <v>مظلوم فريبرز(1008ج89)</v>
      </c>
      <c r="V50" s="1">
        <v>951900096</v>
      </c>
      <c r="W50" s="1">
        <v>951900096</v>
      </c>
      <c r="X50" s="1" t="str">
        <f>"1395421523"</f>
        <v>1395421523</v>
      </c>
      <c r="Y50" s="1" t="str">
        <f>"95/05/17"</f>
        <v>95/05/17</v>
      </c>
      <c r="Z50" s="1" t="str">
        <f>"20927/510"</f>
        <v>20927/510</v>
      </c>
      <c r="AA50" s="1" t="str">
        <f>"سازمان راهداري وحمل نقل جاده اي"</f>
        <v>سازمان راهداري وحمل نقل جاده اي</v>
      </c>
      <c r="AB50" s="1" t="str">
        <f>"95/05/11"</f>
        <v>95/05/11</v>
      </c>
      <c r="AC50" s="1" t="str">
        <f>"استان سيستان بلوچستان"</f>
        <v>استان سيستان بلوچستان</v>
      </c>
      <c r="AD50" s="1" t="str">
        <f>"95/05/16"</f>
        <v>95/05/16</v>
      </c>
      <c r="AE50" s="1" t="str">
        <f t="shared" si="5"/>
        <v>اختتام</v>
      </c>
      <c r="AF50" s="1" t="str">
        <f>""</f>
        <v/>
      </c>
      <c r="AG50" s="1" t="str">
        <f>""</f>
        <v/>
      </c>
      <c r="AH50" s="1" t="str">
        <f>""</f>
        <v/>
      </c>
      <c r="AI50" s="1" t="str">
        <f>""</f>
        <v/>
      </c>
      <c r="AJ50" s="1" t="str">
        <f>""</f>
        <v/>
      </c>
      <c r="AK50" s="1" t="str">
        <f>""</f>
        <v/>
      </c>
    </row>
    <row r="51" spans="1:37" x14ac:dyDescent="0.2">
      <c r="A51" s="1">
        <v>600000</v>
      </c>
      <c r="B51" s="1">
        <v>951900167</v>
      </c>
      <c r="C51" s="1" t="str">
        <f>"تخليه - سيستان و بلوچستان -قطعه دوم محور خاش ايرانشهر"</f>
        <v>تخليه - سيستان و بلوچستان -قطعه دوم محور خاش ايرانشهر</v>
      </c>
      <c r="D51" s="1">
        <v>8623</v>
      </c>
      <c r="E51" s="1">
        <v>0</v>
      </c>
      <c r="F51" s="1">
        <v>95</v>
      </c>
      <c r="G51" s="1">
        <v>600000</v>
      </c>
      <c r="H51" s="1" t="str">
        <f>"95/08/06"</f>
        <v>95/08/06</v>
      </c>
      <c r="I51" s="1" t="str">
        <f t="shared" si="0"/>
        <v>كيلوگرم</v>
      </c>
      <c r="J51" s="1" t="str">
        <f>"0000000094"</f>
        <v>0000000094</v>
      </c>
      <c r="K51" s="1" t="str">
        <f>"قير  PG70-10"</f>
        <v>قير  PG70-10</v>
      </c>
      <c r="L51" s="1">
        <v>100</v>
      </c>
      <c r="M51" s="1" t="str">
        <f t="shared" si="1"/>
        <v>مخازن قير اصفهان</v>
      </c>
      <c r="N51" s="1">
        <v>8694</v>
      </c>
      <c r="O51" s="1">
        <v>50032307</v>
      </c>
      <c r="P51" s="1" t="str">
        <f>"  ابنيه فني تهران"</f>
        <v xml:space="preserve">  ابنيه فني تهران</v>
      </c>
      <c r="Q51" s="1">
        <v>19</v>
      </c>
      <c r="R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1" s="1" t="str">
        <f t="shared" si="2"/>
        <v>قرارداد فروش</v>
      </c>
      <c r="T51" s="1" t="str">
        <f t="shared" si="3"/>
        <v>ندارد</v>
      </c>
      <c r="U51" s="1" t="str">
        <f>"مظلوم فريبرز(1008ج89)"</f>
        <v>مظلوم فريبرز(1008ج89)</v>
      </c>
      <c r="V51" s="1">
        <v>951900167</v>
      </c>
      <c r="W51" s="1">
        <v>951900167</v>
      </c>
      <c r="X51" s="1" t="str">
        <f>"1395421523"</f>
        <v>1395421523</v>
      </c>
      <c r="Y51" s="1" t="str">
        <f>"95/08/06"</f>
        <v>95/08/06</v>
      </c>
      <c r="Z51" s="1" t="str">
        <f>"20927/510"</f>
        <v>20927/510</v>
      </c>
      <c r="AA51" s="1" t="str">
        <f>"سازمان راهداري وحمل نقل جاده اي"</f>
        <v>سازمان راهداري وحمل نقل جاده اي</v>
      </c>
      <c r="AB51" s="1" t="str">
        <f>"95/05/11"</f>
        <v>95/05/11</v>
      </c>
      <c r="AC51" s="1" t="str">
        <f>"استان سيستان بلوچستان"</f>
        <v>استان سيستان بلوچستان</v>
      </c>
      <c r="AD51" s="1" t="str">
        <f>"95/05/16"</f>
        <v>95/05/16</v>
      </c>
      <c r="AE51" s="1" t="str">
        <f t="shared" si="5"/>
        <v>اختتام</v>
      </c>
      <c r="AF51" s="1" t="str">
        <f>""</f>
        <v/>
      </c>
      <c r="AG51" s="1" t="str">
        <f>""</f>
        <v/>
      </c>
      <c r="AH51" s="1" t="str">
        <f>""</f>
        <v/>
      </c>
      <c r="AI51" s="1" t="str">
        <f>""</f>
        <v/>
      </c>
      <c r="AJ51" s="1" t="str">
        <f>""</f>
        <v/>
      </c>
      <c r="AK51" s="1" t="str">
        <f>""</f>
        <v/>
      </c>
    </row>
    <row r="52" spans="1:37" x14ac:dyDescent="0.2">
      <c r="A52" s="1">
        <v>215000</v>
      </c>
      <c r="B52" s="1">
        <v>956200159</v>
      </c>
      <c r="C52" s="1" t="str">
        <f>"تخليه-جاده سيمان سپاهان- خ يازدهم-منطقه صنعتي اشترجان"</f>
        <v>تخليه-جاده سيمان سپاهان- خ يازدهم-منطقه صنعتي اشترجان</v>
      </c>
      <c r="D52" s="1">
        <v>8861</v>
      </c>
      <c r="E52" s="1">
        <v>214700</v>
      </c>
      <c r="F52" s="1">
        <v>95</v>
      </c>
      <c r="G52" s="1">
        <v>300</v>
      </c>
      <c r="H52" s="1" t="str">
        <f>"95/10/23"</f>
        <v>95/10/23</v>
      </c>
      <c r="I52" s="1" t="str">
        <f t="shared" si="0"/>
        <v>كيلوگرم</v>
      </c>
      <c r="J52" s="1" t="str">
        <f t="shared" ref="J52:J115" si="6">"0000000076"</f>
        <v>0000000076</v>
      </c>
      <c r="K52" s="1" t="str">
        <f t="shared" ref="K52:K115" si="7">"قير 60/70 - فله"</f>
        <v>قير 60/70 - فله</v>
      </c>
      <c r="L52" s="1">
        <v>100</v>
      </c>
      <c r="M52" s="1" t="str">
        <f t="shared" si="1"/>
        <v>مخازن قير اصفهان</v>
      </c>
      <c r="N52" s="1">
        <v>1002</v>
      </c>
      <c r="O52" s="1">
        <v>50033378</v>
      </c>
      <c r="P52" s="1" t="str">
        <f>"  راه آژند"</f>
        <v xml:space="preserve">  راه آژند</v>
      </c>
      <c r="Q52" s="1">
        <v>62</v>
      </c>
      <c r="R52" s="1" t="str">
        <f>"فروش داخلي - سازمان بنيادمسكن انقلاب اسلامي"</f>
        <v>فروش داخلي - سازمان بنيادمسكن انقلاب اسلامي</v>
      </c>
      <c r="S52" s="1" t="str">
        <f t="shared" si="2"/>
        <v>قرارداد فروش</v>
      </c>
      <c r="T52" s="1" t="str">
        <f t="shared" si="3"/>
        <v>ندارد</v>
      </c>
      <c r="U52" s="1" t="str">
        <f>"سيفي پور عبدالمجيد(1009ج89)"</f>
        <v>سيفي پور عبدالمجيد(1009ج89)</v>
      </c>
      <c r="V52" s="1">
        <v>956200159</v>
      </c>
      <c r="W52" s="1">
        <v>956200159</v>
      </c>
      <c r="X52" s="1" t="str">
        <f>"1395457937"</f>
        <v>1395457937</v>
      </c>
      <c r="Y52" s="1" t="str">
        <f>"95/10/23"</f>
        <v>95/10/23</v>
      </c>
      <c r="Z52" s="1" t="str">
        <f>"44844/د"</f>
        <v>44844/د</v>
      </c>
      <c r="AA52" s="1" t="str">
        <f>"بنيادمسكن انقلاب اسلامي"</f>
        <v>بنيادمسكن انقلاب اسلامي</v>
      </c>
      <c r="AB52" s="1" t="str">
        <f>"95/10/20"</f>
        <v>95/10/20</v>
      </c>
      <c r="AC52" s="1" t="str">
        <f t="shared" ref="AC52:AC57" si="8">"استان اصفهان"</f>
        <v>استان اصفهان</v>
      </c>
      <c r="AD52" s="1" t="str">
        <f>"95/10/22"</f>
        <v>95/10/22</v>
      </c>
      <c r="AE52" s="1" t="str">
        <f t="shared" si="5"/>
        <v>اختتام</v>
      </c>
      <c r="AF52" s="1" t="str">
        <f>""</f>
        <v/>
      </c>
      <c r="AG52" s="1" t="str">
        <f>""</f>
        <v/>
      </c>
      <c r="AH52" s="1" t="str">
        <f>""</f>
        <v/>
      </c>
      <c r="AI52" s="1" t="str">
        <f>""</f>
        <v/>
      </c>
      <c r="AJ52" s="1" t="str">
        <f>""</f>
        <v/>
      </c>
      <c r="AK52" s="1" t="str">
        <f>""</f>
        <v/>
      </c>
    </row>
    <row r="53" spans="1:37" x14ac:dyDescent="0.2">
      <c r="A53" s="1">
        <v>118000</v>
      </c>
      <c r="B53" s="1">
        <v>952000119</v>
      </c>
      <c r="C53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53" s="1">
        <v>6976</v>
      </c>
      <c r="E53" s="1">
        <v>117160</v>
      </c>
      <c r="F53" s="1">
        <v>95</v>
      </c>
      <c r="G53" s="1">
        <v>840</v>
      </c>
      <c r="H53" s="1" t="str">
        <f>"95/07/08"</f>
        <v>95/07/08</v>
      </c>
      <c r="I53" s="1" t="str">
        <f t="shared" si="0"/>
        <v>كيلوگرم</v>
      </c>
      <c r="J53" s="1" t="str">
        <f t="shared" si="6"/>
        <v>0000000076</v>
      </c>
      <c r="K53" s="1" t="str">
        <f t="shared" si="7"/>
        <v>قير 60/70 - فله</v>
      </c>
      <c r="L53" s="1">
        <v>100</v>
      </c>
      <c r="M53" s="1" t="str">
        <f t="shared" si="1"/>
        <v>مخازن قير اصفهان</v>
      </c>
      <c r="N53" s="1">
        <v>1292</v>
      </c>
      <c r="O53" s="1">
        <v>50032030</v>
      </c>
      <c r="P53" s="1" t="str">
        <f>"  شهرداري فريدونشهر"</f>
        <v xml:space="preserve">  شهرداري فريدونشهر</v>
      </c>
      <c r="Q53" s="1">
        <v>20</v>
      </c>
      <c r="R53" s="1" t="str">
        <f>"فروش داخلي - سازمان شهرداري ها و دهياري هاي كشور"</f>
        <v>فروش داخلي - سازمان شهرداري ها و دهياري هاي كشور</v>
      </c>
      <c r="S53" s="1" t="str">
        <f t="shared" si="2"/>
        <v>قرارداد فروش</v>
      </c>
      <c r="T53" s="1" t="str">
        <f t="shared" si="3"/>
        <v>ندارد</v>
      </c>
      <c r="U53" s="1" t="str">
        <f>"سيفي پور گودرز(1019ج89)"</f>
        <v>سيفي پور گودرز(1019ج89)</v>
      </c>
      <c r="V53" s="1">
        <v>952000119</v>
      </c>
      <c r="W53" s="1">
        <v>952000119</v>
      </c>
      <c r="X53" s="1" t="str">
        <f>"1395434881"</f>
        <v>1395434881</v>
      </c>
      <c r="Y53" s="1" t="str">
        <f>"95/07/08"</f>
        <v>95/07/08</v>
      </c>
      <c r="Z53" s="1" t="str">
        <f>"27740"</f>
        <v>27740</v>
      </c>
      <c r="AA53" s="1" t="str">
        <f>"شهرداريها"</f>
        <v>شهرداريها</v>
      </c>
      <c r="AB53" s="1" t="str">
        <f>"95/06/10"</f>
        <v>95/06/10</v>
      </c>
      <c r="AC53" s="1" t="str">
        <f t="shared" si="8"/>
        <v>استان اصفهان</v>
      </c>
      <c r="AD53" s="1" t="str">
        <f>"95/07/07"</f>
        <v>95/07/07</v>
      </c>
      <c r="AE53" s="1" t="str">
        <f t="shared" si="5"/>
        <v>اختتام</v>
      </c>
      <c r="AF53" s="1" t="str">
        <f>""</f>
        <v/>
      </c>
      <c r="AG53" s="1" t="str">
        <f>""</f>
        <v/>
      </c>
      <c r="AH53" s="1" t="str">
        <f>""</f>
        <v/>
      </c>
      <c r="AI53" s="1" t="str">
        <f>""</f>
        <v/>
      </c>
      <c r="AJ53" s="1" t="str">
        <f>""</f>
        <v/>
      </c>
      <c r="AK53" s="1" t="str">
        <f>""</f>
        <v/>
      </c>
    </row>
    <row r="54" spans="1:37" x14ac:dyDescent="0.2">
      <c r="A54" s="1">
        <v>70000</v>
      </c>
      <c r="B54" s="1">
        <v>956200405</v>
      </c>
      <c r="C54" s="1" t="str">
        <f>"تخليه -اصفهان شهرك صنعتي اشترجان خ يازدهم شركت راه آژند"</f>
        <v>تخليه -اصفهان شهرك صنعتي اشترجان خ يازدهم شركت راه آژند</v>
      </c>
      <c r="D54" s="1">
        <v>8848</v>
      </c>
      <c r="E54" s="1">
        <v>69400</v>
      </c>
      <c r="F54" s="1">
        <v>95</v>
      </c>
      <c r="G54" s="1">
        <v>600</v>
      </c>
      <c r="H54" s="1" t="str">
        <f>"95/12/25"</f>
        <v>95/12/25</v>
      </c>
      <c r="I54" s="1" t="str">
        <f t="shared" si="0"/>
        <v>كيلوگرم</v>
      </c>
      <c r="J54" s="1" t="str">
        <f t="shared" si="6"/>
        <v>0000000076</v>
      </c>
      <c r="K54" s="1" t="str">
        <f t="shared" si="7"/>
        <v>قير 60/70 - فله</v>
      </c>
      <c r="L54" s="1">
        <v>100</v>
      </c>
      <c r="M54" s="1" t="str">
        <f t="shared" si="1"/>
        <v>مخازن قير اصفهان</v>
      </c>
      <c r="N54" s="1">
        <v>1002</v>
      </c>
      <c r="O54" s="1">
        <v>50034253</v>
      </c>
      <c r="P54" s="1" t="str">
        <f>"  راه آژند"</f>
        <v xml:space="preserve">  راه آژند</v>
      </c>
      <c r="Q54" s="1">
        <v>62</v>
      </c>
      <c r="R54" s="1" t="str">
        <f>"فروش داخلي - سازمان بنيادمسكن انقلاب اسلامي"</f>
        <v>فروش داخلي - سازمان بنيادمسكن انقلاب اسلامي</v>
      </c>
      <c r="S54" s="1" t="str">
        <f t="shared" si="2"/>
        <v>قرارداد فروش</v>
      </c>
      <c r="T54" s="1" t="str">
        <f t="shared" si="3"/>
        <v>ندارد</v>
      </c>
      <c r="U54" s="1" t="str">
        <f>"سيفي پور عبدالمجيد(1009ج89)"</f>
        <v>سيفي پور عبدالمجيد(1009ج89)</v>
      </c>
      <c r="V54" s="1">
        <v>956200405</v>
      </c>
      <c r="W54" s="1">
        <v>956200405</v>
      </c>
      <c r="X54" s="1" t="str">
        <f>"1395470894"</f>
        <v>1395470894</v>
      </c>
      <c r="Y54" s="1" t="str">
        <f>"95/12/25"</f>
        <v>95/12/25</v>
      </c>
      <c r="Z54" s="1" t="str">
        <f>"57004/د"</f>
        <v>57004/د</v>
      </c>
      <c r="AA54" s="1" t="str">
        <f>"بنيادمسكن انقلاب اسلامي"</f>
        <v>بنيادمسكن انقلاب اسلامي</v>
      </c>
      <c r="AB54" s="1" t="str">
        <f>"95/12/22"</f>
        <v>95/12/22</v>
      </c>
      <c r="AC54" s="1" t="str">
        <f t="shared" si="8"/>
        <v>استان اصفهان</v>
      </c>
      <c r="AD54" s="1" t="str">
        <f>"95/12/23"</f>
        <v>95/12/23</v>
      </c>
      <c r="AE54" s="1" t="str">
        <f t="shared" si="5"/>
        <v>اختتام</v>
      </c>
      <c r="AF54" s="1" t="str">
        <f>""</f>
        <v/>
      </c>
      <c r="AG54" s="1" t="str">
        <f>""</f>
        <v/>
      </c>
      <c r="AH54" s="1" t="str">
        <f>""</f>
        <v/>
      </c>
      <c r="AI54" s="1" t="str">
        <f>""</f>
        <v/>
      </c>
      <c r="AJ54" s="1" t="str">
        <f>""</f>
        <v/>
      </c>
      <c r="AK54" s="1" t="str">
        <f>""</f>
        <v/>
      </c>
    </row>
    <row r="55" spans="1:37" x14ac:dyDescent="0.2">
      <c r="A55" s="1">
        <v>118000</v>
      </c>
      <c r="B55" s="1">
        <v>952000263</v>
      </c>
      <c r="C55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55" s="1">
        <v>7026</v>
      </c>
      <c r="E55" s="1">
        <v>117300</v>
      </c>
      <c r="F55" s="1">
        <v>95</v>
      </c>
      <c r="G55" s="1">
        <v>700</v>
      </c>
      <c r="H55" s="1" t="str">
        <f>"95/09/09"</f>
        <v>95/09/09</v>
      </c>
      <c r="I55" s="1" t="str">
        <f t="shared" si="0"/>
        <v>كيلوگرم</v>
      </c>
      <c r="J55" s="1" t="str">
        <f t="shared" si="6"/>
        <v>0000000076</v>
      </c>
      <c r="K55" s="1" t="str">
        <f t="shared" si="7"/>
        <v>قير 60/70 - فله</v>
      </c>
      <c r="L55" s="1">
        <v>100</v>
      </c>
      <c r="M55" s="1" t="str">
        <f t="shared" si="1"/>
        <v>مخازن قير اصفهان</v>
      </c>
      <c r="N55" s="1">
        <v>1292</v>
      </c>
      <c r="O55" s="1">
        <v>50032736</v>
      </c>
      <c r="P55" s="1" t="str">
        <f>"  شهرداري فريدونشهر"</f>
        <v xml:space="preserve">  شهرداري فريدونشهر</v>
      </c>
      <c r="Q55" s="1">
        <v>20</v>
      </c>
      <c r="R55" s="1" t="str">
        <f>"فروش داخلي - سازمان شهرداري ها و دهياري هاي كشور"</f>
        <v>فروش داخلي - سازمان شهرداري ها و دهياري هاي كشور</v>
      </c>
      <c r="S55" s="1" t="str">
        <f t="shared" si="2"/>
        <v>قرارداد فروش</v>
      </c>
      <c r="T55" s="1" t="str">
        <f t="shared" si="3"/>
        <v>ندارد</v>
      </c>
      <c r="U55" s="1" t="str">
        <f>"سيفي پور گودرز(1019ج89)"</f>
        <v>سيفي پور گودرز(1019ج89)</v>
      </c>
      <c r="V55" s="1">
        <v>952000263</v>
      </c>
      <c r="W55" s="1">
        <v>952000263</v>
      </c>
      <c r="X55" s="1" t="str">
        <f>"1395447768"</f>
        <v>1395447768</v>
      </c>
      <c r="Y55" s="1" t="str">
        <f>"95/09/09"</f>
        <v>95/09/09</v>
      </c>
      <c r="Z55" s="1" t="str">
        <f>"43208"</f>
        <v>43208</v>
      </c>
      <c r="AA55" s="1" t="str">
        <f>"شهرداريها"</f>
        <v>شهرداريها</v>
      </c>
      <c r="AB55" s="1" t="str">
        <f>"95/09/01"</f>
        <v>95/09/01</v>
      </c>
      <c r="AC55" s="1" t="str">
        <f t="shared" si="8"/>
        <v>استان اصفهان</v>
      </c>
      <c r="AD55" s="1" t="str">
        <f>"95/09/07"</f>
        <v>95/09/07</v>
      </c>
      <c r="AE55" s="1" t="str">
        <f t="shared" si="5"/>
        <v>اختتام</v>
      </c>
      <c r="AF55" s="1" t="str">
        <f>""</f>
        <v/>
      </c>
      <c r="AG55" s="1" t="str">
        <f>""</f>
        <v/>
      </c>
      <c r="AH55" s="1" t="str">
        <f>""</f>
        <v/>
      </c>
      <c r="AI55" s="1" t="str">
        <f>""</f>
        <v/>
      </c>
      <c r="AJ55" s="1" t="str">
        <f>""</f>
        <v/>
      </c>
      <c r="AK55" s="1" t="str">
        <f>""</f>
        <v/>
      </c>
    </row>
    <row r="56" spans="1:37" x14ac:dyDescent="0.2">
      <c r="A56" s="1">
        <v>153000</v>
      </c>
      <c r="B56" s="1">
        <v>952000238</v>
      </c>
      <c r="C56" s="1" t="str">
        <f>"تخليه اصفهان گلپايگان كيلومتر5جاده خوانساركارخانه آسفالت صنعت راه حاج احمدي"</f>
        <v>تخليه اصفهان گلپايگان كيلومتر5جاده خوانساركارخانه آسفالت صنعت راه حاج احمدي</v>
      </c>
      <c r="D56" s="1">
        <v>8023</v>
      </c>
      <c r="E56" s="1">
        <v>152540</v>
      </c>
      <c r="F56" s="1">
        <v>95</v>
      </c>
      <c r="G56" s="1">
        <v>460</v>
      </c>
      <c r="H56" s="1" t="str">
        <f>"95/08/23"</f>
        <v>95/08/23</v>
      </c>
      <c r="I56" s="1" t="str">
        <f t="shared" si="0"/>
        <v>كيلوگرم</v>
      </c>
      <c r="J56" s="1" t="str">
        <f t="shared" si="6"/>
        <v>0000000076</v>
      </c>
      <c r="K56" s="1" t="str">
        <f t="shared" si="7"/>
        <v>قير 60/70 - فله</v>
      </c>
      <c r="L56" s="1">
        <v>100</v>
      </c>
      <c r="M56" s="1" t="str">
        <f t="shared" si="1"/>
        <v>مخازن قير اصفهان</v>
      </c>
      <c r="N56" s="1">
        <v>1451</v>
      </c>
      <c r="O56" s="1">
        <v>50032599</v>
      </c>
      <c r="P56" s="1" t="str">
        <f>"  شهرداري خوانسار"</f>
        <v xml:space="preserve">  شهرداري خوانسار</v>
      </c>
      <c r="Q56" s="1">
        <v>20</v>
      </c>
      <c r="R56" s="1" t="str">
        <f>"فروش داخلي - سازمان شهرداري ها و دهياري هاي كشور"</f>
        <v>فروش داخلي - سازمان شهرداري ها و دهياري هاي كشور</v>
      </c>
      <c r="S56" s="1" t="str">
        <f t="shared" si="2"/>
        <v>قرارداد فروش</v>
      </c>
      <c r="T56" s="1" t="str">
        <f t="shared" si="3"/>
        <v>ندارد</v>
      </c>
      <c r="U56" s="1" t="str">
        <f>"شهبازي محمدرضا(1029ج89)"</f>
        <v>شهبازي محمدرضا(1029ج89)</v>
      </c>
      <c r="V56" s="1">
        <v>952000238</v>
      </c>
      <c r="W56" s="1">
        <v>952000238</v>
      </c>
      <c r="X56" s="1" t="str">
        <f>"1395444872"</f>
        <v>1395444872</v>
      </c>
      <c r="Y56" s="1" t="str">
        <f>"95/08/23"</f>
        <v>95/08/23</v>
      </c>
      <c r="Z56" s="1" t="str">
        <f>"41404"</f>
        <v>41404</v>
      </c>
      <c r="AA56" s="1" t="str">
        <f>"شهرداريها"</f>
        <v>شهرداريها</v>
      </c>
      <c r="AB56" s="1" t="str">
        <f>"95/08/22"</f>
        <v>95/08/22</v>
      </c>
      <c r="AC56" s="1" t="str">
        <f t="shared" si="8"/>
        <v>استان اصفهان</v>
      </c>
      <c r="AD56" s="1" t="str">
        <f>"95/08/23"</f>
        <v>95/08/23</v>
      </c>
      <c r="AE56" s="1" t="str">
        <f t="shared" si="5"/>
        <v>اختتام</v>
      </c>
      <c r="AF56" s="1" t="str">
        <f>""</f>
        <v/>
      </c>
      <c r="AG56" s="1" t="str">
        <f>""</f>
        <v/>
      </c>
      <c r="AH56" s="1" t="str">
        <f>""</f>
        <v/>
      </c>
      <c r="AI56" s="1" t="str">
        <f>""</f>
        <v/>
      </c>
      <c r="AJ56" s="1" t="str">
        <f>""</f>
        <v/>
      </c>
      <c r="AK56" s="1" t="str">
        <f>""</f>
        <v/>
      </c>
    </row>
    <row r="57" spans="1:37" x14ac:dyDescent="0.2">
      <c r="A57" s="1">
        <v>150000</v>
      </c>
      <c r="B57" s="1">
        <v>952000057</v>
      </c>
      <c r="C57" s="1" t="str">
        <f>"تخليه اصفهان گلپايگان كيلومتر5جاده خوانساركارخانه آسفالت صنعت راه حاج احمدي"</f>
        <v>تخليه اصفهان گلپايگان كيلومتر5جاده خوانساركارخانه آسفالت صنعت راه حاج احمدي</v>
      </c>
      <c r="D57" s="1">
        <v>6876</v>
      </c>
      <c r="E57" s="1">
        <v>149540</v>
      </c>
      <c r="F57" s="1">
        <v>95</v>
      </c>
      <c r="G57" s="1">
        <v>460</v>
      </c>
      <c r="H57" s="1" t="str">
        <f>"95/06/08"</f>
        <v>95/06/08</v>
      </c>
      <c r="I57" s="1" t="str">
        <f t="shared" si="0"/>
        <v>كيلوگرم</v>
      </c>
      <c r="J57" s="1" t="str">
        <f t="shared" si="6"/>
        <v>0000000076</v>
      </c>
      <c r="K57" s="1" t="str">
        <f t="shared" si="7"/>
        <v>قير 60/70 - فله</v>
      </c>
      <c r="L57" s="1">
        <v>100</v>
      </c>
      <c r="M57" s="1" t="str">
        <f t="shared" si="1"/>
        <v>مخازن قير اصفهان</v>
      </c>
      <c r="N57" s="1">
        <v>1451</v>
      </c>
      <c r="O57" s="1">
        <v>50031712</v>
      </c>
      <c r="P57" s="1" t="str">
        <f>"  شهرداري خوانسار"</f>
        <v xml:space="preserve">  شهرداري خوانسار</v>
      </c>
      <c r="Q57" s="1">
        <v>20</v>
      </c>
      <c r="R57" s="1" t="str">
        <f>"فروش داخلي - سازمان شهرداري ها و دهياري هاي كشور"</f>
        <v>فروش داخلي - سازمان شهرداري ها و دهياري هاي كشور</v>
      </c>
      <c r="S57" s="1" t="str">
        <f t="shared" si="2"/>
        <v>قرارداد فروش</v>
      </c>
      <c r="T57" s="1" t="str">
        <f t="shared" si="3"/>
        <v>ندارد</v>
      </c>
      <c r="U57" s="1" t="str">
        <f>"شهبازي محمدرضا(1029ج89)"</f>
        <v>شهبازي محمدرضا(1029ج89)</v>
      </c>
      <c r="V57" s="1">
        <v>952000057</v>
      </c>
      <c r="W57" s="1">
        <v>952000057</v>
      </c>
      <c r="X57" s="1" t="str">
        <f>"1395427143"</f>
        <v>1395427143</v>
      </c>
      <c r="Y57" s="1" t="str">
        <f>"95/06/08"</f>
        <v>95/06/08</v>
      </c>
      <c r="Z57" s="1" t="str">
        <f>"25954"</f>
        <v>25954</v>
      </c>
      <c r="AA57" s="1" t="str">
        <f>"شهرداريها"</f>
        <v>شهرداريها</v>
      </c>
      <c r="AB57" s="1" t="str">
        <f>"95/06/03"</f>
        <v>95/06/03</v>
      </c>
      <c r="AC57" s="1" t="str">
        <f t="shared" si="8"/>
        <v>استان اصفهان</v>
      </c>
      <c r="AD57" s="1" t="str">
        <f>"95/06/07"</f>
        <v>95/06/07</v>
      </c>
      <c r="AE57" s="1" t="str">
        <f t="shared" si="5"/>
        <v>اختتام</v>
      </c>
      <c r="AF57" s="1" t="str">
        <f>""</f>
        <v/>
      </c>
      <c r="AG57" s="1" t="str">
        <f>""</f>
        <v/>
      </c>
      <c r="AH57" s="1" t="str">
        <f>""</f>
        <v/>
      </c>
      <c r="AI57" s="1" t="str">
        <f>""</f>
        <v/>
      </c>
      <c r="AJ57" s="1" t="str">
        <f>""</f>
        <v/>
      </c>
      <c r="AK57" s="1" t="str">
        <f>""</f>
        <v/>
      </c>
    </row>
    <row r="58" spans="1:37" x14ac:dyDescent="0.2">
      <c r="A58" s="1">
        <v>77000</v>
      </c>
      <c r="B58" s="1">
        <v>952000152</v>
      </c>
      <c r="C58" s="1" t="str">
        <f>"تخليه يزدشهرستان بهابادكارخانه آسفالت كويرجام"</f>
        <v>تخليه يزدشهرستان بهابادكارخانه آسفالت كويرجام</v>
      </c>
      <c r="D58" s="1">
        <v>6976</v>
      </c>
      <c r="E58" s="1">
        <v>75840</v>
      </c>
      <c r="F58" s="1">
        <v>95</v>
      </c>
      <c r="G58" s="1">
        <v>1160</v>
      </c>
      <c r="H58" s="1" t="str">
        <f>"95/07/15"</f>
        <v>95/07/15</v>
      </c>
      <c r="I58" s="1" t="str">
        <f t="shared" si="0"/>
        <v>كيلوگرم</v>
      </c>
      <c r="J58" s="1" t="str">
        <f t="shared" si="6"/>
        <v>0000000076</v>
      </c>
      <c r="K58" s="1" t="str">
        <f t="shared" si="7"/>
        <v>قير 60/70 - فله</v>
      </c>
      <c r="L58" s="1">
        <v>100</v>
      </c>
      <c r="M58" s="1" t="str">
        <f t="shared" si="1"/>
        <v>مخازن قير اصفهان</v>
      </c>
      <c r="N58" s="1">
        <v>1601</v>
      </c>
      <c r="O58" s="1">
        <v>50032112</v>
      </c>
      <c r="P58" s="1" t="str">
        <f>"  شهرداري بهاباد"</f>
        <v xml:space="preserve">  شهرداري بهاباد</v>
      </c>
      <c r="Q58" s="1">
        <v>20</v>
      </c>
      <c r="R58" s="1" t="str">
        <f>"فروش داخلي - سازمان شهرداري ها و دهياري هاي كشور"</f>
        <v>فروش داخلي - سازمان شهرداري ها و دهياري هاي كشور</v>
      </c>
      <c r="S58" s="1" t="str">
        <f t="shared" si="2"/>
        <v>قرارداد فروش</v>
      </c>
      <c r="T58" s="1" t="str">
        <f t="shared" si="3"/>
        <v>ندارد</v>
      </c>
      <c r="U58" s="1" t="str">
        <f>"قانعي محمدرضا(1011ج89)"</f>
        <v>قانعي محمدرضا(1011ج89)</v>
      </c>
      <c r="V58" s="1">
        <v>952000152</v>
      </c>
      <c r="W58" s="1">
        <v>952000152</v>
      </c>
      <c r="X58" s="1" t="str">
        <f>"1395436486"</f>
        <v>1395436486</v>
      </c>
      <c r="Y58" s="1" t="str">
        <f>"95/07/15"</f>
        <v>95/07/15</v>
      </c>
      <c r="Z58" s="1" t="str">
        <f>"27911"</f>
        <v>27911</v>
      </c>
      <c r="AA58" s="1" t="str">
        <f>"شهرداريها"</f>
        <v>شهرداريها</v>
      </c>
      <c r="AB58" s="1" t="str">
        <f>"95/06/13"</f>
        <v>95/06/13</v>
      </c>
      <c r="AC58" s="1" t="str">
        <f>"استان يزد"</f>
        <v>استان يزد</v>
      </c>
      <c r="AD58" s="1" t="str">
        <f>"95/07/14"</f>
        <v>95/07/14</v>
      </c>
      <c r="AE58" s="1" t="str">
        <f t="shared" si="5"/>
        <v>اختتام</v>
      </c>
      <c r="AF58" s="1" t="str">
        <f>""</f>
        <v/>
      </c>
      <c r="AG58" s="1" t="str">
        <f>""</f>
        <v/>
      </c>
      <c r="AH58" s="1" t="str">
        <f>""</f>
        <v/>
      </c>
      <c r="AI58" s="1" t="str">
        <f>""</f>
        <v/>
      </c>
      <c r="AJ58" s="1" t="str">
        <f>""</f>
        <v/>
      </c>
      <c r="AK58" s="1" t="str">
        <f>""</f>
        <v/>
      </c>
    </row>
    <row r="59" spans="1:37" x14ac:dyDescent="0.2">
      <c r="A59" s="1">
        <v>189000</v>
      </c>
      <c r="B59" s="1">
        <v>956200285</v>
      </c>
      <c r="C59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59" s="1">
        <v>8848</v>
      </c>
      <c r="E59" s="1">
        <v>188280</v>
      </c>
      <c r="F59" s="1">
        <v>95</v>
      </c>
      <c r="G59" s="1">
        <v>720</v>
      </c>
      <c r="H59" s="1" t="str">
        <f>"95/12/04"</f>
        <v>95/12/04</v>
      </c>
      <c r="I59" s="1" t="str">
        <f t="shared" si="0"/>
        <v>كيلوگرم</v>
      </c>
      <c r="J59" s="1" t="str">
        <f t="shared" si="6"/>
        <v>0000000076</v>
      </c>
      <c r="K59" s="1" t="str">
        <f t="shared" si="7"/>
        <v>قير 60/70 - فله</v>
      </c>
      <c r="L59" s="1">
        <v>100</v>
      </c>
      <c r="M59" s="1" t="str">
        <f t="shared" si="1"/>
        <v>مخازن قير اصفهان</v>
      </c>
      <c r="N59" s="1">
        <v>1663</v>
      </c>
      <c r="O59" s="1">
        <v>50033857</v>
      </c>
      <c r="P59" s="1" t="str">
        <f>"  تعاوني موحدين آسفالت يزد"</f>
        <v xml:space="preserve">  تعاوني موحدين آسفالت يزد</v>
      </c>
      <c r="Q59" s="1">
        <v>62</v>
      </c>
      <c r="R59" s="1" t="str">
        <f>"فروش داخلي - سازمان بنيادمسكن انقلاب اسلامي"</f>
        <v>فروش داخلي - سازمان بنيادمسكن انقلاب اسلامي</v>
      </c>
      <c r="S59" s="1" t="str">
        <f t="shared" si="2"/>
        <v>قرارداد فروش</v>
      </c>
      <c r="T59" s="1" t="str">
        <f t="shared" si="3"/>
        <v>ندارد</v>
      </c>
      <c r="U59" s="1" t="str">
        <f>"قانعي محمدرضا(1011ج89)"</f>
        <v>قانعي محمدرضا(1011ج89)</v>
      </c>
      <c r="V59" s="1">
        <v>956200285</v>
      </c>
      <c r="W59" s="1">
        <v>956200285</v>
      </c>
      <c r="X59" s="1" t="str">
        <f>"1395467357"</f>
        <v>1395467357</v>
      </c>
      <c r="Y59" s="1" t="str">
        <f>"95/12/04"</f>
        <v>95/12/04</v>
      </c>
      <c r="Z59" s="1" t="str">
        <f>"53043/د"</f>
        <v>53043/د</v>
      </c>
      <c r="AA59" s="1" t="str">
        <f>"بنيادمسكن انقلاب اسلامي"</f>
        <v>بنيادمسكن انقلاب اسلامي</v>
      </c>
      <c r="AB59" s="1" t="str">
        <f>"95/12/03"</f>
        <v>95/12/03</v>
      </c>
      <c r="AC59" s="1" t="str">
        <f>"استان يزد"</f>
        <v>استان يزد</v>
      </c>
      <c r="AD59" s="1" t="str">
        <f>"95/12/04"</f>
        <v>95/12/04</v>
      </c>
      <c r="AE59" s="1" t="str">
        <f t="shared" si="5"/>
        <v>اختتام</v>
      </c>
      <c r="AF59" s="1" t="str">
        <f>""</f>
        <v/>
      </c>
      <c r="AG59" s="1" t="str">
        <f>""</f>
        <v/>
      </c>
      <c r="AH59" s="1" t="str">
        <f>""</f>
        <v/>
      </c>
      <c r="AI59" s="1" t="str">
        <f>""</f>
        <v/>
      </c>
      <c r="AJ59" s="1" t="str">
        <f>""</f>
        <v/>
      </c>
      <c r="AK59" s="1" t="str">
        <f>""</f>
        <v/>
      </c>
    </row>
    <row r="60" spans="1:37" x14ac:dyDescent="0.2">
      <c r="A60" s="1">
        <v>600000</v>
      </c>
      <c r="B60" s="1">
        <v>951100099</v>
      </c>
      <c r="C60" s="1" t="str">
        <f>"تخليه -شهرضا-كارخانه آسفالت شهرداري شهرضا"</f>
        <v>تخليه -شهرضا-كارخانه آسفالت شهرداري شهرضا</v>
      </c>
      <c r="D60" s="1">
        <v>6426</v>
      </c>
      <c r="E60" s="1">
        <v>598900</v>
      </c>
      <c r="F60" s="1">
        <v>95</v>
      </c>
      <c r="G60" s="1">
        <v>1100</v>
      </c>
      <c r="H60" s="1" t="str">
        <f>"95/05/19"</f>
        <v>95/05/19</v>
      </c>
      <c r="I60" s="1" t="str">
        <f t="shared" si="0"/>
        <v>كيلوگرم</v>
      </c>
      <c r="J60" s="1" t="str">
        <f t="shared" si="6"/>
        <v>0000000076</v>
      </c>
      <c r="K60" s="1" t="str">
        <f t="shared" si="7"/>
        <v>قير 60/70 - فله</v>
      </c>
      <c r="L60" s="1">
        <v>100</v>
      </c>
      <c r="M60" s="1" t="str">
        <f t="shared" si="1"/>
        <v>مخازن قير اصفهان</v>
      </c>
      <c r="N60" s="1">
        <v>1701</v>
      </c>
      <c r="O60" s="1">
        <v>50031495</v>
      </c>
      <c r="P60" s="1" t="str">
        <f>"  شهرداري شهرضا"</f>
        <v xml:space="preserve">  شهرداري شهرضا</v>
      </c>
      <c r="Q60" s="1">
        <v>11</v>
      </c>
      <c r="R60" s="1" t="str">
        <f>"فروش داخلي تهران - بورس"</f>
        <v>فروش داخلي تهران - بورس</v>
      </c>
      <c r="S60" s="1" t="str">
        <f t="shared" si="2"/>
        <v>قرارداد فروش</v>
      </c>
      <c r="T60" s="1" t="str">
        <f t="shared" si="3"/>
        <v>ندارد</v>
      </c>
      <c r="U60" s="1" t="str">
        <f>"علي عابدي ابوالقاسم(1003ج89)"</f>
        <v>علي عابدي ابوالقاسم(1003ج89)</v>
      </c>
      <c r="V60" s="1">
        <v>951100099</v>
      </c>
      <c r="W60" s="1">
        <v>951100099</v>
      </c>
      <c r="X60" s="1" t="str">
        <f>"1395421748"</f>
        <v>1395421748</v>
      </c>
      <c r="Y60" s="1" t="str">
        <f>"95/05/17"</f>
        <v>95/05/17</v>
      </c>
      <c r="Z60" s="1" t="str">
        <f>"10364"</f>
        <v>10364</v>
      </c>
      <c r="AA60" s="1" t="str">
        <f>"شهرداريها"</f>
        <v>شهرداريها</v>
      </c>
      <c r="AB60" s="1" t="str">
        <f>"95/05/05"</f>
        <v>95/05/05</v>
      </c>
      <c r="AC60" s="1" t="str">
        <f>"استان اصفهان"</f>
        <v>استان اصفهان</v>
      </c>
      <c r="AD60" s="1" t="str">
        <f>"95/05/17"</f>
        <v>95/05/17</v>
      </c>
      <c r="AE60" s="1" t="str">
        <f t="shared" si="5"/>
        <v>اختتام</v>
      </c>
      <c r="AF60" s="1" t="str">
        <f>""</f>
        <v/>
      </c>
      <c r="AG60" s="1" t="str">
        <f>""</f>
        <v/>
      </c>
      <c r="AH60" s="1" t="str">
        <f>""</f>
        <v/>
      </c>
      <c r="AI60" s="1" t="str">
        <f>""</f>
        <v/>
      </c>
      <c r="AJ60" s="1" t="str">
        <f>""</f>
        <v/>
      </c>
      <c r="AK60" s="1" t="str">
        <f>""</f>
        <v/>
      </c>
    </row>
    <row r="61" spans="1:37" x14ac:dyDescent="0.2">
      <c r="A61" s="1">
        <v>150000</v>
      </c>
      <c r="B61" s="1">
        <v>951100155</v>
      </c>
      <c r="C61" s="1" t="str">
        <f>"تخليه -شهرضا-كارخانه آسفالت شهرداري شهرضا"</f>
        <v>تخليه -شهرضا-كارخانه آسفالت شهرداري شهرضا</v>
      </c>
      <c r="D61" s="1">
        <v>7026</v>
      </c>
      <c r="E61" s="1">
        <v>149640</v>
      </c>
      <c r="F61" s="1">
        <v>95</v>
      </c>
      <c r="G61" s="1">
        <v>360</v>
      </c>
      <c r="H61" s="1" t="str">
        <f>"95/09/20"</f>
        <v>95/09/20</v>
      </c>
      <c r="I61" s="1" t="str">
        <f t="shared" si="0"/>
        <v>كيلوگرم</v>
      </c>
      <c r="J61" s="1" t="str">
        <f t="shared" si="6"/>
        <v>0000000076</v>
      </c>
      <c r="K61" s="1" t="str">
        <f t="shared" si="7"/>
        <v>قير 60/70 - فله</v>
      </c>
      <c r="L61" s="1">
        <v>100</v>
      </c>
      <c r="M61" s="1" t="str">
        <f t="shared" si="1"/>
        <v>مخازن قير اصفهان</v>
      </c>
      <c r="N61" s="1">
        <v>1701</v>
      </c>
      <c r="O61" s="1">
        <v>50032954</v>
      </c>
      <c r="P61" s="1" t="str">
        <f>"  شهرداري شهرضا"</f>
        <v xml:space="preserve">  شهرداري شهرضا</v>
      </c>
      <c r="Q61" s="1">
        <v>11</v>
      </c>
      <c r="R61" s="1" t="str">
        <f>"فروش داخلي تهران - بورس"</f>
        <v>فروش داخلي تهران - بورس</v>
      </c>
      <c r="S61" s="1" t="str">
        <f t="shared" si="2"/>
        <v>قرارداد فروش</v>
      </c>
      <c r="T61" s="1" t="str">
        <f t="shared" si="3"/>
        <v>ندارد</v>
      </c>
      <c r="U61" s="1" t="str">
        <f>"علي عابدي ابوالقاسم(1003ج89)"</f>
        <v>علي عابدي ابوالقاسم(1003ج89)</v>
      </c>
      <c r="V61" s="1">
        <v>951100155</v>
      </c>
      <c r="W61" s="1">
        <v>951100155</v>
      </c>
      <c r="X61" s="1" t="str">
        <f>"1395449859"</f>
        <v>1395449859</v>
      </c>
      <c r="Y61" s="1" t="str">
        <f>"95/09/17"</f>
        <v>95/09/17</v>
      </c>
      <c r="Z61" s="1" t="str">
        <f>"18838"</f>
        <v>18838</v>
      </c>
      <c r="AA61" s="1" t="str">
        <f>"شهرداريها"</f>
        <v>شهرداريها</v>
      </c>
      <c r="AB61" s="1" t="str">
        <f>"95/08/22"</f>
        <v>95/08/22</v>
      </c>
      <c r="AC61" s="1" t="str">
        <f>"استان فارس"</f>
        <v>استان فارس</v>
      </c>
      <c r="AD61" s="1" t="str">
        <f>"95/09/16"</f>
        <v>95/09/16</v>
      </c>
      <c r="AE61" s="1" t="str">
        <f t="shared" si="5"/>
        <v>اختتام</v>
      </c>
      <c r="AF61" s="1" t="str">
        <f>""</f>
        <v/>
      </c>
      <c r="AG61" s="1" t="str">
        <f>""</f>
        <v/>
      </c>
      <c r="AH61" s="1" t="str">
        <f>""</f>
        <v/>
      </c>
      <c r="AI61" s="1" t="str">
        <f>""</f>
        <v/>
      </c>
      <c r="AJ61" s="1" t="str">
        <f>""</f>
        <v/>
      </c>
      <c r="AK61" s="1" t="str">
        <f>""</f>
        <v/>
      </c>
    </row>
    <row r="62" spans="1:37" x14ac:dyDescent="0.2">
      <c r="A62" s="1">
        <v>300000</v>
      </c>
      <c r="B62" s="1">
        <v>951100015</v>
      </c>
      <c r="C62" s="1" t="str">
        <f>"تخليه -دليجان -شهرک صنعتي -سراپوش دليجان"</f>
        <v>تخليه -دليجان -شهرک صنعتي -سراپوش دليجان</v>
      </c>
      <c r="D62" s="1">
        <v>5200</v>
      </c>
      <c r="E62" s="1">
        <v>298040</v>
      </c>
      <c r="F62" s="1">
        <v>95</v>
      </c>
      <c r="G62" s="1">
        <v>1960</v>
      </c>
      <c r="H62" s="1" t="str">
        <f>"95/01/30"</f>
        <v>95/01/30</v>
      </c>
      <c r="I62" s="1" t="str">
        <f t="shared" si="0"/>
        <v>كيلوگرم</v>
      </c>
      <c r="J62" s="1" t="str">
        <f t="shared" si="6"/>
        <v>0000000076</v>
      </c>
      <c r="K62" s="1" t="str">
        <f t="shared" si="7"/>
        <v>قير 60/70 - فله</v>
      </c>
      <c r="L62" s="1">
        <v>100</v>
      </c>
      <c r="M62" s="1" t="str">
        <f t="shared" si="1"/>
        <v>مخازن قير اصفهان</v>
      </c>
      <c r="N62" s="1">
        <v>1545</v>
      </c>
      <c r="O62" s="1">
        <v>50030577</v>
      </c>
      <c r="P62" s="1" t="str">
        <f>"  سرا پوش دليجان"</f>
        <v xml:space="preserve">  سرا پوش دليجان</v>
      </c>
      <c r="Q62" s="1">
        <v>11</v>
      </c>
      <c r="R62" s="1" t="str">
        <f>"فروش داخلي تهران - بورس"</f>
        <v>فروش داخلي تهران - بورس</v>
      </c>
      <c r="S62" s="1" t="str">
        <f t="shared" si="2"/>
        <v>قرارداد فروش</v>
      </c>
      <c r="T62" s="1" t="str">
        <f t="shared" si="3"/>
        <v>ندارد</v>
      </c>
      <c r="U62" s="1" t="str">
        <f>"جلالي حميد(1901084)"</f>
        <v>جلالي حميد(1901084)</v>
      </c>
      <c r="V62" s="1">
        <v>951100015</v>
      </c>
      <c r="W62" s="1">
        <v>951100015</v>
      </c>
      <c r="X62" s="1" t="str">
        <f>"1395399732"</f>
        <v>1395399732</v>
      </c>
      <c r="Y62" s="1" t="str">
        <f>"95/01/29"</f>
        <v>95/01/29</v>
      </c>
      <c r="Z62" s="1" t="str">
        <f>"95-34213"</f>
        <v>95-34213</v>
      </c>
      <c r="AA62" s="1" t="str">
        <f>"آسفالت سازان"</f>
        <v>آسفالت سازان</v>
      </c>
      <c r="AB62" s="1" t="str">
        <f>"95/01/29"</f>
        <v>95/01/29</v>
      </c>
      <c r="AC62" s="1" t="str">
        <f>"استان اصفهان"</f>
        <v>استان اصفهان</v>
      </c>
      <c r="AD62" s="1" t="str">
        <f>"95/01/25"</f>
        <v>95/01/25</v>
      </c>
      <c r="AE62" s="1" t="str">
        <f t="shared" si="5"/>
        <v>اختتام</v>
      </c>
      <c r="AF62" s="1" t="str">
        <f>""</f>
        <v/>
      </c>
      <c r="AG62" s="1" t="str">
        <f>""</f>
        <v/>
      </c>
      <c r="AH62" s="1" t="str">
        <f>""</f>
        <v/>
      </c>
      <c r="AI62" s="1" t="str">
        <f>""</f>
        <v/>
      </c>
      <c r="AJ62" s="1" t="str">
        <f>""</f>
        <v/>
      </c>
      <c r="AK62" s="1" t="str">
        <f>""</f>
        <v/>
      </c>
    </row>
    <row r="63" spans="1:37" x14ac:dyDescent="0.2">
      <c r="A63" s="1">
        <v>200000</v>
      </c>
      <c r="B63" s="1">
        <v>951100016</v>
      </c>
      <c r="C63" s="1" t="str">
        <f>"تخليه -دليجان -شهرک صنعتي -سراپوش دليجان"</f>
        <v>تخليه -دليجان -شهرک صنعتي -سراپوش دليجان</v>
      </c>
      <c r="D63" s="1">
        <v>5200</v>
      </c>
      <c r="E63" s="1">
        <v>200000</v>
      </c>
      <c r="F63" s="1">
        <v>95</v>
      </c>
      <c r="G63" s="1">
        <v>0</v>
      </c>
      <c r="H63" s="1" t="str">
        <f>"95/01/30"</f>
        <v>95/01/30</v>
      </c>
      <c r="I63" s="1" t="str">
        <f t="shared" si="0"/>
        <v>كيلوگرم</v>
      </c>
      <c r="J63" s="1" t="str">
        <f t="shared" si="6"/>
        <v>0000000076</v>
      </c>
      <c r="K63" s="1" t="str">
        <f t="shared" si="7"/>
        <v>قير 60/70 - فله</v>
      </c>
      <c r="L63" s="1">
        <v>100</v>
      </c>
      <c r="M63" s="1" t="str">
        <f t="shared" si="1"/>
        <v>مخازن قير اصفهان</v>
      </c>
      <c r="N63" s="1">
        <v>1545</v>
      </c>
      <c r="O63" s="1">
        <v>50030579</v>
      </c>
      <c r="P63" s="1" t="str">
        <f>"  سرا پوش دليجان"</f>
        <v xml:space="preserve">  سرا پوش دليجان</v>
      </c>
      <c r="Q63" s="1">
        <v>11</v>
      </c>
      <c r="R63" s="1" t="str">
        <f>"فروش داخلي تهران - بورس"</f>
        <v>فروش داخلي تهران - بورس</v>
      </c>
      <c r="S63" s="1" t="str">
        <f t="shared" si="2"/>
        <v>قرارداد فروش</v>
      </c>
      <c r="T63" s="1" t="str">
        <f t="shared" si="3"/>
        <v>ندارد</v>
      </c>
      <c r="U63" s="1" t="str">
        <f>"جلالي حميد(1901084)"</f>
        <v>جلالي حميد(1901084)</v>
      </c>
      <c r="V63" s="1">
        <v>951100016</v>
      </c>
      <c r="W63" s="1">
        <v>951100016</v>
      </c>
      <c r="X63" s="1" t="str">
        <f>"1395399110"</f>
        <v>1395399110</v>
      </c>
      <c r="Y63" s="1" t="str">
        <f>"95/01/29"</f>
        <v>95/01/29</v>
      </c>
      <c r="Z63" s="1" t="str">
        <f>"95-34212"</f>
        <v>95-34212</v>
      </c>
      <c r="AA63" s="1" t="str">
        <f>"آسفالت سازان"</f>
        <v>آسفالت سازان</v>
      </c>
      <c r="AB63" s="1" t="str">
        <f>"95/01/29"</f>
        <v>95/01/29</v>
      </c>
      <c r="AC63" s="1" t="str">
        <f>"استان اصفهان"</f>
        <v>استان اصفهان</v>
      </c>
      <c r="AD63" s="1" t="str">
        <f>"95/01/24"</f>
        <v>95/01/24</v>
      </c>
      <c r="AE63" s="1" t="str">
        <f t="shared" si="5"/>
        <v>اختتام</v>
      </c>
      <c r="AF63" s="1" t="str">
        <f>""</f>
        <v/>
      </c>
      <c r="AG63" s="1" t="str">
        <f>""</f>
        <v/>
      </c>
      <c r="AH63" s="1" t="str">
        <f>""</f>
        <v/>
      </c>
      <c r="AI63" s="1" t="str">
        <f>""</f>
        <v/>
      </c>
      <c r="AJ63" s="1" t="str">
        <f>""</f>
        <v/>
      </c>
      <c r="AK63" s="1" t="str">
        <f>""</f>
        <v/>
      </c>
    </row>
    <row r="64" spans="1:37" x14ac:dyDescent="0.2">
      <c r="A64" s="1">
        <v>176000</v>
      </c>
      <c r="B64" s="1">
        <v>956300004</v>
      </c>
      <c r="C64" s="1" t="str">
        <f>"تخليه -خراسان جنوبي -شهرستان فردوس-كيلومتر5جاده سرايان  -کارخانه آسفالت شهرداري فردوس"</f>
        <v>تخليه -خراسان جنوبي -شهرستان فردوس-كيلومتر5جاده سرايان  -کارخانه آسفالت شهرداري فردوس</v>
      </c>
      <c r="D64" s="1">
        <v>7026</v>
      </c>
      <c r="E64" s="1">
        <v>175280</v>
      </c>
      <c r="F64" s="1">
        <v>95</v>
      </c>
      <c r="G64" s="1">
        <v>720</v>
      </c>
      <c r="H64" s="1" t="str">
        <f>"95/09/22"</f>
        <v>95/09/22</v>
      </c>
      <c r="I64" s="1" t="str">
        <f t="shared" si="0"/>
        <v>كيلوگرم</v>
      </c>
      <c r="J64" s="1" t="str">
        <f t="shared" si="6"/>
        <v>0000000076</v>
      </c>
      <c r="K64" s="1" t="str">
        <f t="shared" si="7"/>
        <v>قير 60/70 - فله</v>
      </c>
      <c r="L64" s="1">
        <v>100</v>
      </c>
      <c r="M64" s="1" t="str">
        <f t="shared" si="1"/>
        <v>مخازن قير اصفهان</v>
      </c>
      <c r="N64" s="1">
        <v>4008</v>
      </c>
      <c r="O64" s="1">
        <v>50032992</v>
      </c>
      <c r="P64" s="1" t="str">
        <f>"  شهرداري فردوس"</f>
        <v xml:space="preserve">  شهرداري فردوس</v>
      </c>
      <c r="Q64" s="1">
        <v>63</v>
      </c>
      <c r="R64" s="1" t="str">
        <f>"سازمان نوسازي،توسعه و تجهيز مدارس كشور"</f>
        <v>سازمان نوسازي،توسعه و تجهيز مدارس كشور</v>
      </c>
      <c r="S64" s="1" t="str">
        <f t="shared" si="2"/>
        <v>قرارداد فروش</v>
      </c>
      <c r="T64" s="1" t="str">
        <f t="shared" si="3"/>
        <v>ندارد</v>
      </c>
      <c r="U64" s="1" t="str">
        <f>"آقا علي منوچهر(1016ج89)"</f>
        <v>آقا علي منوچهر(1016ج89)</v>
      </c>
      <c r="V64" s="1">
        <v>956300004</v>
      </c>
      <c r="W64" s="1">
        <v>956300004</v>
      </c>
      <c r="X64" s="1" t="str">
        <f>"1395451345"</f>
        <v>1395451345</v>
      </c>
      <c r="Y64" s="1" t="str">
        <f>"95/09/22"</f>
        <v>95/09/22</v>
      </c>
      <c r="Z64" s="1" t="str">
        <f>"3095/19-8665"</f>
        <v>3095/19-8665</v>
      </c>
      <c r="AA64" s="1" t="str">
        <f>"سازمان نوسازي توسعه وتجهيزمدارس كشور"</f>
        <v>سازمان نوسازي توسعه وتجهيزمدارس كشور</v>
      </c>
      <c r="AB64" s="1" t="str">
        <f>"95/09/04"</f>
        <v>95/09/04</v>
      </c>
      <c r="AC64" s="1" t="str">
        <f>"خراسان جنوبي"</f>
        <v>خراسان جنوبي</v>
      </c>
      <c r="AD64" s="1" t="str">
        <f>"95/09/21"</f>
        <v>95/09/21</v>
      </c>
      <c r="AE64" s="1" t="str">
        <f t="shared" si="5"/>
        <v>اختتام</v>
      </c>
      <c r="AF64" s="1" t="str">
        <f>""</f>
        <v/>
      </c>
      <c r="AG64" s="1" t="str">
        <f>""</f>
        <v/>
      </c>
      <c r="AH64" s="1" t="str">
        <f>""</f>
        <v/>
      </c>
      <c r="AI64" s="1" t="str">
        <f>""</f>
        <v/>
      </c>
      <c r="AJ64" s="1" t="str">
        <f>""</f>
        <v/>
      </c>
      <c r="AK64" s="1" t="str">
        <f>""</f>
        <v/>
      </c>
    </row>
    <row r="65" spans="1:37" x14ac:dyDescent="0.2">
      <c r="A65" s="1">
        <v>209000</v>
      </c>
      <c r="B65" s="1">
        <v>956300010</v>
      </c>
      <c r="C65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65" s="1">
        <v>8861</v>
      </c>
      <c r="E65" s="1">
        <v>208240</v>
      </c>
      <c r="F65" s="1">
        <v>95</v>
      </c>
      <c r="G65" s="1">
        <v>760</v>
      </c>
      <c r="H65" s="1" t="str">
        <f>"95/10/15"</f>
        <v>95/10/15</v>
      </c>
      <c r="I65" s="1" t="str">
        <f t="shared" si="0"/>
        <v>كيلوگرم</v>
      </c>
      <c r="J65" s="1" t="str">
        <f t="shared" si="6"/>
        <v>0000000076</v>
      </c>
      <c r="K65" s="1" t="str">
        <f t="shared" si="7"/>
        <v>قير 60/70 - فله</v>
      </c>
      <c r="L65" s="1">
        <v>100</v>
      </c>
      <c r="M65" s="1" t="str">
        <f t="shared" si="1"/>
        <v>مخازن قير اصفهان</v>
      </c>
      <c r="N65" s="1">
        <v>4046</v>
      </c>
      <c r="O65" s="1">
        <v>50033295</v>
      </c>
      <c r="P65" s="1" t="str">
        <f>"  شهرداري قاين"</f>
        <v xml:space="preserve">  شهرداري قاين</v>
      </c>
      <c r="Q65" s="1">
        <v>63</v>
      </c>
      <c r="R65" s="1" t="str">
        <f>"سازمان نوسازي،توسعه و تجهيز مدارس كشور"</f>
        <v>سازمان نوسازي،توسعه و تجهيز مدارس كشور</v>
      </c>
      <c r="S65" s="1" t="str">
        <f t="shared" si="2"/>
        <v>قرارداد فروش</v>
      </c>
      <c r="T65" s="1" t="str">
        <f t="shared" si="3"/>
        <v>ندارد</v>
      </c>
      <c r="U65" s="1" t="str">
        <f>"آقا علي منوچهر(1016ج89)"</f>
        <v>آقا علي منوچهر(1016ج89)</v>
      </c>
      <c r="V65" s="1">
        <v>956300010</v>
      </c>
      <c r="W65" s="1">
        <v>956300010</v>
      </c>
      <c r="X65" s="1" t="str">
        <f>"1395457278"</f>
        <v>1395457278</v>
      </c>
      <c r="Y65" s="1" t="str">
        <f>"95/10/15"</f>
        <v>95/10/15</v>
      </c>
      <c r="Z65" s="1" t="str">
        <f>"3095/19-8678"</f>
        <v>3095/19-8678</v>
      </c>
      <c r="AA65" s="1" t="str">
        <f>"سازمان نوسازي توسعه وتجهيزمدارس كشور"</f>
        <v>سازمان نوسازي توسعه وتجهيزمدارس كشور</v>
      </c>
      <c r="AB65" s="1" t="str">
        <f>"95/09/04"</f>
        <v>95/09/04</v>
      </c>
      <c r="AC65" s="1" t="str">
        <f>"خراسان جنوبي"</f>
        <v>خراسان جنوبي</v>
      </c>
      <c r="AD65" s="1" t="str">
        <f>"95/10/15"</f>
        <v>95/10/15</v>
      </c>
      <c r="AE65" s="1" t="str">
        <f t="shared" si="5"/>
        <v>اختتام</v>
      </c>
      <c r="AF65" s="1" t="str">
        <f>""</f>
        <v/>
      </c>
      <c r="AG65" s="1" t="str">
        <f>""</f>
        <v/>
      </c>
      <c r="AH65" s="1" t="str">
        <f>""</f>
        <v/>
      </c>
      <c r="AI65" s="1" t="str">
        <f>""</f>
        <v/>
      </c>
      <c r="AJ65" s="1" t="str">
        <f>""</f>
        <v/>
      </c>
      <c r="AK65" s="1" t="str">
        <f>""</f>
        <v/>
      </c>
    </row>
    <row r="66" spans="1:37" x14ac:dyDescent="0.2">
      <c r="A66" s="1">
        <v>1000000</v>
      </c>
      <c r="B66" s="1">
        <v>951100005</v>
      </c>
      <c r="C66" s="1" t="str">
        <f>"تخليه -رفسنجان كارخانه احمدآباد20كيلومتري جاده رفسنجان يزد"</f>
        <v>تخليه -رفسنجان كارخانه احمدآباد20كيلومتري جاده رفسنجان يزد</v>
      </c>
      <c r="D66" s="1">
        <v>5200</v>
      </c>
      <c r="E66" s="1">
        <v>999760</v>
      </c>
      <c r="F66" s="1">
        <v>95</v>
      </c>
      <c r="G66" s="1">
        <v>240</v>
      </c>
      <c r="H66" s="1" t="str">
        <f>"95/01/28"</f>
        <v>95/01/28</v>
      </c>
      <c r="I66" s="1" t="str">
        <f t="shared" ref="I66:I129" si="9">"كيلوگرم"</f>
        <v>كيلوگرم</v>
      </c>
      <c r="J66" s="1" t="str">
        <f t="shared" si="6"/>
        <v>0000000076</v>
      </c>
      <c r="K66" s="1" t="str">
        <f t="shared" si="7"/>
        <v>قير 60/70 - فله</v>
      </c>
      <c r="L66" s="1">
        <v>100</v>
      </c>
      <c r="M66" s="1" t="str">
        <f t="shared" ref="M66:M129" si="10">"مخازن قير اصفهان"</f>
        <v>مخازن قير اصفهان</v>
      </c>
      <c r="N66" s="1">
        <v>4059</v>
      </c>
      <c r="O66" s="1">
        <v>50030528</v>
      </c>
      <c r="P66" s="1" t="str">
        <f>"  شهرداري رفسنجان(00113)"</f>
        <v xml:space="preserve">  شهرداري رفسنجان(00113)</v>
      </c>
      <c r="Q66" s="1">
        <v>11</v>
      </c>
      <c r="R66" s="1" t="str">
        <f>"فروش داخلي تهران - بورس"</f>
        <v>فروش داخلي تهران - بورس</v>
      </c>
      <c r="S66" s="1" t="str">
        <f t="shared" ref="S66:S129" si="11">"قرارداد فروش"</f>
        <v>قرارداد فروش</v>
      </c>
      <c r="T66" s="1" t="str">
        <f t="shared" ref="T66:T129" si="12">"ندارد"</f>
        <v>ندارد</v>
      </c>
      <c r="U66" s="1" t="str">
        <f>"خضرائي فريدون(4844003)"</f>
        <v>خضرائي فريدون(4844003)</v>
      </c>
      <c r="V66" s="1">
        <v>951100005</v>
      </c>
      <c r="W66" s="1">
        <v>951100005</v>
      </c>
      <c r="X66" s="1" t="str">
        <f>"1395399105"</f>
        <v>1395399105</v>
      </c>
      <c r="Y66" s="1" t="str">
        <f>"95/01/25"</f>
        <v>95/01/25</v>
      </c>
      <c r="Z66" s="1" t="str">
        <f>"95-34195"</f>
        <v>95-34195</v>
      </c>
      <c r="AA66" s="1" t="str">
        <f>"شهرداريها"</f>
        <v>شهرداريها</v>
      </c>
      <c r="AB66" s="1" t="str">
        <f>"94/01/25"</f>
        <v>94/01/25</v>
      </c>
      <c r="AC66" s="1" t="str">
        <f>"استان كرمان"</f>
        <v>استان كرمان</v>
      </c>
      <c r="AD66" s="1" t="str">
        <f>"95/01/24"</f>
        <v>95/01/24</v>
      </c>
      <c r="AE66" s="1" t="str">
        <f t="shared" si="5"/>
        <v>اختتام</v>
      </c>
      <c r="AF66" s="1" t="str">
        <f>""</f>
        <v/>
      </c>
      <c r="AG66" s="1" t="str">
        <f>""</f>
        <v/>
      </c>
      <c r="AH66" s="1" t="str">
        <f>""</f>
        <v/>
      </c>
      <c r="AI66" s="1" t="str">
        <f>""</f>
        <v/>
      </c>
      <c r="AJ66" s="1" t="str">
        <f>""</f>
        <v/>
      </c>
      <c r="AK66" s="1" t="str">
        <f>""</f>
        <v/>
      </c>
    </row>
    <row r="67" spans="1:37" x14ac:dyDescent="0.2">
      <c r="A67" s="1">
        <v>207000</v>
      </c>
      <c r="B67" s="1">
        <v>951100192</v>
      </c>
      <c r="C67" s="1" t="str">
        <f>"تخليه -رفسنجان كارخانه احمدآباد20كيلومتري جاده رفسنجان يزد"</f>
        <v>تخليه -رفسنجان كارخانه احمدآباد20كيلومتري جاده رفسنجان يزد</v>
      </c>
      <c r="D67" s="1">
        <v>8848</v>
      </c>
      <c r="E67" s="1">
        <v>206140</v>
      </c>
      <c r="F67" s="1">
        <v>95</v>
      </c>
      <c r="G67" s="1">
        <v>860</v>
      </c>
      <c r="H67" s="1" t="str">
        <f>"95/12/18"</f>
        <v>95/12/18</v>
      </c>
      <c r="I67" s="1" t="str">
        <f t="shared" si="9"/>
        <v>كيلوگرم</v>
      </c>
      <c r="J67" s="1" t="str">
        <f t="shared" si="6"/>
        <v>0000000076</v>
      </c>
      <c r="K67" s="1" t="str">
        <f t="shared" si="7"/>
        <v>قير 60/70 - فله</v>
      </c>
      <c r="L67" s="1">
        <v>100</v>
      </c>
      <c r="M67" s="1" t="str">
        <f t="shared" si="10"/>
        <v>مخازن قير اصفهان</v>
      </c>
      <c r="N67" s="1">
        <v>4059</v>
      </c>
      <c r="O67" s="1">
        <v>50034042</v>
      </c>
      <c r="P67" s="1" t="str">
        <f>"  شهرداري رفسنجان(00113)"</f>
        <v xml:space="preserve">  شهرداري رفسنجان(00113)</v>
      </c>
      <c r="Q67" s="1">
        <v>11</v>
      </c>
      <c r="R67" s="1" t="str">
        <f>"فروش داخلي تهران - بورس"</f>
        <v>فروش داخلي تهران - بورس</v>
      </c>
      <c r="S67" s="1" t="str">
        <f t="shared" si="11"/>
        <v>قرارداد فروش</v>
      </c>
      <c r="T67" s="1" t="str">
        <f t="shared" si="12"/>
        <v>ندارد</v>
      </c>
      <c r="U67" s="1" t="str">
        <f>"خضرائي فريدون(4844003)"</f>
        <v>خضرائي فريدون(4844003)</v>
      </c>
      <c r="V67" s="1">
        <v>951100192</v>
      </c>
      <c r="W67" s="1">
        <v>951100192</v>
      </c>
      <c r="X67" s="1" t="str">
        <f>"1395469069"</f>
        <v>1395469069</v>
      </c>
      <c r="Y67" s="1" t="str">
        <f>"95/12/17"</f>
        <v>95/12/17</v>
      </c>
      <c r="Z67" s="1" t="str">
        <f>"95-35237"</f>
        <v>95-35237</v>
      </c>
      <c r="AA67" s="1" t="str">
        <f>"شهرداريها"</f>
        <v>شهرداريها</v>
      </c>
      <c r="AB67" s="1" t="str">
        <f>"95/12/17"</f>
        <v>95/12/17</v>
      </c>
      <c r="AC67" s="1" t="str">
        <f>"استان يزد"</f>
        <v>استان يزد</v>
      </c>
      <c r="AD67" s="1" t="str">
        <f>"95/12/15"</f>
        <v>95/12/15</v>
      </c>
      <c r="AE67" s="1" t="str">
        <f t="shared" si="5"/>
        <v>اختتام</v>
      </c>
      <c r="AF67" s="1" t="str">
        <f>""</f>
        <v/>
      </c>
      <c r="AG67" s="1" t="str">
        <f>""</f>
        <v/>
      </c>
      <c r="AH67" s="1" t="str">
        <f>""</f>
        <v/>
      </c>
      <c r="AI67" s="1" t="str">
        <f>""</f>
        <v/>
      </c>
      <c r="AJ67" s="1" t="str">
        <f>""</f>
        <v/>
      </c>
      <c r="AK67" s="1" t="str">
        <f>""</f>
        <v/>
      </c>
    </row>
    <row r="68" spans="1:37" x14ac:dyDescent="0.2">
      <c r="A68" s="1">
        <v>100000</v>
      </c>
      <c r="B68" s="1">
        <v>951100047</v>
      </c>
      <c r="C68" s="1" t="str">
        <f>"تخليه -دليجان -کيلومتر5جاده اصفهان شهرک صنعتي خ بهار5"</f>
        <v>تخليه -دليجان -کيلومتر5جاده اصفهان شهرک صنعتي خ بهار5</v>
      </c>
      <c r="D68" s="1">
        <v>5650</v>
      </c>
      <c r="E68" s="1">
        <v>98660</v>
      </c>
      <c r="F68" s="1">
        <v>95</v>
      </c>
      <c r="G68" s="1">
        <v>1340</v>
      </c>
      <c r="H68" s="1" t="str">
        <f>"95/02/25"</f>
        <v>95/02/25</v>
      </c>
      <c r="I68" s="1" t="str">
        <f t="shared" si="9"/>
        <v>كيلوگرم</v>
      </c>
      <c r="J68" s="1" t="str">
        <f t="shared" si="6"/>
        <v>0000000076</v>
      </c>
      <c r="K68" s="1" t="str">
        <f t="shared" si="7"/>
        <v>قير 60/70 - فله</v>
      </c>
      <c r="L68" s="1">
        <v>100</v>
      </c>
      <c r="M68" s="1" t="str">
        <f t="shared" si="10"/>
        <v>مخازن قير اصفهان</v>
      </c>
      <c r="N68" s="1">
        <v>1559</v>
      </c>
      <c r="O68" s="1">
        <v>50030821</v>
      </c>
      <c r="P68" s="1" t="str">
        <f>"  گيتي بام دليجان"</f>
        <v xml:space="preserve">  گيتي بام دليجان</v>
      </c>
      <c r="Q68" s="1">
        <v>11</v>
      </c>
      <c r="R68" s="1" t="str">
        <f>"فروش داخلي تهران - بورس"</f>
        <v>فروش داخلي تهران - بورس</v>
      </c>
      <c r="S68" s="1" t="str">
        <f t="shared" si="11"/>
        <v>قرارداد فروش</v>
      </c>
      <c r="T68" s="1" t="str">
        <f t="shared" si="12"/>
        <v>ندارد</v>
      </c>
      <c r="U68" s="1" t="str">
        <f>"سيفي پور گودرز(1019ج89)"</f>
        <v>سيفي پور گودرز(1019ج89)</v>
      </c>
      <c r="V68" s="1">
        <v>951100047</v>
      </c>
      <c r="W68" s="1">
        <v>951100047</v>
      </c>
      <c r="X68" s="1" t="str">
        <f>"1395403181"</f>
        <v>1395403181</v>
      </c>
      <c r="Y68" s="1" t="str">
        <f>"95/02/22"</f>
        <v>95/02/22</v>
      </c>
      <c r="Z68" s="1" t="str">
        <f>"95-34367"</f>
        <v>95-34367</v>
      </c>
      <c r="AA68" s="1" t="str">
        <f>"راه سازي"</f>
        <v>راه سازي</v>
      </c>
      <c r="AB68" s="1" t="str">
        <f>"95/02/22"</f>
        <v>95/02/22</v>
      </c>
      <c r="AC68" s="1" t="str">
        <f>"استان مركزي"</f>
        <v>استان مركزي</v>
      </c>
      <c r="AD68" s="1" t="str">
        <f>"95/02/19"</f>
        <v>95/02/19</v>
      </c>
      <c r="AE68" s="1" t="str">
        <f t="shared" si="5"/>
        <v>اختتام</v>
      </c>
      <c r="AF68" s="1" t="str">
        <f>""</f>
        <v/>
      </c>
      <c r="AG68" s="1" t="str">
        <f>""</f>
        <v/>
      </c>
      <c r="AH68" s="1" t="str">
        <f>""</f>
        <v/>
      </c>
      <c r="AI68" s="1" t="str">
        <f>""</f>
        <v/>
      </c>
      <c r="AJ68" s="1" t="str">
        <f>""</f>
        <v/>
      </c>
      <c r="AK68" s="1" t="str">
        <f>""</f>
        <v/>
      </c>
    </row>
    <row r="69" spans="1:37" x14ac:dyDescent="0.2">
      <c r="A69" s="1">
        <v>37000</v>
      </c>
      <c r="B69" s="1">
        <v>956200324</v>
      </c>
      <c r="C69" s="1" t="str">
        <f>"تخليه - کرمان-رفسنجان - کيلومتر 20 جاده رفسنجان - يزد"</f>
        <v>تخليه - کرمان-رفسنجان - کيلومتر 20 جاده رفسنجان - يزد</v>
      </c>
      <c r="D69" s="1">
        <v>8848</v>
      </c>
      <c r="E69" s="1">
        <v>37000</v>
      </c>
      <c r="F69" s="1">
        <v>95</v>
      </c>
      <c r="G69" s="1">
        <v>0</v>
      </c>
      <c r="H69" s="1" t="str">
        <f>"95/12/14"</f>
        <v>95/12/14</v>
      </c>
      <c r="I69" s="1" t="str">
        <f t="shared" si="9"/>
        <v>كيلوگرم</v>
      </c>
      <c r="J69" s="1" t="str">
        <f t="shared" si="6"/>
        <v>0000000076</v>
      </c>
      <c r="K69" s="1" t="str">
        <f t="shared" si="7"/>
        <v>قير 60/70 - فله</v>
      </c>
      <c r="L69" s="1">
        <v>100</v>
      </c>
      <c r="M69" s="1" t="str">
        <f t="shared" si="10"/>
        <v>مخازن قير اصفهان</v>
      </c>
      <c r="N69" s="1">
        <v>4092</v>
      </c>
      <c r="O69" s="1">
        <v>50033993</v>
      </c>
      <c r="P69" s="1" t="str">
        <f>"  راهسازي و ساختماني پ بل"</f>
        <v xml:space="preserve">  راهسازي و ساختماني پ بل</v>
      </c>
      <c r="Q69" s="1">
        <v>62</v>
      </c>
      <c r="R69" s="1" t="str">
        <f>"فروش داخلي - سازمان بنيادمسكن انقلاب اسلامي"</f>
        <v>فروش داخلي - سازمان بنيادمسكن انقلاب اسلامي</v>
      </c>
      <c r="S69" s="1" t="str">
        <f t="shared" si="11"/>
        <v>قرارداد فروش</v>
      </c>
      <c r="T69" s="1" t="str">
        <f t="shared" si="12"/>
        <v>ندارد</v>
      </c>
      <c r="U69" s="1" t="str">
        <f>"خضرائي فريدون(4844003)"</f>
        <v>خضرائي فريدون(4844003)</v>
      </c>
      <c r="V69" s="1">
        <v>956200324</v>
      </c>
      <c r="W69" s="1">
        <v>956200324</v>
      </c>
      <c r="X69" s="1" t="str">
        <f>"1395468928"</f>
        <v>1395468928</v>
      </c>
      <c r="Y69" s="1" t="str">
        <f>"95/12/14"</f>
        <v>95/12/14</v>
      </c>
      <c r="Z69" s="1" t="str">
        <f>"54957/د"</f>
        <v>54957/د</v>
      </c>
      <c r="AA69" s="1" t="str">
        <f>"بنيادمسكن انقلاب اسلامي"</f>
        <v>بنيادمسكن انقلاب اسلامي</v>
      </c>
      <c r="AB69" s="1" t="str">
        <f>"95/12/14"</f>
        <v>95/12/14</v>
      </c>
      <c r="AC69" s="1" t="str">
        <f>"استان كرمان"</f>
        <v>استان كرمان</v>
      </c>
      <c r="AD69" s="1" t="str">
        <f>"95/12/14"</f>
        <v>95/12/14</v>
      </c>
      <c r="AE69" s="1" t="str">
        <f t="shared" si="5"/>
        <v>اختتام</v>
      </c>
      <c r="AF69" s="1" t="str">
        <f>""</f>
        <v/>
      </c>
      <c r="AG69" s="1" t="str">
        <f>""</f>
        <v/>
      </c>
      <c r="AH69" s="1" t="str">
        <f>""</f>
        <v/>
      </c>
      <c r="AI69" s="1" t="str">
        <f>""</f>
        <v/>
      </c>
      <c r="AJ69" s="1" t="str">
        <f>""</f>
        <v/>
      </c>
      <c r="AK69" s="1" t="str">
        <f>""</f>
        <v/>
      </c>
    </row>
    <row r="70" spans="1:37" x14ac:dyDescent="0.2">
      <c r="A70" s="1">
        <v>55000</v>
      </c>
      <c r="B70" s="1">
        <v>956200347</v>
      </c>
      <c r="C70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70" s="1">
        <v>8848</v>
      </c>
      <c r="E70" s="1">
        <v>55000</v>
      </c>
      <c r="F70" s="1">
        <v>95</v>
      </c>
      <c r="G70" s="1">
        <v>0</v>
      </c>
      <c r="H70" s="1" t="str">
        <f>"95/12/22"</f>
        <v>95/12/22</v>
      </c>
      <c r="I70" s="1" t="str">
        <f t="shared" si="9"/>
        <v>كيلوگرم</v>
      </c>
      <c r="J70" s="1" t="str">
        <f t="shared" si="6"/>
        <v>0000000076</v>
      </c>
      <c r="K70" s="1" t="str">
        <f t="shared" si="7"/>
        <v>قير 60/70 - فله</v>
      </c>
      <c r="L70" s="1">
        <v>100</v>
      </c>
      <c r="M70" s="1" t="str">
        <f t="shared" si="10"/>
        <v>مخازن قير اصفهان</v>
      </c>
      <c r="N70" s="1">
        <v>4106</v>
      </c>
      <c r="O70" s="1">
        <v>50034129</v>
      </c>
      <c r="P70" s="1" t="str">
        <f>"  سپيد راه كيان"</f>
        <v xml:space="preserve">  سپيد راه كيان</v>
      </c>
      <c r="Q70" s="1">
        <v>62</v>
      </c>
      <c r="R70" s="1" t="str">
        <f>"فروش داخلي - سازمان بنيادمسكن انقلاب اسلامي"</f>
        <v>فروش داخلي - سازمان بنيادمسكن انقلاب اسلامي</v>
      </c>
      <c r="S70" s="1" t="str">
        <f t="shared" si="11"/>
        <v>قرارداد فروش</v>
      </c>
      <c r="T70" s="1" t="str">
        <f t="shared" si="12"/>
        <v>ندارد</v>
      </c>
      <c r="U70" s="1" t="str">
        <f>"شيشه بر كريم(1841016)"</f>
        <v>شيشه بر كريم(1841016)</v>
      </c>
      <c r="V70" s="1">
        <v>956200347</v>
      </c>
      <c r="W70" s="1">
        <v>956200347</v>
      </c>
      <c r="X70" s="1" t="str">
        <f>"1395470439"</f>
        <v>1395470439</v>
      </c>
      <c r="Y70" s="1" t="str">
        <f>"95/12/22"</f>
        <v>95/12/22</v>
      </c>
      <c r="Z70" s="1" t="str">
        <f>"56719/د"</f>
        <v>56719/د</v>
      </c>
      <c r="AA70" s="1" t="str">
        <f>"بنيادمسكن انقلاب اسلامي"</f>
        <v>بنيادمسكن انقلاب اسلامي</v>
      </c>
      <c r="AB70" s="1" t="str">
        <f>"95/12/21"</f>
        <v>95/12/21</v>
      </c>
      <c r="AC70" s="1" t="str">
        <f>"استان گلستان"</f>
        <v>استان گلستان</v>
      </c>
      <c r="AD70" s="1" t="str">
        <f>"95/12/22"</f>
        <v>95/12/22</v>
      </c>
      <c r="AE70" s="1" t="str">
        <f t="shared" ref="AE70:AE77" si="13">"اختتام"</f>
        <v>اختتام</v>
      </c>
      <c r="AF70" s="1" t="str">
        <f>""</f>
        <v/>
      </c>
      <c r="AG70" s="1" t="str">
        <f>""</f>
        <v/>
      </c>
      <c r="AH70" s="1" t="str">
        <f>""</f>
        <v/>
      </c>
      <c r="AI70" s="1" t="str">
        <f>""</f>
        <v/>
      </c>
      <c r="AJ70" s="1" t="str">
        <f>""</f>
        <v/>
      </c>
      <c r="AK70" s="1" t="str">
        <f>""</f>
        <v/>
      </c>
    </row>
    <row r="71" spans="1:37" x14ac:dyDescent="0.2">
      <c r="A71" s="1">
        <v>500000</v>
      </c>
      <c r="B71" s="1">
        <v>951100184</v>
      </c>
      <c r="C71" s="1" t="str">
        <f>"تخليه -زابل -کيلومتر5جاده زابل نهبندان -کارخانه شهرداري زابل"</f>
        <v>تخليه -زابل -کيلومتر5جاده زابل نهبندان -کارخانه شهرداري زابل</v>
      </c>
      <c r="D71" s="1">
        <v>8861</v>
      </c>
      <c r="E71" s="1">
        <v>498540</v>
      </c>
      <c r="F71" s="1">
        <v>95</v>
      </c>
      <c r="G71" s="1">
        <v>1460</v>
      </c>
      <c r="H71" s="1" t="str">
        <f>"95/11/17"</f>
        <v>95/11/17</v>
      </c>
      <c r="I71" s="1" t="str">
        <f t="shared" si="9"/>
        <v>كيلوگرم</v>
      </c>
      <c r="J71" s="1" t="str">
        <f t="shared" si="6"/>
        <v>0000000076</v>
      </c>
      <c r="K71" s="1" t="str">
        <f t="shared" si="7"/>
        <v>قير 60/70 - فله</v>
      </c>
      <c r="L71" s="1">
        <v>100</v>
      </c>
      <c r="M71" s="1" t="str">
        <f t="shared" si="10"/>
        <v>مخازن قير اصفهان</v>
      </c>
      <c r="N71" s="1">
        <v>7004</v>
      </c>
      <c r="O71" s="1">
        <v>50033613</v>
      </c>
      <c r="P71" s="1" t="str">
        <f>"  شهرداري زابل"</f>
        <v xml:space="preserve">  شهرداري زابل</v>
      </c>
      <c r="Q71" s="1">
        <v>11</v>
      </c>
      <c r="R71" s="1" t="str">
        <f>"فروش داخلي تهران - بورس"</f>
        <v>فروش داخلي تهران - بورس</v>
      </c>
      <c r="S71" s="1" t="str">
        <f t="shared" si="11"/>
        <v>قرارداد فروش</v>
      </c>
      <c r="T71" s="1" t="str">
        <f t="shared" si="12"/>
        <v>ندارد</v>
      </c>
      <c r="U71" s="1" t="str">
        <f>"هيزچي مرتضي(1841036)"</f>
        <v>هيزچي مرتضي(1841036)</v>
      </c>
      <c r="V71" s="1">
        <v>951100184</v>
      </c>
      <c r="W71" s="1">
        <v>951100184</v>
      </c>
      <c r="X71" s="1" t="str">
        <f>"1395456217"</f>
        <v>1395456217</v>
      </c>
      <c r="Y71" s="1" t="str">
        <f>"95/11/17"</f>
        <v>95/11/17</v>
      </c>
      <c r="Z71" s="1" t="str">
        <f>"95-35115"</f>
        <v>95-35115</v>
      </c>
      <c r="AA71" s="1" t="str">
        <f>"شهرداريها"</f>
        <v>شهرداريها</v>
      </c>
      <c r="AB71" s="1" t="str">
        <f>"95/11/04"</f>
        <v>95/11/04</v>
      </c>
      <c r="AC71" s="1" t="str">
        <f>"استان سيستان بلوچستان"</f>
        <v>استان سيستان بلوچستان</v>
      </c>
      <c r="AD71" s="1" t="str">
        <f>"95/10/12"</f>
        <v>95/10/12</v>
      </c>
      <c r="AE71" s="1" t="str">
        <f t="shared" si="13"/>
        <v>اختتام</v>
      </c>
      <c r="AF71" s="1" t="str">
        <f>""</f>
        <v/>
      </c>
      <c r="AG71" s="1" t="str">
        <f>""</f>
        <v/>
      </c>
      <c r="AH71" s="1" t="str">
        <f>""</f>
        <v/>
      </c>
      <c r="AI71" s="1" t="str">
        <f>""</f>
        <v/>
      </c>
      <c r="AJ71" s="1" t="str">
        <f>""</f>
        <v/>
      </c>
      <c r="AK71" s="1" t="str">
        <f>""</f>
        <v/>
      </c>
    </row>
    <row r="72" spans="1:37" x14ac:dyDescent="0.2">
      <c r="A72" s="1">
        <v>490000</v>
      </c>
      <c r="B72" s="1">
        <v>951100190</v>
      </c>
      <c r="C72" s="1" t="str">
        <f>"تخليه -شهرضا-كارخانه آسفالت شهرداري شهرضا"</f>
        <v>تخليه -شهرضا-كارخانه آسفالت شهرداري شهرضا</v>
      </c>
      <c r="D72" s="1">
        <v>8848</v>
      </c>
      <c r="E72" s="1">
        <v>489820</v>
      </c>
      <c r="F72" s="1">
        <v>95</v>
      </c>
      <c r="G72" s="1">
        <v>180</v>
      </c>
      <c r="H72" s="1" t="str">
        <f>"95/12/10"</f>
        <v>95/12/10</v>
      </c>
      <c r="I72" s="1" t="str">
        <f t="shared" si="9"/>
        <v>كيلوگرم</v>
      </c>
      <c r="J72" s="1" t="str">
        <f t="shared" si="6"/>
        <v>0000000076</v>
      </c>
      <c r="K72" s="1" t="str">
        <f t="shared" si="7"/>
        <v>قير 60/70 - فله</v>
      </c>
      <c r="L72" s="1">
        <v>100</v>
      </c>
      <c r="M72" s="1" t="str">
        <f t="shared" si="10"/>
        <v>مخازن قير اصفهان</v>
      </c>
      <c r="N72" s="1">
        <v>1701</v>
      </c>
      <c r="O72" s="1">
        <v>50033949</v>
      </c>
      <c r="P72" s="1" t="str">
        <f>"  شهرداري شهرضا"</f>
        <v xml:space="preserve">  شهرداري شهرضا</v>
      </c>
      <c r="Q72" s="1">
        <v>11</v>
      </c>
      <c r="R72" s="1" t="str">
        <f>"فروش داخلي تهران - بورس"</f>
        <v>فروش داخلي تهران - بورس</v>
      </c>
      <c r="S72" s="1" t="str">
        <f t="shared" si="11"/>
        <v>قرارداد فروش</v>
      </c>
      <c r="T72" s="1" t="str">
        <f t="shared" si="12"/>
        <v>ندارد</v>
      </c>
      <c r="U72" s="1" t="str">
        <f>"علي عابدي ابوالقاسم(1003ج89)"</f>
        <v>علي عابدي ابوالقاسم(1003ج89)</v>
      </c>
      <c r="V72" s="1">
        <v>951100190</v>
      </c>
      <c r="W72" s="1">
        <v>951100190</v>
      </c>
      <c r="X72" s="1" t="str">
        <f>"1395468350"</f>
        <v>1395468350</v>
      </c>
      <c r="Y72" s="1" t="str">
        <f>"95/12/10"</f>
        <v>95/12/10</v>
      </c>
      <c r="Z72" s="1" t="str">
        <f>"27487"</f>
        <v>27487</v>
      </c>
      <c r="AA72" s="1" t="str">
        <f>"شهرداريها"</f>
        <v>شهرداريها</v>
      </c>
      <c r="AB72" s="1" t="str">
        <f>"95/12/08"</f>
        <v>95/12/08</v>
      </c>
      <c r="AC72" s="1" t="str">
        <f>"استان اصفهان"</f>
        <v>استان اصفهان</v>
      </c>
      <c r="AD72" s="1" t="str">
        <f>"95/12/10"</f>
        <v>95/12/10</v>
      </c>
      <c r="AE72" s="1" t="str">
        <f t="shared" si="13"/>
        <v>اختتام</v>
      </c>
      <c r="AF72" s="1" t="str">
        <f>""</f>
        <v/>
      </c>
      <c r="AG72" s="1" t="str">
        <f>""</f>
        <v/>
      </c>
      <c r="AH72" s="1" t="str">
        <f>""</f>
        <v/>
      </c>
      <c r="AI72" s="1" t="str">
        <f>""</f>
        <v/>
      </c>
      <c r="AJ72" s="1" t="str">
        <f>""</f>
        <v/>
      </c>
      <c r="AK72" s="1" t="str">
        <f>""</f>
        <v/>
      </c>
    </row>
    <row r="73" spans="1:37" x14ac:dyDescent="0.2">
      <c r="A73" s="1">
        <v>115000</v>
      </c>
      <c r="B73" s="1">
        <v>956200409</v>
      </c>
      <c r="C73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73" s="1">
        <v>8848</v>
      </c>
      <c r="E73" s="1">
        <v>111660</v>
      </c>
      <c r="F73" s="1">
        <v>95</v>
      </c>
      <c r="G73" s="1">
        <v>3340</v>
      </c>
      <c r="H73" s="1" t="str">
        <f>"95/12/25"</f>
        <v>95/12/25</v>
      </c>
      <c r="I73" s="1" t="str">
        <f t="shared" si="9"/>
        <v>كيلوگرم</v>
      </c>
      <c r="J73" s="1" t="str">
        <f t="shared" si="6"/>
        <v>0000000076</v>
      </c>
      <c r="K73" s="1" t="str">
        <f t="shared" si="7"/>
        <v>قير 60/70 - فله</v>
      </c>
      <c r="L73" s="1">
        <v>100</v>
      </c>
      <c r="M73" s="1" t="str">
        <f t="shared" si="10"/>
        <v>مخازن قير اصفهان</v>
      </c>
      <c r="N73" s="1">
        <v>7002</v>
      </c>
      <c r="O73" s="1">
        <v>50034260</v>
      </c>
      <c r="P73" s="1" t="str">
        <f>"  راه و ساختمان خاكپي"</f>
        <v xml:space="preserve">  راه و ساختمان خاكپي</v>
      </c>
      <c r="Q73" s="1">
        <v>62</v>
      </c>
      <c r="R73" s="1" t="str">
        <f>"فروش داخلي - سازمان بنيادمسكن انقلاب اسلامي"</f>
        <v>فروش داخلي - سازمان بنيادمسكن انقلاب اسلامي</v>
      </c>
      <c r="S73" s="1" t="str">
        <f t="shared" si="11"/>
        <v>قرارداد فروش</v>
      </c>
      <c r="T73" s="1" t="str">
        <f t="shared" si="12"/>
        <v>ندارد</v>
      </c>
      <c r="U73" s="1" t="str">
        <f>"ريسماني حسن(1007ج89)"</f>
        <v>ريسماني حسن(1007ج89)</v>
      </c>
      <c r="V73" s="1">
        <v>956200409</v>
      </c>
      <c r="W73" s="1">
        <v>956200409</v>
      </c>
      <c r="X73" s="1" t="str">
        <f>"1395470894"</f>
        <v>1395470894</v>
      </c>
      <c r="Y73" s="1" t="str">
        <f>"95/12/25"</f>
        <v>95/12/25</v>
      </c>
      <c r="Z73" s="1" t="str">
        <f>"57003/د"</f>
        <v>57003/د</v>
      </c>
      <c r="AA73" s="1" t="str">
        <f>"بنيادمسكن انقلاب اسلامي"</f>
        <v>بنيادمسكن انقلاب اسلامي</v>
      </c>
      <c r="AB73" s="1" t="str">
        <f>"95/12/22"</f>
        <v>95/12/22</v>
      </c>
      <c r="AC73" s="1" t="str">
        <f>"استان اصفهان"</f>
        <v>استان اصفهان</v>
      </c>
      <c r="AD73" s="1" t="str">
        <f>"95/12/23"</f>
        <v>95/12/23</v>
      </c>
      <c r="AE73" s="1" t="str">
        <f t="shared" si="13"/>
        <v>اختتام</v>
      </c>
      <c r="AF73" s="1" t="str">
        <f>""</f>
        <v/>
      </c>
      <c r="AG73" s="1" t="str">
        <f>""</f>
        <v/>
      </c>
      <c r="AH73" s="1" t="str">
        <f>""</f>
        <v/>
      </c>
      <c r="AI73" s="1" t="str">
        <f>""</f>
        <v/>
      </c>
      <c r="AJ73" s="1" t="str">
        <f>""</f>
        <v/>
      </c>
      <c r="AK73" s="1" t="str">
        <f>""</f>
        <v/>
      </c>
    </row>
    <row r="74" spans="1:37" x14ac:dyDescent="0.2">
      <c r="A74" s="1">
        <v>75000</v>
      </c>
      <c r="B74" s="1">
        <v>951100029</v>
      </c>
      <c r="C74" s="1" t="str">
        <f>"تخليه -اصفهان خميني شهر- منطقه صنعتي دوشاخ-شرکت برقسا"</f>
        <v>تخليه -اصفهان خميني شهر- منطقه صنعتي دوشاخ-شرکت برقسا</v>
      </c>
      <c r="D74" s="1">
        <v>5650</v>
      </c>
      <c r="E74" s="1">
        <v>74040</v>
      </c>
      <c r="F74" s="1">
        <v>95</v>
      </c>
      <c r="G74" s="1">
        <v>960</v>
      </c>
      <c r="H74" s="1" t="str">
        <f>"95/02/11"</f>
        <v>95/02/11</v>
      </c>
      <c r="I74" s="1" t="str">
        <f t="shared" si="9"/>
        <v>كيلوگرم</v>
      </c>
      <c r="J74" s="1" t="str">
        <f t="shared" si="6"/>
        <v>0000000076</v>
      </c>
      <c r="K74" s="1" t="str">
        <f t="shared" si="7"/>
        <v>قير 60/70 - فله</v>
      </c>
      <c r="L74" s="1">
        <v>100</v>
      </c>
      <c r="M74" s="1" t="str">
        <f t="shared" si="10"/>
        <v>مخازن قير اصفهان</v>
      </c>
      <c r="N74" s="1">
        <v>7027</v>
      </c>
      <c r="O74" s="1">
        <v>50030659</v>
      </c>
      <c r="P74" s="1" t="str">
        <f>"  برقسا"</f>
        <v xml:space="preserve">  برقسا</v>
      </c>
      <c r="Q74" s="1">
        <v>11</v>
      </c>
      <c r="R74" s="1" t="str">
        <f>"فروش داخلي تهران - بورس"</f>
        <v>فروش داخلي تهران - بورس</v>
      </c>
      <c r="S74" s="1" t="str">
        <f t="shared" si="11"/>
        <v>قرارداد فروش</v>
      </c>
      <c r="T74" s="1" t="str">
        <f t="shared" si="12"/>
        <v>ندارد</v>
      </c>
      <c r="U74" s="1" t="str">
        <f>"عزيزي صفر(1006ج 89)"</f>
        <v>عزيزي صفر(1006ج 89)</v>
      </c>
      <c r="V74" s="1">
        <v>951100029</v>
      </c>
      <c r="W74" s="1">
        <v>951100029</v>
      </c>
      <c r="X74" s="1" t="str">
        <f>"1395401149"</f>
        <v>1395401149</v>
      </c>
      <c r="Y74" s="1" t="str">
        <f>"95/02/08"</f>
        <v>95/02/08</v>
      </c>
      <c r="Z74" s="1" t="str">
        <f>"95-34279"</f>
        <v>95-34279</v>
      </c>
      <c r="AA74" s="1" t="str">
        <f>"راه سازي"</f>
        <v>راه سازي</v>
      </c>
      <c r="AB74" s="1" t="str">
        <f>"95/02/08"</f>
        <v>95/02/08</v>
      </c>
      <c r="AC74" s="1" t="str">
        <f>"استان اصفهان"</f>
        <v>استان اصفهان</v>
      </c>
      <c r="AD74" s="1" t="str">
        <f>"95/02/06"</f>
        <v>95/02/06</v>
      </c>
      <c r="AE74" s="1" t="str">
        <f t="shared" si="13"/>
        <v>اختتام</v>
      </c>
      <c r="AF74" s="1" t="str">
        <f>""</f>
        <v/>
      </c>
      <c r="AG74" s="1" t="str">
        <f>""</f>
        <v/>
      </c>
      <c r="AH74" s="1" t="str">
        <f>""</f>
        <v/>
      </c>
      <c r="AI74" s="1" t="str">
        <f>""</f>
        <v/>
      </c>
      <c r="AJ74" s="1" t="str">
        <f>""</f>
        <v/>
      </c>
      <c r="AK74" s="1" t="str">
        <f>""</f>
        <v/>
      </c>
    </row>
    <row r="75" spans="1:37" x14ac:dyDescent="0.2">
      <c r="A75" s="1">
        <v>30000</v>
      </c>
      <c r="B75" s="1">
        <v>956200061</v>
      </c>
      <c r="C75" s="1" t="str">
        <f>"تخليه - يزد-جاده کنارگذر-کيلومتر7جاده کمربندي يزد به تفت کارخانه آسفالت سازمان همياري شهرداريهاي استان يزد"</f>
        <v>تخليه - يزد-جاده کنارگذر-کيلومتر7جاده کمربندي يزد به تفت کارخانه آسفالت سازمان همياري شهرداريهاي استان يزد</v>
      </c>
      <c r="D75" s="1">
        <v>5950</v>
      </c>
      <c r="E75" s="1">
        <v>29440</v>
      </c>
      <c r="F75" s="1">
        <v>95</v>
      </c>
      <c r="G75" s="1">
        <v>560</v>
      </c>
      <c r="H75" s="1" t="str">
        <f>"95/04/27"</f>
        <v>95/04/27</v>
      </c>
      <c r="I75" s="1" t="str">
        <f t="shared" si="9"/>
        <v>كيلوگرم</v>
      </c>
      <c r="J75" s="1" t="str">
        <f t="shared" si="6"/>
        <v>0000000076</v>
      </c>
      <c r="K75" s="1" t="str">
        <f t="shared" si="7"/>
        <v>قير 60/70 - فله</v>
      </c>
      <c r="L75" s="1">
        <v>100</v>
      </c>
      <c r="M75" s="1" t="str">
        <f t="shared" si="10"/>
        <v>مخازن قير اصفهان</v>
      </c>
      <c r="N75" s="1">
        <v>7035</v>
      </c>
      <c r="O75" s="1">
        <v>50031295</v>
      </c>
      <c r="P75" s="1" t="str">
        <f>"  سازمان همياري شهرداريهاي يزد"</f>
        <v xml:space="preserve">  سازمان همياري شهرداريهاي يزد</v>
      </c>
      <c r="Q75" s="1">
        <v>62</v>
      </c>
      <c r="R75" s="1" t="str">
        <f>"فروش داخلي - سازمان بنيادمسكن انقلاب اسلامي"</f>
        <v>فروش داخلي - سازمان بنيادمسكن انقلاب اسلامي</v>
      </c>
      <c r="S75" s="1" t="str">
        <f t="shared" si="11"/>
        <v>قرارداد فروش</v>
      </c>
      <c r="T75" s="1" t="str">
        <f t="shared" si="12"/>
        <v>ندارد</v>
      </c>
      <c r="U75" s="1" t="str">
        <f>"قانعي محمدرضا(1011ج89)"</f>
        <v>قانعي محمدرضا(1011ج89)</v>
      </c>
      <c r="V75" s="1">
        <v>956200061</v>
      </c>
      <c r="W75" s="1">
        <v>956200061</v>
      </c>
      <c r="X75" s="1" t="str">
        <f>"1395415790"</f>
        <v>1395415790</v>
      </c>
      <c r="Y75" s="1" t="str">
        <f>"95/04/27"</f>
        <v>95/04/27</v>
      </c>
      <c r="Z75" s="1" t="str">
        <f>"16464/د"</f>
        <v>16464/د</v>
      </c>
      <c r="AA75" s="1" t="str">
        <f>"بنيادمسكن انقلاب اسلامي"</f>
        <v>بنيادمسكن انقلاب اسلامي</v>
      </c>
      <c r="AB75" s="1" t="str">
        <f>"95/04/26"</f>
        <v>95/04/26</v>
      </c>
      <c r="AC75" s="1" t="str">
        <f>"استان يزد"</f>
        <v>استان يزد</v>
      </c>
      <c r="AD75" s="1" t="str">
        <f>"95/04/26"</f>
        <v>95/04/26</v>
      </c>
      <c r="AE75" s="1" t="str">
        <f t="shared" si="13"/>
        <v>اختتام</v>
      </c>
      <c r="AF75" s="1" t="str">
        <f>""</f>
        <v/>
      </c>
      <c r="AG75" s="1" t="str">
        <f>""</f>
        <v/>
      </c>
      <c r="AH75" s="1" t="str">
        <f>""</f>
        <v/>
      </c>
      <c r="AI75" s="1" t="str">
        <f>""</f>
        <v/>
      </c>
      <c r="AJ75" s="1" t="str">
        <f>""</f>
        <v/>
      </c>
      <c r="AK75" s="1" t="str">
        <f>""</f>
        <v/>
      </c>
    </row>
    <row r="76" spans="1:37" x14ac:dyDescent="0.2">
      <c r="A76" s="1">
        <v>105000</v>
      </c>
      <c r="B76" s="1">
        <v>956200151</v>
      </c>
      <c r="C76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76" s="1">
        <v>8861</v>
      </c>
      <c r="E76" s="1">
        <v>103880</v>
      </c>
      <c r="F76" s="1">
        <v>95</v>
      </c>
      <c r="G76" s="1">
        <v>1120</v>
      </c>
      <c r="H76" s="1" t="str">
        <f>"95/10/23"</f>
        <v>95/10/23</v>
      </c>
      <c r="I76" s="1" t="str">
        <f t="shared" si="9"/>
        <v>كيلوگرم</v>
      </c>
      <c r="J76" s="1" t="str">
        <f t="shared" si="6"/>
        <v>0000000076</v>
      </c>
      <c r="K76" s="1" t="str">
        <f t="shared" si="7"/>
        <v>قير 60/70 - فله</v>
      </c>
      <c r="L76" s="1">
        <v>100</v>
      </c>
      <c r="M76" s="1" t="str">
        <f t="shared" si="10"/>
        <v>مخازن قير اصفهان</v>
      </c>
      <c r="N76" s="1">
        <v>7038</v>
      </c>
      <c r="O76" s="1">
        <v>50033370</v>
      </c>
      <c r="P76" s="1" t="str">
        <f>"  اصفهان مترو"</f>
        <v xml:space="preserve">  اصفهان مترو</v>
      </c>
      <c r="Q76" s="1">
        <v>62</v>
      </c>
      <c r="R76" s="1" t="str">
        <f>"فروش داخلي - سازمان بنيادمسكن انقلاب اسلامي"</f>
        <v>فروش داخلي - سازمان بنيادمسكن انقلاب اسلامي</v>
      </c>
      <c r="S76" s="1" t="str">
        <f t="shared" si="11"/>
        <v>قرارداد فروش</v>
      </c>
      <c r="T76" s="1" t="str">
        <f t="shared" si="12"/>
        <v>ندارد</v>
      </c>
      <c r="U76" s="1" t="str">
        <f>"عزيزي صفر(1006ج 89)"</f>
        <v>عزيزي صفر(1006ج 89)</v>
      </c>
      <c r="V76" s="1">
        <v>956200151</v>
      </c>
      <c r="W76" s="1">
        <v>956200151</v>
      </c>
      <c r="X76" s="1" t="str">
        <f>"1395457937"</f>
        <v>1395457937</v>
      </c>
      <c r="Y76" s="1" t="str">
        <f>"95/10/23"</f>
        <v>95/10/23</v>
      </c>
      <c r="Z76" s="1" t="str">
        <f>"44835/د"</f>
        <v>44835/د</v>
      </c>
      <c r="AA76" s="1" t="str">
        <f>"بنيادمسكن انقلاب اسلامي"</f>
        <v>بنيادمسكن انقلاب اسلامي</v>
      </c>
      <c r="AB76" s="1" t="str">
        <f>"95/10/20"</f>
        <v>95/10/20</v>
      </c>
      <c r="AC76" s="1" t="str">
        <f>"استان اصفهان"</f>
        <v>استان اصفهان</v>
      </c>
      <c r="AD76" s="1" t="str">
        <f>"95/10/22"</f>
        <v>95/10/22</v>
      </c>
      <c r="AE76" s="1" t="str">
        <f t="shared" si="13"/>
        <v>اختتام</v>
      </c>
      <c r="AF76" s="1" t="str">
        <f>""</f>
        <v/>
      </c>
      <c r="AG76" s="1" t="str">
        <f>""</f>
        <v/>
      </c>
      <c r="AH76" s="1" t="str">
        <f>""</f>
        <v/>
      </c>
      <c r="AI76" s="1" t="str">
        <f>""</f>
        <v/>
      </c>
      <c r="AJ76" s="1" t="str">
        <f>""</f>
        <v/>
      </c>
      <c r="AK76" s="1" t="str">
        <f>""</f>
        <v/>
      </c>
    </row>
    <row r="77" spans="1:37" x14ac:dyDescent="0.2">
      <c r="A77" s="1">
        <v>158000</v>
      </c>
      <c r="B77" s="1">
        <v>952000154</v>
      </c>
      <c r="C77" s="1" t="str">
        <f>"تخليه -يزدكيلومتر14جاده ابركوه -شيراز-كارخانه آسفالت شهرداري ابركوه"</f>
        <v>تخليه -يزدكيلومتر14جاده ابركوه -شيراز-كارخانه آسفالت شهرداري ابركوه</v>
      </c>
      <c r="D77" s="1">
        <v>6976</v>
      </c>
      <c r="E77" s="1">
        <v>157100</v>
      </c>
      <c r="F77" s="1">
        <v>95</v>
      </c>
      <c r="G77" s="1">
        <v>900</v>
      </c>
      <c r="H77" s="1" t="str">
        <f>"95/07/15"</f>
        <v>95/07/15</v>
      </c>
      <c r="I77" s="1" t="str">
        <f t="shared" si="9"/>
        <v>كيلوگرم</v>
      </c>
      <c r="J77" s="1" t="str">
        <f t="shared" si="6"/>
        <v>0000000076</v>
      </c>
      <c r="K77" s="1" t="str">
        <f t="shared" si="7"/>
        <v>قير 60/70 - فله</v>
      </c>
      <c r="L77" s="1">
        <v>100</v>
      </c>
      <c r="M77" s="1" t="str">
        <f t="shared" si="10"/>
        <v>مخازن قير اصفهان</v>
      </c>
      <c r="N77" s="1">
        <v>3451</v>
      </c>
      <c r="O77" s="1">
        <v>50032114</v>
      </c>
      <c r="P77" s="1" t="str">
        <f>"  شهرداري ابر كوه"</f>
        <v xml:space="preserve">  شهرداري ابر كوه</v>
      </c>
      <c r="Q77" s="1">
        <v>20</v>
      </c>
      <c r="R77" s="1" t="str">
        <f>"فروش داخلي - سازمان شهرداري ها و دهياري هاي كشور"</f>
        <v>فروش داخلي - سازمان شهرداري ها و دهياري هاي كشور</v>
      </c>
      <c r="S77" s="1" t="str">
        <f t="shared" si="11"/>
        <v>قرارداد فروش</v>
      </c>
      <c r="T77" s="1" t="str">
        <f t="shared" si="12"/>
        <v>ندارد</v>
      </c>
      <c r="U77" s="1" t="str">
        <f>"قانعي محمدرضا(1011ج89)"</f>
        <v>قانعي محمدرضا(1011ج89)</v>
      </c>
      <c r="V77" s="1">
        <v>952000154</v>
      </c>
      <c r="W77" s="1">
        <v>952000154</v>
      </c>
      <c r="X77" s="1" t="str">
        <f>"1395436486"</f>
        <v>1395436486</v>
      </c>
      <c r="Y77" s="1" t="str">
        <f>"95/07/15"</f>
        <v>95/07/15</v>
      </c>
      <c r="Z77" s="1" t="str">
        <f>"27949"</f>
        <v>27949</v>
      </c>
      <c r="AA77" s="1" t="str">
        <f>"شهرداريها"</f>
        <v>شهرداريها</v>
      </c>
      <c r="AB77" s="1" t="str">
        <f>"95/06/13"</f>
        <v>95/06/13</v>
      </c>
      <c r="AC77" s="1" t="str">
        <f>"استان يزد"</f>
        <v>استان يزد</v>
      </c>
      <c r="AD77" s="1" t="str">
        <f>"95/07/14"</f>
        <v>95/07/14</v>
      </c>
      <c r="AE77" s="1" t="str">
        <f t="shared" si="13"/>
        <v>اختتام</v>
      </c>
      <c r="AF77" s="1" t="str">
        <f>""</f>
        <v/>
      </c>
      <c r="AG77" s="1" t="str">
        <f>""</f>
        <v/>
      </c>
      <c r="AH77" s="1" t="str">
        <f>""</f>
        <v/>
      </c>
      <c r="AI77" s="1" t="str">
        <f>""</f>
        <v/>
      </c>
      <c r="AJ77" s="1" t="str">
        <f>""</f>
        <v/>
      </c>
      <c r="AK77" s="1" t="str">
        <f>""</f>
        <v/>
      </c>
    </row>
    <row r="78" spans="1:37" x14ac:dyDescent="0.2">
      <c r="A78" s="1">
        <v>16000</v>
      </c>
      <c r="B78" s="1">
        <v>951100060</v>
      </c>
      <c r="C78" s="1" t="str">
        <f t="shared" ref="C78:C83" si="14">"تخليه -اصفهان جاده دولت آباد خيابان اكباتان"</f>
        <v>تخليه -اصفهان جاده دولت آباد خيابان اكباتان</v>
      </c>
      <c r="D78" s="1">
        <v>5750</v>
      </c>
      <c r="E78" s="1">
        <v>16000</v>
      </c>
      <c r="F78" s="1">
        <v>95</v>
      </c>
      <c r="G78" s="1">
        <v>0</v>
      </c>
      <c r="H78" s="1" t="str">
        <f>"95/03/12"</f>
        <v>95/03/12</v>
      </c>
      <c r="I78" s="1" t="str">
        <f t="shared" si="9"/>
        <v>كيلوگرم</v>
      </c>
      <c r="J78" s="1" t="str">
        <f t="shared" si="6"/>
        <v>0000000076</v>
      </c>
      <c r="K78" s="1" t="str">
        <f t="shared" si="7"/>
        <v>قير 60/70 - فله</v>
      </c>
      <c r="L78" s="1">
        <v>100</v>
      </c>
      <c r="M78" s="1" t="str">
        <f t="shared" si="10"/>
        <v>مخازن قير اصفهان</v>
      </c>
      <c r="N78" s="1">
        <v>7078</v>
      </c>
      <c r="O78" s="1">
        <v>50030948</v>
      </c>
      <c r="P78" s="1" t="str">
        <f t="shared" ref="P78:P83" si="15">"  آينده شيمي اصفهان"</f>
        <v xml:space="preserve">  آينده شيمي اصفهان</v>
      </c>
      <c r="Q78" s="1">
        <v>11</v>
      </c>
      <c r="R78" s="1" t="str">
        <f t="shared" ref="R78:R83" si="16">"فروش داخلي تهران - بورس"</f>
        <v>فروش داخلي تهران - بورس</v>
      </c>
      <c r="S78" s="1" t="str">
        <f t="shared" si="11"/>
        <v>قرارداد فروش</v>
      </c>
      <c r="T78" s="1" t="str">
        <f t="shared" si="12"/>
        <v>ندارد</v>
      </c>
      <c r="U78" s="1" t="str">
        <f t="shared" ref="U78:U83" si="17">"تعاوني جم گستر (1001 ج 89)"</f>
        <v>تعاوني جم گستر (1001 ج 89)</v>
      </c>
      <c r="V78" s="1">
        <v>951100060</v>
      </c>
      <c r="W78" s="1">
        <v>951100060</v>
      </c>
      <c r="X78" s="1" t="str">
        <f>"1395407388"</f>
        <v>1395407388</v>
      </c>
      <c r="Y78" s="1" t="str">
        <f>"95/03/12"</f>
        <v>95/03/12</v>
      </c>
      <c r="Z78" s="1" t="str">
        <f>"95/27"</f>
        <v>95/27</v>
      </c>
      <c r="AA78" s="1" t="str">
        <f t="shared" ref="AA78:AA83" si="18">"عايق كاران"</f>
        <v>عايق كاران</v>
      </c>
      <c r="AB78" s="1" t="str">
        <f>"95/03/11"</f>
        <v>95/03/11</v>
      </c>
      <c r="AC78" s="1" t="str">
        <f t="shared" ref="AC78:AC83" si="19">"استان اصفهان"</f>
        <v>استان اصفهان</v>
      </c>
      <c r="AD78" s="1" t="str">
        <f>"95/03/12"</f>
        <v>95/03/12</v>
      </c>
      <c r="AE78" s="1" t="str">
        <f>"تاييدشده"</f>
        <v>تاييدشده</v>
      </c>
      <c r="AF78" s="1" t="str">
        <f>""</f>
        <v/>
      </c>
      <c r="AG78" s="1" t="str">
        <f>""</f>
        <v/>
      </c>
      <c r="AH78" s="1" t="str">
        <f>""</f>
        <v/>
      </c>
      <c r="AI78" s="1" t="str">
        <f>""</f>
        <v/>
      </c>
      <c r="AJ78" s="1" t="str">
        <f>""</f>
        <v/>
      </c>
      <c r="AK78" s="1" t="str">
        <f>""</f>
        <v/>
      </c>
    </row>
    <row r="79" spans="1:37" x14ac:dyDescent="0.2">
      <c r="A79" s="1">
        <v>16000</v>
      </c>
      <c r="B79" s="1">
        <v>951100097</v>
      </c>
      <c r="C79" s="1" t="str">
        <f t="shared" si="14"/>
        <v>تخليه -اصفهان جاده دولت آباد خيابان اكباتان</v>
      </c>
      <c r="D79" s="1">
        <v>6426</v>
      </c>
      <c r="E79" s="1">
        <v>16000</v>
      </c>
      <c r="F79" s="1">
        <v>95</v>
      </c>
      <c r="G79" s="1">
        <v>0</v>
      </c>
      <c r="H79" s="1" t="str">
        <f>"95/05/17"</f>
        <v>95/05/17</v>
      </c>
      <c r="I79" s="1" t="str">
        <f t="shared" si="9"/>
        <v>كيلوگرم</v>
      </c>
      <c r="J79" s="1" t="str">
        <f t="shared" si="6"/>
        <v>0000000076</v>
      </c>
      <c r="K79" s="1" t="str">
        <f t="shared" si="7"/>
        <v>قير 60/70 - فله</v>
      </c>
      <c r="L79" s="1">
        <v>100</v>
      </c>
      <c r="M79" s="1" t="str">
        <f t="shared" si="10"/>
        <v>مخازن قير اصفهان</v>
      </c>
      <c r="N79" s="1">
        <v>7078</v>
      </c>
      <c r="O79" s="1">
        <v>50031447</v>
      </c>
      <c r="P79" s="1" t="str">
        <f t="shared" si="15"/>
        <v xml:space="preserve">  آينده شيمي اصفهان</v>
      </c>
      <c r="Q79" s="1">
        <v>11</v>
      </c>
      <c r="R79" s="1" t="str">
        <f t="shared" si="16"/>
        <v>فروش داخلي تهران - بورس</v>
      </c>
      <c r="S79" s="1" t="str">
        <f t="shared" si="11"/>
        <v>قرارداد فروش</v>
      </c>
      <c r="T79" s="1" t="str">
        <f t="shared" si="12"/>
        <v>ندارد</v>
      </c>
      <c r="U79" s="1" t="str">
        <f t="shared" si="17"/>
        <v>تعاوني جم گستر (1001 ج 89)</v>
      </c>
      <c r="V79" s="1">
        <v>951100097</v>
      </c>
      <c r="W79" s="1">
        <v>951100097</v>
      </c>
      <c r="X79" s="1" t="str">
        <f>"1395421162"</f>
        <v>1395421162</v>
      </c>
      <c r="Y79" s="1" t="str">
        <f>"95/05/16"</f>
        <v>95/05/16</v>
      </c>
      <c r="Z79" s="1" t="str">
        <f>"95/52"</f>
        <v>95/52</v>
      </c>
      <c r="AA79" s="1" t="str">
        <f t="shared" si="18"/>
        <v>عايق كاران</v>
      </c>
      <c r="AB79" s="1" t="str">
        <f>"95/05/10"</f>
        <v>95/05/10</v>
      </c>
      <c r="AC79" s="1" t="str">
        <f t="shared" si="19"/>
        <v>استان اصفهان</v>
      </c>
      <c r="AD79" s="1" t="str">
        <f>"95/05/13"</f>
        <v>95/05/13</v>
      </c>
      <c r="AE79" s="1" t="str">
        <f>"تاييدشده"</f>
        <v>تاييدشده</v>
      </c>
      <c r="AF79" s="1" t="str">
        <f>""</f>
        <v/>
      </c>
      <c r="AG79" s="1" t="str">
        <f>""</f>
        <v/>
      </c>
      <c r="AH79" s="1" t="str">
        <f>""</f>
        <v/>
      </c>
      <c r="AI79" s="1" t="str">
        <f>""</f>
        <v/>
      </c>
      <c r="AJ79" s="1" t="str">
        <f>""</f>
        <v/>
      </c>
      <c r="AK79" s="1" t="str">
        <f>""</f>
        <v/>
      </c>
    </row>
    <row r="80" spans="1:37" x14ac:dyDescent="0.2">
      <c r="A80" s="1">
        <v>32000</v>
      </c>
      <c r="B80" s="1">
        <v>951100120</v>
      </c>
      <c r="C80" s="1" t="str">
        <f t="shared" si="14"/>
        <v>تخليه -اصفهان جاده دولت آباد خيابان اكباتان</v>
      </c>
      <c r="D80" s="1">
        <v>6976</v>
      </c>
      <c r="E80" s="1">
        <v>31240</v>
      </c>
      <c r="F80" s="1">
        <v>95</v>
      </c>
      <c r="G80" s="1">
        <v>760</v>
      </c>
      <c r="H80" s="1" t="str">
        <f>"95/07/06"</f>
        <v>95/07/06</v>
      </c>
      <c r="I80" s="1" t="str">
        <f t="shared" si="9"/>
        <v>كيلوگرم</v>
      </c>
      <c r="J80" s="1" t="str">
        <f t="shared" si="6"/>
        <v>0000000076</v>
      </c>
      <c r="K80" s="1" t="str">
        <f t="shared" si="7"/>
        <v>قير 60/70 - فله</v>
      </c>
      <c r="L80" s="1">
        <v>100</v>
      </c>
      <c r="M80" s="1" t="str">
        <f t="shared" si="10"/>
        <v>مخازن قير اصفهان</v>
      </c>
      <c r="N80" s="1">
        <v>7078</v>
      </c>
      <c r="O80" s="1">
        <v>50031978</v>
      </c>
      <c r="P80" s="1" t="str">
        <f t="shared" si="15"/>
        <v xml:space="preserve">  آينده شيمي اصفهان</v>
      </c>
      <c r="Q80" s="1">
        <v>11</v>
      </c>
      <c r="R80" s="1" t="str">
        <f t="shared" si="16"/>
        <v>فروش داخلي تهران - بورس</v>
      </c>
      <c r="S80" s="1" t="str">
        <f t="shared" si="11"/>
        <v>قرارداد فروش</v>
      </c>
      <c r="T80" s="1" t="str">
        <f t="shared" si="12"/>
        <v>ندارد</v>
      </c>
      <c r="U80" s="1" t="str">
        <f t="shared" si="17"/>
        <v>تعاوني جم گستر (1001 ج 89)</v>
      </c>
      <c r="V80" s="1">
        <v>951100120</v>
      </c>
      <c r="W80" s="1">
        <v>951100120</v>
      </c>
      <c r="X80" s="1" t="str">
        <f>"1395433829"</f>
        <v>1395433829</v>
      </c>
      <c r="Y80" s="1" t="str">
        <f>"95/07/05"</f>
        <v>95/07/05</v>
      </c>
      <c r="Z80" s="1" t="str">
        <f>"95/79"</f>
        <v>95/79</v>
      </c>
      <c r="AA80" s="1" t="str">
        <f t="shared" si="18"/>
        <v>عايق كاران</v>
      </c>
      <c r="AB80" s="1" t="str">
        <f>"95/07/04"</f>
        <v>95/07/04</v>
      </c>
      <c r="AC80" s="1" t="str">
        <f t="shared" si="19"/>
        <v>استان اصفهان</v>
      </c>
      <c r="AD80" s="1" t="str">
        <f>"95/07/05"</f>
        <v>95/07/05</v>
      </c>
      <c r="AE80" s="1" t="str">
        <f>"اختتام"</f>
        <v>اختتام</v>
      </c>
      <c r="AF80" s="1" t="str">
        <f>""</f>
        <v/>
      </c>
      <c r="AG80" s="1" t="str">
        <f>"ساماني"</f>
        <v>ساماني</v>
      </c>
      <c r="AH80" s="1" t="str">
        <f>""</f>
        <v/>
      </c>
      <c r="AI80" s="1" t="str">
        <f>""</f>
        <v/>
      </c>
      <c r="AJ80" s="1" t="str">
        <f>""</f>
        <v/>
      </c>
      <c r="AK80" s="1" t="str">
        <f>""</f>
        <v/>
      </c>
    </row>
    <row r="81" spans="1:37" x14ac:dyDescent="0.2">
      <c r="A81" s="1">
        <v>15000</v>
      </c>
      <c r="B81" s="1">
        <v>951100030</v>
      </c>
      <c r="C81" s="1" t="str">
        <f t="shared" si="14"/>
        <v>تخليه -اصفهان جاده دولت آباد خيابان اكباتان</v>
      </c>
      <c r="D81" s="1">
        <v>5650</v>
      </c>
      <c r="E81" s="1">
        <v>15000</v>
      </c>
      <c r="F81" s="1">
        <v>95</v>
      </c>
      <c r="G81" s="1">
        <v>0</v>
      </c>
      <c r="H81" s="1" t="str">
        <f>"95/02/11"</f>
        <v>95/02/11</v>
      </c>
      <c r="I81" s="1" t="str">
        <f t="shared" si="9"/>
        <v>كيلوگرم</v>
      </c>
      <c r="J81" s="1" t="str">
        <f t="shared" si="6"/>
        <v>0000000076</v>
      </c>
      <c r="K81" s="1" t="str">
        <f t="shared" si="7"/>
        <v>قير 60/70 - فله</v>
      </c>
      <c r="L81" s="1">
        <v>100</v>
      </c>
      <c r="M81" s="1" t="str">
        <f t="shared" si="10"/>
        <v>مخازن قير اصفهان</v>
      </c>
      <c r="N81" s="1">
        <v>7078</v>
      </c>
      <c r="O81" s="1">
        <v>50030660</v>
      </c>
      <c r="P81" s="1" t="str">
        <f t="shared" si="15"/>
        <v xml:space="preserve">  آينده شيمي اصفهان</v>
      </c>
      <c r="Q81" s="1">
        <v>11</v>
      </c>
      <c r="R81" s="1" t="str">
        <f t="shared" si="16"/>
        <v>فروش داخلي تهران - بورس</v>
      </c>
      <c r="S81" s="1" t="str">
        <f t="shared" si="11"/>
        <v>قرارداد فروش</v>
      </c>
      <c r="T81" s="1" t="str">
        <f t="shared" si="12"/>
        <v>ندارد</v>
      </c>
      <c r="U81" s="1" t="str">
        <f t="shared" si="17"/>
        <v>تعاوني جم گستر (1001 ج 89)</v>
      </c>
      <c r="V81" s="1">
        <v>951100030</v>
      </c>
      <c r="W81" s="1">
        <v>951100030</v>
      </c>
      <c r="X81" s="1" t="str">
        <f>"1395401765"</f>
        <v>1395401765</v>
      </c>
      <c r="Y81" s="1" t="str">
        <f>"95/02/08"</f>
        <v>95/02/08</v>
      </c>
      <c r="Z81" s="1" t="str">
        <f>"95/15"</f>
        <v>95/15</v>
      </c>
      <c r="AA81" s="1" t="str">
        <f t="shared" si="18"/>
        <v>عايق كاران</v>
      </c>
      <c r="AB81" s="1" t="str">
        <f>"95/02/06"</f>
        <v>95/02/06</v>
      </c>
      <c r="AC81" s="1" t="str">
        <f t="shared" si="19"/>
        <v>استان اصفهان</v>
      </c>
      <c r="AD81" s="1" t="str">
        <f>"95/02/08"</f>
        <v>95/02/08</v>
      </c>
      <c r="AE81" s="1" t="str">
        <f>"تاييدشده"</f>
        <v>تاييدشده</v>
      </c>
      <c r="AF81" s="1" t="str">
        <f>""</f>
        <v/>
      </c>
      <c r="AG81" s="1" t="str">
        <f>""</f>
        <v/>
      </c>
      <c r="AH81" s="1" t="str">
        <f>""</f>
        <v/>
      </c>
      <c r="AI81" s="1" t="str">
        <f>""</f>
        <v/>
      </c>
      <c r="AJ81" s="1" t="str">
        <f>""</f>
        <v/>
      </c>
      <c r="AK81" s="1" t="str">
        <f>""</f>
        <v/>
      </c>
    </row>
    <row r="82" spans="1:37" x14ac:dyDescent="0.2">
      <c r="A82" s="1">
        <v>16000</v>
      </c>
      <c r="B82" s="1">
        <v>951100175</v>
      </c>
      <c r="C82" s="1" t="str">
        <f t="shared" si="14"/>
        <v>تخليه -اصفهان جاده دولت آباد خيابان اكباتان</v>
      </c>
      <c r="D82" s="1">
        <v>9361</v>
      </c>
      <c r="E82" s="1">
        <v>15700</v>
      </c>
      <c r="F82" s="1">
        <v>95</v>
      </c>
      <c r="G82" s="1">
        <v>300</v>
      </c>
      <c r="H82" s="1" t="str">
        <f>"95/11/06"</f>
        <v>95/11/06</v>
      </c>
      <c r="I82" s="1" t="str">
        <f t="shared" si="9"/>
        <v>كيلوگرم</v>
      </c>
      <c r="J82" s="1" t="str">
        <f t="shared" si="6"/>
        <v>0000000076</v>
      </c>
      <c r="K82" s="1" t="str">
        <f t="shared" si="7"/>
        <v>قير 60/70 - فله</v>
      </c>
      <c r="L82" s="1">
        <v>100</v>
      </c>
      <c r="M82" s="1" t="str">
        <f t="shared" si="10"/>
        <v>مخازن قير اصفهان</v>
      </c>
      <c r="N82" s="1">
        <v>7078</v>
      </c>
      <c r="O82" s="1">
        <v>50033548</v>
      </c>
      <c r="P82" s="1" t="str">
        <f t="shared" si="15"/>
        <v xml:space="preserve">  آينده شيمي اصفهان</v>
      </c>
      <c r="Q82" s="1">
        <v>11</v>
      </c>
      <c r="R82" s="1" t="str">
        <f t="shared" si="16"/>
        <v>فروش داخلي تهران - بورس</v>
      </c>
      <c r="S82" s="1" t="str">
        <f t="shared" si="11"/>
        <v>قرارداد فروش</v>
      </c>
      <c r="T82" s="1" t="str">
        <f t="shared" si="12"/>
        <v>ندارد</v>
      </c>
      <c r="U82" s="1" t="str">
        <f t="shared" si="17"/>
        <v>تعاوني جم گستر (1001 ج 89)</v>
      </c>
      <c r="V82" s="1">
        <v>951100175</v>
      </c>
      <c r="W82" s="1">
        <v>951100175</v>
      </c>
      <c r="X82" s="1" t="str">
        <f>"1395460249"</f>
        <v>1395460249</v>
      </c>
      <c r="Y82" s="1" t="str">
        <f>"95/11/05"</f>
        <v>95/11/05</v>
      </c>
      <c r="Z82" s="1" t="str">
        <f>"95/126"</f>
        <v>95/126</v>
      </c>
      <c r="AA82" s="1" t="str">
        <f t="shared" si="18"/>
        <v>عايق كاران</v>
      </c>
      <c r="AB82" s="1" t="str">
        <f>"95/11/04"</f>
        <v>95/11/04</v>
      </c>
      <c r="AC82" s="1" t="str">
        <f t="shared" si="19"/>
        <v>استان اصفهان</v>
      </c>
      <c r="AD82" s="1" t="str">
        <f>"95/11/04"</f>
        <v>95/11/04</v>
      </c>
      <c r="AE82" s="1" t="str">
        <f>"اختتام"</f>
        <v>اختتام</v>
      </c>
      <c r="AF82" s="1" t="str">
        <f>""</f>
        <v/>
      </c>
      <c r="AG82" s="1" t="str">
        <f>""</f>
        <v/>
      </c>
      <c r="AH82" s="1" t="str">
        <f>""</f>
        <v/>
      </c>
      <c r="AI82" s="1" t="str">
        <f>""</f>
        <v/>
      </c>
      <c r="AJ82" s="1" t="str">
        <f>""</f>
        <v/>
      </c>
      <c r="AK82" s="1" t="str">
        <f>""</f>
        <v/>
      </c>
    </row>
    <row r="83" spans="1:37" x14ac:dyDescent="0.2">
      <c r="A83" s="1">
        <v>16000</v>
      </c>
      <c r="B83" s="1">
        <v>951100013</v>
      </c>
      <c r="C83" s="1" t="str">
        <f t="shared" si="14"/>
        <v>تخليه -اصفهان جاده دولت آباد خيابان اكباتان</v>
      </c>
      <c r="D83" s="1">
        <v>5200</v>
      </c>
      <c r="E83" s="1">
        <v>16000</v>
      </c>
      <c r="F83" s="1">
        <v>95</v>
      </c>
      <c r="G83" s="1">
        <v>0</v>
      </c>
      <c r="H83" s="1" t="str">
        <f>"95/01/30"</f>
        <v>95/01/30</v>
      </c>
      <c r="I83" s="1" t="str">
        <f t="shared" si="9"/>
        <v>كيلوگرم</v>
      </c>
      <c r="J83" s="1" t="str">
        <f t="shared" si="6"/>
        <v>0000000076</v>
      </c>
      <c r="K83" s="1" t="str">
        <f t="shared" si="7"/>
        <v>قير 60/70 - فله</v>
      </c>
      <c r="L83" s="1">
        <v>100</v>
      </c>
      <c r="M83" s="1" t="str">
        <f t="shared" si="10"/>
        <v>مخازن قير اصفهان</v>
      </c>
      <c r="N83" s="1">
        <v>7078</v>
      </c>
      <c r="O83" s="1">
        <v>50030575</v>
      </c>
      <c r="P83" s="1" t="str">
        <f t="shared" si="15"/>
        <v xml:space="preserve">  آينده شيمي اصفهان</v>
      </c>
      <c r="Q83" s="1">
        <v>11</v>
      </c>
      <c r="R83" s="1" t="str">
        <f t="shared" si="16"/>
        <v>فروش داخلي تهران - بورس</v>
      </c>
      <c r="S83" s="1" t="str">
        <f t="shared" si="11"/>
        <v>قرارداد فروش</v>
      </c>
      <c r="T83" s="1" t="str">
        <f t="shared" si="12"/>
        <v>ندارد</v>
      </c>
      <c r="U83" s="1" t="str">
        <f t="shared" si="17"/>
        <v>تعاوني جم گستر (1001 ج 89)</v>
      </c>
      <c r="V83" s="1">
        <v>951100013</v>
      </c>
      <c r="W83" s="1">
        <v>951100013</v>
      </c>
      <c r="X83" s="1" t="str">
        <f>"1395399927"</f>
        <v>1395399927</v>
      </c>
      <c r="Y83" s="1" t="str">
        <f>"95/01/29"</f>
        <v>95/01/29</v>
      </c>
      <c r="Z83" s="1" t="str">
        <f>"95/8"</f>
        <v>95/8</v>
      </c>
      <c r="AA83" s="1" t="str">
        <f t="shared" si="18"/>
        <v>عايق كاران</v>
      </c>
      <c r="AB83" s="1" t="str">
        <f>"95/01/24"</f>
        <v>95/01/24</v>
      </c>
      <c r="AC83" s="1" t="str">
        <f t="shared" si="19"/>
        <v>استان اصفهان</v>
      </c>
      <c r="AD83" s="1" t="str">
        <f>"95/01/28"</f>
        <v>95/01/28</v>
      </c>
      <c r="AE83" s="1" t="str">
        <f>"تاييدشده"</f>
        <v>تاييدشده</v>
      </c>
      <c r="AF83" s="1" t="str">
        <f>""</f>
        <v/>
      </c>
      <c r="AG83" s="1" t="str">
        <f>""</f>
        <v/>
      </c>
      <c r="AH83" s="1" t="str">
        <f>""</f>
        <v/>
      </c>
      <c r="AI83" s="1" t="str">
        <f>""</f>
        <v/>
      </c>
      <c r="AJ83" s="1" t="str">
        <f>""</f>
        <v/>
      </c>
      <c r="AK83" s="1" t="str">
        <f>""</f>
        <v/>
      </c>
    </row>
    <row r="84" spans="1:37" x14ac:dyDescent="0.2">
      <c r="A84" s="1">
        <v>302000</v>
      </c>
      <c r="B84" s="1">
        <v>956300018</v>
      </c>
      <c r="C84" s="1" t="str">
        <f>"تخليه - اصفهان - کيلومتر 10 مورچه خورت"</f>
        <v>تخليه - اصفهان - کيلومتر 10 مورچه خورت</v>
      </c>
      <c r="D84" s="1">
        <v>9361</v>
      </c>
      <c r="E84" s="1">
        <v>302000</v>
      </c>
      <c r="F84" s="1">
        <v>95</v>
      </c>
      <c r="G84" s="1">
        <v>0</v>
      </c>
      <c r="H84" s="1" t="str">
        <f>"95/11/12"</f>
        <v>95/11/12</v>
      </c>
      <c r="I84" s="1" t="str">
        <f t="shared" si="9"/>
        <v>كيلوگرم</v>
      </c>
      <c r="J84" s="1" t="str">
        <f t="shared" si="6"/>
        <v>0000000076</v>
      </c>
      <c r="K84" s="1" t="str">
        <f t="shared" si="7"/>
        <v>قير 60/70 - فله</v>
      </c>
      <c r="L84" s="1">
        <v>100</v>
      </c>
      <c r="M84" s="1" t="str">
        <f t="shared" si="10"/>
        <v>مخازن قير اصفهان</v>
      </c>
      <c r="N84" s="1">
        <v>7127</v>
      </c>
      <c r="O84" s="1">
        <v>50033573</v>
      </c>
      <c r="P84" s="1" t="str">
        <f>"  آذر بام عايق کار"</f>
        <v xml:space="preserve">  آذر بام عايق کار</v>
      </c>
      <c r="Q84" s="1">
        <v>63</v>
      </c>
      <c r="R84" s="1" t="str">
        <f>"سازمان نوسازي،توسعه و تجهيز مدارس كشور"</f>
        <v>سازمان نوسازي،توسعه و تجهيز مدارس كشور</v>
      </c>
      <c r="S84" s="1" t="str">
        <f t="shared" si="11"/>
        <v>قرارداد فروش</v>
      </c>
      <c r="T84" s="1" t="str">
        <f t="shared" si="12"/>
        <v>ندارد</v>
      </c>
      <c r="U84" s="1" t="str">
        <f>"فتاح زاده سيداحمد(3843011)"</f>
        <v>فتاح زاده سيداحمد(3843011)</v>
      </c>
      <c r="V84" s="1">
        <v>956300018</v>
      </c>
      <c r="W84" s="1">
        <v>956300018</v>
      </c>
      <c r="X84" s="1" t="str">
        <f>"1395461990"</f>
        <v>1395461990</v>
      </c>
      <c r="Y84" s="1" t="str">
        <f>"95/11/12"</f>
        <v>95/11/12</v>
      </c>
      <c r="Z84" s="1" t="str">
        <f>"2395/10-6606"</f>
        <v>2395/10-6606</v>
      </c>
      <c r="AA84" s="1" t="str">
        <f>"سازمان نوسازي توسعه وتجهيزمدارس كشور"</f>
        <v>سازمان نوسازي توسعه وتجهيزمدارس كشور</v>
      </c>
      <c r="AB84" s="1" t="str">
        <f>"95/11/10"</f>
        <v>95/11/10</v>
      </c>
      <c r="AC84" s="1" t="str">
        <f>"استان چهارمحال بختياري"</f>
        <v>استان چهارمحال بختياري</v>
      </c>
      <c r="AD84" s="1" t="str">
        <f>"95/11/12"</f>
        <v>95/11/12</v>
      </c>
      <c r="AE84" s="1" t="str">
        <f>"تاييدشده"</f>
        <v>تاييدشده</v>
      </c>
      <c r="AF84" s="1" t="str">
        <f>""</f>
        <v/>
      </c>
      <c r="AG84" s="1" t="str">
        <f>""</f>
        <v/>
      </c>
      <c r="AH84" s="1" t="str">
        <f>""</f>
        <v/>
      </c>
      <c r="AI84" s="1" t="str">
        <f>""</f>
        <v/>
      </c>
      <c r="AJ84" s="1" t="str">
        <f>""</f>
        <v/>
      </c>
      <c r="AK84" s="1" t="str">
        <f>""</f>
        <v/>
      </c>
    </row>
    <row r="85" spans="1:37" x14ac:dyDescent="0.2">
      <c r="A85" s="1">
        <v>15000</v>
      </c>
      <c r="B85" s="1">
        <v>956300019</v>
      </c>
      <c r="C85" s="1" t="str">
        <f>"تخليه - اصفهان - کيلومتر 10 مورچه خورت"</f>
        <v>تخليه - اصفهان - کيلومتر 10 مورچه خورت</v>
      </c>
      <c r="D85" s="1">
        <v>9361</v>
      </c>
      <c r="E85" s="1">
        <v>15000</v>
      </c>
      <c r="F85" s="1">
        <v>95</v>
      </c>
      <c r="G85" s="1">
        <v>0</v>
      </c>
      <c r="H85" s="1" t="str">
        <f>"95/11/12"</f>
        <v>95/11/12</v>
      </c>
      <c r="I85" s="1" t="str">
        <f t="shared" si="9"/>
        <v>كيلوگرم</v>
      </c>
      <c r="J85" s="1" t="str">
        <f t="shared" si="6"/>
        <v>0000000076</v>
      </c>
      <c r="K85" s="1" t="str">
        <f t="shared" si="7"/>
        <v>قير 60/70 - فله</v>
      </c>
      <c r="L85" s="1">
        <v>100</v>
      </c>
      <c r="M85" s="1" t="str">
        <f t="shared" si="10"/>
        <v>مخازن قير اصفهان</v>
      </c>
      <c r="N85" s="1">
        <v>7127</v>
      </c>
      <c r="O85" s="1">
        <v>50033574</v>
      </c>
      <c r="P85" s="1" t="str">
        <f>"  آذر بام عايق کار"</f>
        <v xml:space="preserve">  آذر بام عايق کار</v>
      </c>
      <c r="Q85" s="1">
        <v>63</v>
      </c>
      <c r="R85" s="1" t="str">
        <f>"سازمان نوسازي،توسعه و تجهيز مدارس كشور"</f>
        <v>سازمان نوسازي،توسعه و تجهيز مدارس كشور</v>
      </c>
      <c r="S85" s="1" t="str">
        <f t="shared" si="11"/>
        <v>قرارداد فروش</v>
      </c>
      <c r="T85" s="1" t="str">
        <f t="shared" si="12"/>
        <v>ندارد</v>
      </c>
      <c r="U85" s="1" t="str">
        <f>"فتاح زاده سيداحمد(3843011)"</f>
        <v>فتاح زاده سيداحمد(3843011)</v>
      </c>
      <c r="V85" s="1">
        <v>956300019</v>
      </c>
      <c r="W85" s="1">
        <v>956300019</v>
      </c>
      <c r="X85" s="1" t="str">
        <f>"1395461990"</f>
        <v>1395461990</v>
      </c>
      <c r="Y85" s="1" t="str">
        <f>"95/11/12"</f>
        <v>95/11/12</v>
      </c>
      <c r="Z85" s="1" t="str">
        <f>"18/95/1/9526-10213"</f>
        <v>18/95/1/9526-10213</v>
      </c>
      <c r="AA85" s="1" t="str">
        <f>"سازمان نوسازي توسعه وتجهيزمدارس كشور"</f>
        <v>سازمان نوسازي توسعه وتجهيزمدارس كشور</v>
      </c>
      <c r="AB85" s="1" t="str">
        <f>"95/10/23"</f>
        <v>95/10/23</v>
      </c>
      <c r="AC85" s="1" t="str">
        <f>"استان چهارمحال بختياري"</f>
        <v>استان چهارمحال بختياري</v>
      </c>
      <c r="AD85" s="1" t="str">
        <f>"95/11/12"</f>
        <v>95/11/12</v>
      </c>
      <c r="AE85" s="1" t="str">
        <f>"تاييدشده"</f>
        <v>تاييدشده</v>
      </c>
      <c r="AF85" s="1" t="str">
        <f>""</f>
        <v/>
      </c>
      <c r="AG85" s="1" t="str">
        <f>""</f>
        <v/>
      </c>
      <c r="AH85" s="1" t="str">
        <f>""</f>
        <v/>
      </c>
      <c r="AI85" s="1" t="str">
        <f>""</f>
        <v/>
      </c>
      <c r="AJ85" s="1" t="str">
        <f>""</f>
        <v/>
      </c>
      <c r="AK85" s="1" t="str">
        <f>""</f>
        <v/>
      </c>
    </row>
    <row r="86" spans="1:37" x14ac:dyDescent="0.2">
      <c r="A86" s="1">
        <v>108000</v>
      </c>
      <c r="B86" s="1">
        <v>952000291</v>
      </c>
      <c r="C86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86" s="1">
        <v>7026</v>
      </c>
      <c r="E86" s="1">
        <v>107740</v>
      </c>
      <c r="F86" s="1">
        <v>95</v>
      </c>
      <c r="G86" s="1">
        <v>260</v>
      </c>
      <c r="H86" s="1" t="str">
        <f>"95/09/09"</f>
        <v>95/09/09</v>
      </c>
      <c r="I86" s="1" t="str">
        <f t="shared" si="9"/>
        <v>كيلوگرم</v>
      </c>
      <c r="J86" s="1" t="str">
        <f t="shared" si="6"/>
        <v>0000000076</v>
      </c>
      <c r="K86" s="1" t="str">
        <f t="shared" si="7"/>
        <v>قير 60/70 - فله</v>
      </c>
      <c r="L86" s="1">
        <v>100</v>
      </c>
      <c r="M86" s="1" t="str">
        <f t="shared" si="10"/>
        <v>مخازن قير اصفهان</v>
      </c>
      <c r="N86" s="1">
        <v>7129</v>
      </c>
      <c r="O86" s="1">
        <v>50032771</v>
      </c>
      <c r="P86" s="1" t="str">
        <f>"  شهرداري نطنز"</f>
        <v xml:space="preserve">  شهرداري نطنز</v>
      </c>
      <c r="Q86" s="1">
        <v>20</v>
      </c>
      <c r="R86" s="1" t="str">
        <f>"فروش داخلي - سازمان شهرداري ها و دهياري هاي كشور"</f>
        <v>فروش داخلي - سازمان شهرداري ها و دهياري هاي كشور</v>
      </c>
      <c r="S86" s="1" t="str">
        <f t="shared" si="11"/>
        <v>قرارداد فروش</v>
      </c>
      <c r="T86" s="1" t="str">
        <f t="shared" si="12"/>
        <v>ندارد</v>
      </c>
      <c r="U86" s="1" t="str">
        <f>"معماريان سعيد(1004ج89)"</f>
        <v>معماريان سعيد(1004ج89)</v>
      </c>
      <c r="V86" s="1">
        <v>952000291</v>
      </c>
      <c r="W86" s="1">
        <v>952000291</v>
      </c>
      <c r="X86" s="1" t="str">
        <f>"1395447768"</f>
        <v>1395447768</v>
      </c>
      <c r="Y86" s="1" t="str">
        <f>"95/09/09"</f>
        <v>95/09/09</v>
      </c>
      <c r="Z86" s="1" t="str">
        <f>"43280"</f>
        <v>43280</v>
      </c>
      <c r="AA86" s="1" t="str">
        <f>"شهرداريها"</f>
        <v>شهرداريها</v>
      </c>
      <c r="AB86" s="1" t="str">
        <f>"95/09/02"</f>
        <v>95/09/02</v>
      </c>
      <c r="AC86" s="1" t="str">
        <f>"استان اصفهان"</f>
        <v>استان اصفهان</v>
      </c>
      <c r="AD86" s="1" t="str">
        <f>"95/09/07"</f>
        <v>95/09/07</v>
      </c>
      <c r="AE86" s="1" t="str">
        <f>"اختتام"</f>
        <v>اختتام</v>
      </c>
      <c r="AF86" s="1" t="str">
        <f>""</f>
        <v/>
      </c>
      <c r="AG86" s="1" t="str">
        <f>""</f>
        <v/>
      </c>
      <c r="AH86" s="1" t="str">
        <f>""</f>
        <v/>
      </c>
      <c r="AI86" s="1" t="str">
        <f>""</f>
        <v/>
      </c>
      <c r="AJ86" s="1" t="str">
        <f>""</f>
        <v/>
      </c>
      <c r="AK86" s="1" t="str">
        <f>""</f>
        <v/>
      </c>
    </row>
    <row r="87" spans="1:37" x14ac:dyDescent="0.2">
      <c r="A87" s="1">
        <v>75000</v>
      </c>
      <c r="B87" s="1">
        <v>952000278</v>
      </c>
      <c r="C87" s="1" t="str">
        <f>"تخليه -اصفهان -كارخانه زرين سپاهان شهرستان خوربيابانك"</f>
        <v>تخليه -اصفهان -كارخانه زرين سپاهان شهرستان خوربيابانك</v>
      </c>
      <c r="D87" s="1">
        <v>7026</v>
      </c>
      <c r="E87" s="1">
        <v>74080</v>
      </c>
      <c r="F87" s="1">
        <v>95</v>
      </c>
      <c r="G87" s="1">
        <v>920</v>
      </c>
      <c r="H87" s="1" t="str">
        <f>"95/09/09"</f>
        <v>95/09/09</v>
      </c>
      <c r="I87" s="1" t="str">
        <f t="shared" si="9"/>
        <v>كيلوگرم</v>
      </c>
      <c r="J87" s="1" t="str">
        <f t="shared" si="6"/>
        <v>0000000076</v>
      </c>
      <c r="K87" s="1" t="str">
        <f t="shared" si="7"/>
        <v>قير 60/70 - فله</v>
      </c>
      <c r="L87" s="1">
        <v>100</v>
      </c>
      <c r="M87" s="1" t="str">
        <f t="shared" si="10"/>
        <v>مخازن قير اصفهان</v>
      </c>
      <c r="N87" s="1">
        <v>7137</v>
      </c>
      <c r="O87" s="1">
        <v>50032753</v>
      </c>
      <c r="P87" s="1" t="str">
        <f>"  شهرداري جندق"</f>
        <v xml:space="preserve">  شهرداري جندق</v>
      </c>
      <c r="Q87" s="1">
        <v>20</v>
      </c>
      <c r="R87" s="1" t="str">
        <f>"فروش داخلي - سازمان شهرداري ها و دهياري هاي كشور"</f>
        <v>فروش داخلي - سازمان شهرداري ها و دهياري هاي كشور</v>
      </c>
      <c r="S87" s="1" t="str">
        <f t="shared" si="11"/>
        <v>قرارداد فروش</v>
      </c>
      <c r="T87" s="1" t="str">
        <f t="shared" si="12"/>
        <v>ندارد</v>
      </c>
      <c r="U87" s="1" t="str">
        <f>"مرادي نجاتعلي(1020ج89)"</f>
        <v>مرادي نجاتعلي(1020ج89)</v>
      </c>
      <c r="V87" s="1">
        <v>952000278</v>
      </c>
      <c r="W87" s="1">
        <v>952000278</v>
      </c>
      <c r="X87" s="1" t="str">
        <f>"1395447768"</f>
        <v>1395447768</v>
      </c>
      <c r="Y87" s="1" t="str">
        <f>"95/09/09"</f>
        <v>95/09/09</v>
      </c>
      <c r="Z87" s="1" t="str">
        <f>"43231"</f>
        <v>43231</v>
      </c>
      <c r="AA87" s="1" t="str">
        <f>"شهرداريها"</f>
        <v>شهرداريها</v>
      </c>
      <c r="AB87" s="1" t="str">
        <f>"95/09/01"</f>
        <v>95/09/01</v>
      </c>
      <c r="AC87" s="1" t="str">
        <f>"استان اصفهان"</f>
        <v>استان اصفهان</v>
      </c>
      <c r="AD87" s="1" t="str">
        <f>"95/09/07"</f>
        <v>95/09/07</v>
      </c>
      <c r="AE87" s="1" t="str">
        <f>"اختتام"</f>
        <v>اختتام</v>
      </c>
      <c r="AF87" s="1" t="str">
        <f>""</f>
        <v/>
      </c>
      <c r="AG87" s="1" t="str">
        <f>""</f>
        <v/>
      </c>
      <c r="AH87" s="1" t="str">
        <f>""</f>
        <v/>
      </c>
      <c r="AI87" s="1" t="str">
        <f>""</f>
        <v/>
      </c>
      <c r="AJ87" s="1" t="str">
        <f>""</f>
        <v/>
      </c>
      <c r="AK87" s="1" t="str">
        <f>""</f>
        <v/>
      </c>
    </row>
    <row r="88" spans="1:37" x14ac:dyDescent="0.2">
      <c r="A88" s="1">
        <v>16000</v>
      </c>
      <c r="B88" s="1">
        <v>951100087</v>
      </c>
      <c r="C88" s="1" t="str">
        <f>"تخليه -اصفهان جاده دولت آباد خيابان اكباتان"</f>
        <v>تخليه -اصفهان جاده دولت آباد خيابان اكباتان</v>
      </c>
      <c r="D88" s="1">
        <v>5950</v>
      </c>
      <c r="E88" s="1">
        <v>16000</v>
      </c>
      <c r="F88" s="1">
        <v>95</v>
      </c>
      <c r="G88" s="1">
        <v>0</v>
      </c>
      <c r="H88" s="1" t="str">
        <f>"95/04/21"</f>
        <v>95/04/21</v>
      </c>
      <c r="I88" s="1" t="str">
        <f t="shared" si="9"/>
        <v>كيلوگرم</v>
      </c>
      <c r="J88" s="1" t="str">
        <f t="shared" si="6"/>
        <v>0000000076</v>
      </c>
      <c r="K88" s="1" t="str">
        <f t="shared" si="7"/>
        <v>قير 60/70 - فله</v>
      </c>
      <c r="L88" s="1">
        <v>100</v>
      </c>
      <c r="M88" s="1" t="str">
        <f t="shared" si="10"/>
        <v>مخازن قير اصفهان</v>
      </c>
      <c r="N88" s="1">
        <v>7078</v>
      </c>
      <c r="O88" s="1">
        <v>50031259</v>
      </c>
      <c r="P88" s="1" t="str">
        <f>"  آينده شيمي اصفهان"</f>
        <v xml:space="preserve">  آينده شيمي اصفهان</v>
      </c>
      <c r="Q88" s="1">
        <v>11</v>
      </c>
      <c r="R88" s="1" t="str">
        <f>"فروش داخلي تهران - بورس"</f>
        <v>فروش داخلي تهران - بورس</v>
      </c>
      <c r="S88" s="1" t="str">
        <f t="shared" si="11"/>
        <v>قرارداد فروش</v>
      </c>
      <c r="T88" s="1" t="str">
        <f t="shared" si="12"/>
        <v>ندارد</v>
      </c>
      <c r="U88" s="1" t="str">
        <f>"تعاوني جم گستر (1001 ج 89)"</f>
        <v>تعاوني جم گستر (1001 ج 89)</v>
      </c>
      <c r="V88" s="1">
        <v>951100087</v>
      </c>
      <c r="W88" s="1">
        <v>951100087</v>
      </c>
      <c r="X88" s="1" t="str">
        <f>"1395413314"</f>
        <v>1395413314</v>
      </c>
      <c r="Y88" s="1" t="str">
        <f>"95/04/20"</f>
        <v>95/04/20</v>
      </c>
      <c r="Z88" s="1" t="str">
        <f>"95/46"</f>
        <v>95/46</v>
      </c>
      <c r="AA88" s="1" t="str">
        <f>"عايق كاران"</f>
        <v>عايق كاران</v>
      </c>
      <c r="AB88" s="1" t="str">
        <f>"95/04/14"</f>
        <v>95/04/14</v>
      </c>
      <c r="AC88" s="1" t="str">
        <f>"استان اصفهان"</f>
        <v>استان اصفهان</v>
      </c>
      <c r="AD88" s="1" t="str">
        <f>"95/04/15"</f>
        <v>95/04/15</v>
      </c>
      <c r="AE88" s="1" t="str">
        <f>"تاييدشده"</f>
        <v>تاييدشده</v>
      </c>
      <c r="AF88" s="1" t="str">
        <f>""</f>
        <v/>
      </c>
      <c r="AG88" s="1" t="str">
        <f>""</f>
        <v/>
      </c>
      <c r="AH88" s="1" t="str">
        <f>""</f>
        <v/>
      </c>
      <c r="AI88" s="1" t="str">
        <f>""</f>
        <v/>
      </c>
      <c r="AJ88" s="1" t="str">
        <f>""</f>
        <v/>
      </c>
      <c r="AK88" s="1" t="str">
        <f>""</f>
        <v/>
      </c>
    </row>
    <row r="89" spans="1:37" x14ac:dyDescent="0.2">
      <c r="A89" s="1">
        <v>16000</v>
      </c>
      <c r="B89" s="1">
        <v>951100114</v>
      </c>
      <c r="C89" s="1" t="str">
        <f>"تخليه -اصفهان جاده دولت آباد خيابان اكباتان"</f>
        <v>تخليه -اصفهان جاده دولت آباد خيابان اكباتان</v>
      </c>
      <c r="D89" s="1">
        <v>6876</v>
      </c>
      <c r="E89" s="1">
        <v>16000</v>
      </c>
      <c r="F89" s="1">
        <v>95</v>
      </c>
      <c r="G89" s="1">
        <v>0</v>
      </c>
      <c r="H89" s="1" t="str">
        <f>"95/06/17"</f>
        <v>95/06/17</v>
      </c>
      <c r="I89" s="1" t="str">
        <f t="shared" si="9"/>
        <v>كيلوگرم</v>
      </c>
      <c r="J89" s="1" t="str">
        <f t="shared" si="6"/>
        <v>0000000076</v>
      </c>
      <c r="K89" s="1" t="str">
        <f t="shared" si="7"/>
        <v>قير 60/70 - فله</v>
      </c>
      <c r="L89" s="1">
        <v>100</v>
      </c>
      <c r="M89" s="1" t="str">
        <f t="shared" si="10"/>
        <v>مخازن قير اصفهان</v>
      </c>
      <c r="N89" s="1">
        <v>7078</v>
      </c>
      <c r="O89" s="1">
        <v>50031826</v>
      </c>
      <c r="P89" s="1" t="str">
        <f>"  آينده شيمي اصفهان"</f>
        <v xml:space="preserve">  آينده شيمي اصفهان</v>
      </c>
      <c r="Q89" s="1">
        <v>11</v>
      </c>
      <c r="R89" s="1" t="str">
        <f>"فروش داخلي تهران - بورس"</f>
        <v>فروش داخلي تهران - بورس</v>
      </c>
      <c r="S89" s="1" t="str">
        <f t="shared" si="11"/>
        <v>قرارداد فروش</v>
      </c>
      <c r="T89" s="1" t="str">
        <f t="shared" si="12"/>
        <v>ندارد</v>
      </c>
      <c r="U89" s="1" t="str">
        <f>"تعاوني جم گستر (1001 ج 89)"</f>
        <v>تعاوني جم گستر (1001 ج 89)</v>
      </c>
      <c r="V89" s="1">
        <v>951100114</v>
      </c>
      <c r="W89" s="1">
        <v>951100114</v>
      </c>
      <c r="X89" s="1" t="str">
        <f>"1395429124"</f>
        <v>1395429124</v>
      </c>
      <c r="Y89" s="1" t="str">
        <f>"95/06/17"</f>
        <v>95/06/17</v>
      </c>
      <c r="Z89" s="1" t="str">
        <f>"95/64"</f>
        <v>95/64</v>
      </c>
      <c r="AA89" s="1" t="str">
        <f>"آسفالت سازان"</f>
        <v>آسفالت سازان</v>
      </c>
      <c r="AB89" s="1" t="str">
        <f>"95/06/15"</f>
        <v>95/06/15</v>
      </c>
      <c r="AC89" s="1" t="str">
        <f>"استان اصفهان"</f>
        <v>استان اصفهان</v>
      </c>
      <c r="AD89" s="1" t="str">
        <f>"95/06/15"</f>
        <v>95/06/15</v>
      </c>
      <c r="AE89" s="1" t="str">
        <f>"تاييدشده"</f>
        <v>تاييدشده</v>
      </c>
      <c r="AF89" s="1" t="str">
        <f>""</f>
        <v/>
      </c>
      <c r="AG89" s="1" t="str">
        <f>""</f>
        <v/>
      </c>
      <c r="AH89" s="1" t="str">
        <f>""</f>
        <v/>
      </c>
      <c r="AI89" s="1" t="str">
        <f>""</f>
        <v/>
      </c>
      <c r="AJ89" s="1" t="str">
        <f>""</f>
        <v/>
      </c>
      <c r="AK89" s="1" t="str">
        <f>""</f>
        <v/>
      </c>
    </row>
    <row r="90" spans="1:37" x14ac:dyDescent="0.2">
      <c r="A90" s="1">
        <v>116000</v>
      </c>
      <c r="B90" s="1">
        <v>956300008</v>
      </c>
      <c r="C90" s="1" t="str">
        <f>"تخليه خراسان جنوبي شهرستان درميان شهراسديه كارخانه آسفالت شهرداري"</f>
        <v>تخليه خراسان جنوبي شهرستان درميان شهراسديه كارخانه آسفالت شهرداري</v>
      </c>
      <c r="D90" s="1">
        <v>8861</v>
      </c>
      <c r="E90" s="1">
        <v>109680</v>
      </c>
      <c r="F90" s="1">
        <v>95</v>
      </c>
      <c r="G90" s="1">
        <v>6320</v>
      </c>
      <c r="H90" s="1" t="str">
        <f>"95/10/07"</f>
        <v>95/10/07</v>
      </c>
      <c r="I90" s="1" t="str">
        <f t="shared" si="9"/>
        <v>كيلوگرم</v>
      </c>
      <c r="J90" s="1" t="str">
        <f t="shared" si="6"/>
        <v>0000000076</v>
      </c>
      <c r="K90" s="1" t="str">
        <f t="shared" si="7"/>
        <v>قير 60/70 - فله</v>
      </c>
      <c r="L90" s="1">
        <v>100</v>
      </c>
      <c r="M90" s="1" t="str">
        <f t="shared" si="10"/>
        <v>مخازن قير اصفهان</v>
      </c>
      <c r="N90" s="1">
        <v>4024</v>
      </c>
      <c r="O90" s="1">
        <v>50033193</v>
      </c>
      <c r="P90" s="1" t="str">
        <f>"  شهرداري اسديه"</f>
        <v xml:space="preserve">  شهرداري اسديه</v>
      </c>
      <c r="Q90" s="1">
        <v>63</v>
      </c>
      <c r="R90" s="1" t="str">
        <f>"سازمان نوسازي،توسعه و تجهيز مدارس كشور"</f>
        <v>سازمان نوسازي،توسعه و تجهيز مدارس كشور</v>
      </c>
      <c r="S90" s="1" t="str">
        <f t="shared" si="11"/>
        <v>قرارداد فروش</v>
      </c>
      <c r="T90" s="1" t="str">
        <f t="shared" si="12"/>
        <v>ندارد</v>
      </c>
      <c r="U90" s="1" t="str">
        <f>"بابامحمدي عنايت اله(4844000)"</f>
        <v>بابامحمدي عنايت اله(4844000)</v>
      </c>
      <c r="V90" s="1">
        <v>956300008</v>
      </c>
      <c r="W90" s="1">
        <v>956300008</v>
      </c>
      <c r="X90" s="1" t="str">
        <f>"1395454985"</f>
        <v>1395454985</v>
      </c>
      <c r="Y90" s="1" t="str">
        <f>"95/10/07"</f>
        <v>95/10/07</v>
      </c>
      <c r="Z90" s="1" t="str">
        <f>"3095/19-8671"</f>
        <v>3095/19-8671</v>
      </c>
      <c r="AA90" s="1" t="str">
        <f>"سازمان نوسازي توسعه وتجهيزمدارس كشور"</f>
        <v>سازمان نوسازي توسعه وتجهيزمدارس كشور</v>
      </c>
      <c r="AB90" s="1" t="str">
        <f>"95/09/04"</f>
        <v>95/09/04</v>
      </c>
      <c r="AC90" s="1" t="str">
        <f>"خراسان جنوبي"</f>
        <v>خراسان جنوبي</v>
      </c>
      <c r="AD90" s="1" t="str">
        <f>"95/10/07"</f>
        <v>95/10/07</v>
      </c>
      <c r="AE90" s="1" t="str">
        <f>"اختتام"</f>
        <v>اختتام</v>
      </c>
      <c r="AF90" s="1" t="str">
        <f>""</f>
        <v/>
      </c>
      <c r="AG90" s="1" t="str">
        <f>""</f>
        <v/>
      </c>
      <c r="AH90" s="1" t="str">
        <f>""</f>
        <v/>
      </c>
      <c r="AI90" s="1" t="str">
        <f>""</f>
        <v/>
      </c>
      <c r="AJ90" s="1" t="str">
        <f>""</f>
        <v/>
      </c>
      <c r="AK90" s="1" t="str">
        <f>""</f>
        <v/>
      </c>
    </row>
    <row r="91" spans="1:37" x14ac:dyDescent="0.2">
      <c r="A91" s="1">
        <v>16000</v>
      </c>
      <c r="B91" s="1">
        <v>951100071</v>
      </c>
      <c r="C91" s="1" t="str">
        <f>"تخليه -اصفهان جاده دولت آباد خيابان اكباتان"</f>
        <v>تخليه -اصفهان جاده دولت آباد خيابان اكباتان</v>
      </c>
      <c r="D91" s="1">
        <v>5750</v>
      </c>
      <c r="E91" s="1">
        <v>16000</v>
      </c>
      <c r="F91" s="1">
        <v>95</v>
      </c>
      <c r="G91" s="1">
        <v>0</v>
      </c>
      <c r="H91" s="1" t="str">
        <f>"95/03/26"</f>
        <v>95/03/26</v>
      </c>
      <c r="I91" s="1" t="str">
        <f t="shared" si="9"/>
        <v>كيلوگرم</v>
      </c>
      <c r="J91" s="1" t="str">
        <f t="shared" si="6"/>
        <v>0000000076</v>
      </c>
      <c r="K91" s="1" t="str">
        <f t="shared" si="7"/>
        <v>قير 60/70 - فله</v>
      </c>
      <c r="L91" s="1">
        <v>100</v>
      </c>
      <c r="M91" s="1" t="str">
        <f t="shared" si="10"/>
        <v>مخازن قير اصفهان</v>
      </c>
      <c r="N91" s="1">
        <v>7078</v>
      </c>
      <c r="O91" s="1">
        <v>50031052</v>
      </c>
      <c r="P91" s="1" t="str">
        <f>"  آينده شيمي اصفهان"</f>
        <v xml:space="preserve">  آينده شيمي اصفهان</v>
      </c>
      <c r="Q91" s="1">
        <v>11</v>
      </c>
      <c r="R91" s="1" t="str">
        <f>"فروش داخلي تهران - بورس"</f>
        <v>فروش داخلي تهران - بورس</v>
      </c>
      <c r="S91" s="1" t="str">
        <f t="shared" si="11"/>
        <v>قرارداد فروش</v>
      </c>
      <c r="T91" s="1" t="str">
        <f t="shared" si="12"/>
        <v>ندارد</v>
      </c>
      <c r="U91" s="1" t="str">
        <f>"تعاوني جم گستر (1001 ج 89)"</f>
        <v>تعاوني جم گستر (1001 ج 89)</v>
      </c>
      <c r="V91" s="1">
        <v>951100071</v>
      </c>
      <c r="W91" s="1">
        <v>951100071</v>
      </c>
      <c r="X91" s="1" t="str">
        <f>"1395409016"</f>
        <v>1395409016</v>
      </c>
      <c r="Y91" s="1" t="str">
        <f>"95/03/25"</f>
        <v>95/03/25</v>
      </c>
      <c r="Z91" s="1" t="str">
        <f>"95/36"</f>
        <v>95/36</v>
      </c>
      <c r="AA91" s="1" t="str">
        <f>"عايق كاران"</f>
        <v>عايق كاران</v>
      </c>
      <c r="AB91" s="1" t="str">
        <f>"95/03/23"</f>
        <v>95/03/23</v>
      </c>
      <c r="AC91" s="1" t="str">
        <f>"استان اصفهان"</f>
        <v>استان اصفهان</v>
      </c>
      <c r="AD91" s="1" t="str">
        <f>"95/03/24"</f>
        <v>95/03/24</v>
      </c>
      <c r="AE91" s="1" t="str">
        <f>"تاييدشده"</f>
        <v>تاييدشده</v>
      </c>
      <c r="AF91" s="1" t="str">
        <f>""</f>
        <v/>
      </c>
      <c r="AG91" s="1" t="str">
        <f>""</f>
        <v/>
      </c>
      <c r="AH91" s="1" t="str">
        <f>""</f>
        <v/>
      </c>
      <c r="AI91" s="1" t="str">
        <f>""</f>
        <v/>
      </c>
      <c r="AJ91" s="1" t="str">
        <f>""</f>
        <v/>
      </c>
      <c r="AK91" s="1" t="str">
        <f>""</f>
        <v/>
      </c>
    </row>
    <row r="92" spans="1:37" x14ac:dyDescent="0.2">
      <c r="A92" s="1">
        <v>16000</v>
      </c>
      <c r="B92" s="1">
        <v>951100132</v>
      </c>
      <c r="C92" s="1" t="str">
        <f>"تخليه -اصفهان جاده دولت آباد خيابان اكباتان"</f>
        <v>تخليه -اصفهان جاده دولت آباد خيابان اكباتان</v>
      </c>
      <c r="D92" s="1">
        <v>8973</v>
      </c>
      <c r="E92" s="1">
        <v>16000</v>
      </c>
      <c r="F92" s="1">
        <v>95</v>
      </c>
      <c r="G92" s="1">
        <v>0</v>
      </c>
      <c r="H92" s="1" t="str">
        <f>"95/08/08"</f>
        <v>95/08/08</v>
      </c>
      <c r="I92" s="1" t="str">
        <f t="shared" si="9"/>
        <v>كيلوگرم</v>
      </c>
      <c r="J92" s="1" t="str">
        <f t="shared" si="6"/>
        <v>0000000076</v>
      </c>
      <c r="K92" s="1" t="str">
        <f t="shared" si="7"/>
        <v>قير 60/70 - فله</v>
      </c>
      <c r="L92" s="1">
        <v>100</v>
      </c>
      <c r="M92" s="1" t="str">
        <f t="shared" si="10"/>
        <v>مخازن قير اصفهان</v>
      </c>
      <c r="N92" s="1">
        <v>7078</v>
      </c>
      <c r="O92" s="1">
        <v>50032384</v>
      </c>
      <c r="P92" s="1" t="str">
        <f>"  آينده شيمي اصفهان"</f>
        <v xml:space="preserve">  آينده شيمي اصفهان</v>
      </c>
      <c r="Q92" s="1">
        <v>11</v>
      </c>
      <c r="R92" s="1" t="str">
        <f>"فروش داخلي تهران - بورس"</f>
        <v>فروش داخلي تهران - بورس</v>
      </c>
      <c r="S92" s="1" t="str">
        <f t="shared" si="11"/>
        <v>قرارداد فروش</v>
      </c>
      <c r="T92" s="1" t="str">
        <f t="shared" si="12"/>
        <v>ندارد</v>
      </c>
      <c r="U92" s="1" t="str">
        <f>"تعاوني جم گستر (1001 ج 89)"</f>
        <v>تعاوني جم گستر (1001 ج 89)</v>
      </c>
      <c r="V92" s="1">
        <v>951100132</v>
      </c>
      <c r="W92" s="1">
        <v>951100132</v>
      </c>
      <c r="X92" s="1" t="str">
        <f>"1395441027"</f>
        <v>1395441027</v>
      </c>
      <c r="Y92" s="1" t="str">
        <f>"95/08/08"</f>
        <v>95/08/08</v>
      </c>
      <c r="Z92" s="1" t="str">
        <f>"95/93"</f>
        <v>95/93</v>
      </c>
      <c r="AA92" s="1" t="str">
        <f>"عايق كاران"</f>
        <v>عايق كاران</v>
      </c>
      <c r="AB92" s="1" t="str">
        <f>"95/08/04"</f>
        <v>95/08/04</v>
      </c>
      <c r="AC92" s="1" t="str">
        <f>"استان اصفهان"</f>
        <v>استان اصفهان</v>
      </c>
      <c r="AD92" s="1" t="str">
        <f>"95/08/05"</f>
        <v>95/08/05</v>
      </c>
      <c r="AE92" s="1" t="str">
        <f>"تاييدشده"</f>
        <v>تاييدشده</v>
      </c>
      <c r="AF92" s="1" t="str">
        <f>""</f>
        <v/>
      </c>
      <c r="AG92" s="1" t="str">
        <f>""</f>
        <v/>
      </c>
      <c r="AH92" s="1" t="str">
        <f>""</f>
        <v/>
      </c>
      <c r="AI92" s="1" t="str">
        <f>""</f>
        <v/>
      </c>
      <c r="AJ92" s="1" t="str">
        <f>""</f>
        <v/>
      </c>
      <c r="AK92" s="1" t="str">
        <f>""</f>
        <v/>
      </c>
    </row>
    <row r="93" spans="1:37" x14ac:dyDescent="0.2">
      <c r="A93" s="1">
        <v>16000</v>
      </c>
      <c r="B93" s="1">
        <v>951100154</v>
      </c>
      <c r="C93" s="1" t="str">
        <f>"تخليه -اصفهان جاده دولت آباد خيابان اكباتان"</f>
        <v>تخليه -اصفهان جاده دولت آباد خيابان اكباتان</v>
      </c>
      <c r="D93" s="1">
        <v>7026</v>
      </c>
      <c r="E93" s="1">
        <v>16000</v>
      </c>
      <c r="F93" s="1">
        <v>95</v>
      </c>
      <c r="G93" s="1">
        <v>0</v>
      </c>
      <c r="H93" s="1" t="str">
        <f>"95/09/17"</f>
        <v>95/09/17</v>
      </c>
      <c r="I93" s="1" t="str">
        <f t="shared" si="9"/>
        <v>كيلوگرم</v>
      </c>
      <c r="J93" s="1" t="str">
        <f t="shared" si="6"/>
        <v>0000000076</v>
      </c>
      <c r="K93" s="1" t="str">
        <f t="shared" si="7"/>
        <v>قير 60/70 - فله</v>
      </c>
      <c r="L93" s="1">
        <v>100</v>
      </c>
      <c r="M93" s="1" t="str">
        <f t="shared" si="10"/>
        <v>مخازن قير اصفهان</v>
      </c>
      <c r="N93" s="1">
        <v>7078</v>
      </c>
      <c r="O93" s="1">
        <v>50032910</v>
      </c>
      <c r="P93" s="1" t="str">
        <f>"  آينده شيمي اصفهان"</f>
        <v xml:space="preserve">  آينده شيمي اصفهان</v>
      </c>
      <c r="Q93" s="1">
        <v>11</v>
      </c>
      <c r="R93" s="1" t="str">
        <f>"فروش داخلي تهران - بورس"</f>
        <v>فروش داخلي تهران - بورس</v>
      </c>
      <c r="S93" s="1" t="str">
        <f t="shared" si="11"/>
        <v>قرارداد فروش</v>
      </c>
      <c r="T93" s="1" t="str">
        <f t="shared" si="12"/>
        <v>ندارد</v>
      </c>
      <c r="U93" s="1" t="str">
        <f>"تعاوني جم گستر (1001 ج 89)"</f>
        <v>تعاوني جم گستر (1001 ج 89)</v>
      </c>
      <c r="V93" s="1">
        <v>951100154</v>
      </c>
      <c r="W93" s="1">
        <v>951100154</v>
      </c>
      <c r="X93" s="1" t="str">
        <f>"1395449860"</f>
        <v>1395449860</v>
      </c>
      <c r="Y93" s="1" t="str">
        <f>"95/09/17"</f>
        <v>95/09/17</v>
      </c>
      <c r="Z93" s="1" t="str">
        <f>"95/115"</f>
        <v>95/115</v>
      </c>
      <c r="AA93" s="1" t="str">
        <f>"عايق كاران"</f>
        <v>عايق كاران</v>
      </c>
      <c r="AB93" s="1" t="str">
        <f>"95/09/12"</f>
        <v>95/09/12</v>
      </c>
      <c r="AC93" s="1" t="str">
        <f>"استان اصفهان"</f>
        <v>استان اصفهان</v>
      </c>
      <c r="AD93" s="1" t="str">
        <f>"95/09/16"</f>
        <v>95/09/16</v>
      </c>
      <c r="AE93" s="1" t="str">
        <f>"تاييدشده"</f>
        <v>تاييدشده</v>
      </c>
      <c r="AF93" s="1" t="str">
        <f>""</f>
        <v/>
      </c>
      <c r="AG93" s="1" t="str">
        <f>""</f>
        <v/>
      </c>
      <c r="AH93" s="1" t="str">
        <f>""</f>
        <v/>
      </c>
      <c r="AI93" s="1" t="str">
        <f>""</f>
        <v/>
      </c>
      <c r="AJ93" s="1" t="str">
        <f>""</f>
        <v/>
      </c>
      <c r="AK93" s="1" t="str">
        <f>""</f>
        <v/>
      </c>
    </row>
    <row r="94" spans="1:37" x14ac:dyDescent="0.2">
      <c r="A94" s="1">
        <v>66000</v>
      </c>
      <c r="B94" s="1">
        <v>956300015</v>
      </c>
      <c r="C94" s="1" t="str">
        <f>"تخليه -خراسان جنوبي -كيلومتر5جاده فردوس -سرايان كارخانه آسفالت شهرداري سرايان"</f>
        <v>تخليه -خراسان جنوبي -كيلومتر5جاده فردوس -سرايان كارخانه آسفالت شهرداري سرايان</v>
      </c>
      <c r="D94" s="1">
        <v>9361</v>
      </c>
      <c r="E94" s="1">
        <v>64700</v>
      </c>
      <c r="F94" s="1">
        <v>95</v>
      </c>
      <c r="G94" s="1">
        <v>1300</v>
      </c>
      <c r="H94" s="1" t="str">
        <f>"95/11/09"</f>
        <v>95/11/09</v>
      </c>
      <c r="I94" s="1" t="str">
        <f t="shared" si="9"/>
        <v>كيلوگرم</v>
      </c>
      <c r="J94" s="1" t="str">
        <f t="shared" si="6"/>
        <v>0000000076</v>
      </c>
      <c r="K94" s="1" t="str">
        <f t="shared" si="7"/>
        <v>قير 60/70 - فله</v>
      </c>
      <c r="L94" s="1">
        <v>100</v>
      </c>
      <c r="M94" s="1" t="str">
        <f t="shared" si="10"/>
        <v>مخازن قير اصفهان</v>
      </c>
      <c r="N94" s="1">
        <v>7170</v>
      </c>
      <c r="O94" s="1">
        <v>50033554</v>
      </c>
      <c r="P94" s="1" t="str">
        <f>"  شهرداري سرايان"</f>
        <v xml:space="preserve">  شهرداري سرايان</v>
      </c>
      <c r="Q94" s="1">
        <v>63</v>
      </c>
      <c r="R94" s="1" t="str">
        <f>"سازمان نوسازي،توسعه و تجهيز مدارس كشور"</f>
        <v>سازمان نوسازي،توسعه و تجهيز مدارس كشور</v>
      </c>
      <c r="S94" s="1" t="str">
        <f t="shared" si="11"/>
        <v>قرارداد فروش</v>
      </c>
      <c r="T94" s="1" t="str">
        <f t="shared" si="12"/>
        <v>ندارد</v>
      </c>
      <c r="U94" s="1" t="str">
        <f>"كاردان اسپادان راه مصطفي  (1911100)"</f>
        <v>كاردان اسپادان راه مصطفي  (1911100)</v>
      </c>
      <c r="V94" s="1">
        <v>956300015</v>
      </c>
      <c r="W94" s="1">
        <v>956300015</v>
      </c>
      <c r="X94" s="1" t="str">
        <f>"1395461327"</f>
        <v>1395461327</v>
      </c>
      <c r="Y94" s="1" t="str">
        <f>"95/11/09"</f>
        <v>95/11/09</v>
      </c>
      <c r="Z94" s="1" t="str">
        <f>"3095/19-8680"</f>
        <v>3095/19-8680</v>
      </c>
      <c r="AA94" s="1" t="str">
        <f>"سازمان نوسازي توسعه وتجهيزمدارس كشور"</f>
        <v>سازمان نوسازي توسعه وتجهيزمدارس كشور</v>
      </c>
      <c r="AB94" s="1" t="str">
        <f>"95/09/04"</f>
        <v>95/09/04</v>
      </c>
      <c r="AC94" s="1" t="str">
        <f>"خراسان جنوبي"</f>
        <v>خراسان جنوبي</v>
      </c>
      <c r="AD94" s="1" t="str">
        <f>"95/11/09"</f>
        <v>95/11/09</v>
      </c>
      <c r="AE94" s="1" t="str">
        <f>"اختتام"</f>
        <v>اختتام</v>
      </c>
      <c r="AF94" s="1" t="str">
        <f>""</f>
        <v/>
      </c>
      <c r="AG94" s="1" t="str">
        <f>""</f>
        <v/>
      </c>
      <c r="AH94" s="1" t="str">
        <f>""</f>
        <v/>
      </c>
      <c r="AI94" s="1" t="str">
        <f>""</f>
        <v/>
      </c>
      <c r="AJ94" s="1" t="str">
        <f>""</f>
        <v/>
      </c>
      <c r="AK94" s="1" t="str">
        <f>""</f>
        <v/>
      </c>
    </row>
    <row r="95" spans="1:37" x14ac:dyDescent="0.2">
      <c r="A95" s="1">
        <v>117000</v>
      </c>
      <c r="B95" s="1">
        <v>956300003</v>
      </c>
      <c r="C95" s="1" t="str">
        <f>"تخليه - اصفهان - کيلومتر 10 مورچه خورت"</f>
        <v>تخليه - اصفهان - کيلومتر 10 مورچه خورت</v>
      </c>
      <c r="D95" s="1">
        <v>7026</v>
      </c>
      <c r="E95" s="1">
        <v>117000</v>
      </c>
      <c r="F95" s="1">
        <v>95</v>
      </c>
      <c r="G95" s="1">
        <v>0</v>
      </c>
      <c r="H95" s="1" t="str">
        <f>"95/09/21"</f>
        <v>95/09/21</v>
      </c>
      <c r="I95" s="1" t="str">
        <f t="shared" si="9"/>
        <v>كيلوگرم</v>
      </c>
      <c r="J95" s="1" t="str">
        <f t="shared" si="6"/>
        <v>0000000076</v>
      </c>
      <c r="K95" s="1" t="str">
        <f t="shared" si="7"/>
        <v>قير 60/70 - فله</v>
      </c>
      <c r="L95" s="1">
        <v>100</v>
      </c>
      <c r="M95" s="1" t="str">
        <f t="shared" si="10"/>
        <v>مخازن قير اصفهان</v>
      </c>
      <c r="N95" s="1">
        <v>7127</v>
      </c>
      <c r="O95" s="1">
        <v>50032987</v>
      </c>
      <c r="P95" s="1" t="str">
        <f>"  آذر بام عايق کار"</f>
        <v xml:space="preserve">  آذر بام عايق کار</v>
      </c>
      <c r="Q95" s="1">
        <v>63</v>
      </c>
      <c r="R95" s="1" t="str">
        <f>"سازمان نوسازي،توسعه و تجهيز مدارس كشور"</f>
        <v>سازمان نوسازي،توسعه و تجهيز مدارس كشور</v>
      </c>
      <c r="S95" s="1" t="str">
        <f t="shared" si="11"/>
        <v>قرارداد فروش</v>
      </c>
      <c r="T95" s="1" t="str">
        <f t="shared" si="12"/>
        <v>ندارد</v>
      </c>
      <c r="U95" s="1" t="str">
        <f>"فتاح زاده سيداحمد(3843011)"</f>
        <v>فتاح زاده سيداحمد(3843011)</v>
      </c>
      <c r="V95" s="1">
        <v>956300003</v>
      </c>
      <c r="W95" s="1">
        <v>956300003</v>
      </c>
      <c r="X95" s="1" t="str">
        <f>"1395451262"</f>
        <v>1395451262</v>
      </c>
      <c r="Y95" s="1" t="str">
        <f>"95/09/21"</f>
        <v>95/09/21</v>
      </c>
      <c r="Z95" s="1" t="str">
        <f>"18/95/1/7755"</f>
        <v>18/95/1/7755</v>
      </c>
      <c r="AA95" s="1" t="str">
        <f>"سازمان نوسازي توسعه وتجهيزمدارس كشور"</f>
        <v>سازمان نوسازي توسعه وتجهيزمدارس كشور</v>
      </c>
      <c r="AB95" s="1" t="str">
        <f>"95/09/09"</f>
        <v>95/09/09</v>
      </c>
      <c r="AC95" s="1" t="str">
        <f>"استان اصفهان"</f>
        <v>استان اصفهان</v>
      </c>
      <c r="AD95" s="1" t="str">
        <f>"95/09/21"</f>
        <v>95/09/21</v>
      </c>
      <c r="AE95" s="1" t="str">
        <f>"تاييدشده"</f>
        <v>تاييدشده</v>
      </c>
      <c r="AF95" s="1" t="str">
        <f>""</f>
        <v/>
      </c>
      <c r="AG95" s="1" t="str">
        <f>""</f>
        <v/>
      </c>
      <c r="AH95" s="1" t="str">
        <f>""</f>
        <v/>
      </c>
      <c r="AI95" s="1" t="str">
        <f>""</f>
        <v/>
      </c>
      <c r="AJ95" s="1" t="str">
        <f>""</f>
        <v/>
      </c>
      <c r="AK95" s="1" t="str">
        <f>""</f>
        <v/>
      </c>
    </row>
    <row r="96" spans="1:37" x14ac:dyDescent="0.2">
      <c r="A96" s="1">
        <v>117000</v>
      </c>
      <c r="B96" s="1">
        <v>952000248</v>
      </c>
      <c r="C96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96" s="1">
        <v>7026</v>
      </c>
      <c r="E96" s="1">
        <v>116620</v>
      </c>
      <c r="F96" s="1">
        <v>95</v>
      </c>
      <c r="G96" s="1">
        <v>380</v>
      </c>
      <c r="H96" s="1" t="str">
        <f>"95/09/07"</f>
        <v>95/09/07</v>
      </c>
      <c r="I96" s="1" t="str">
        <f t="shared" si="9"/>
        <v>كيلوگرم</v>
      </c>
      <c r="J96" s="1" t="str">
        <f t="shared" si="6"/>
        <v>0000000076</v>
      </c>
      <c r="K96" s="1" t="str">
        <f t="shared" si="7"/>
        <v>قير 60/70 - فله</v>
      </c>
      <c r="L96" s="1">
        <v>100</v>
      </c>
      <c r="M96" s="1" t="str">
        <f t="shared" si="10"/>
        <v>مخازن قير اصفهان</v>
      </c>
      <c r="N96" s="1">
        <v>7186</v>
      </c>
      <c r="O96" s="1">
        <v>50032713</v>
      </c>
      <c r="P96" s="1" t="str">
        <f>"  شهرداري گلشهر"</f>
        <v xml:space="preserve">  شهرداري گلشهر</v>
      </c>
      <c r="Q96" s="1">
        <v>20</v>
      </c>
      <c r="R96" s="1" t="str">
        <f>"فروش داخلي - سازمان شهرداري ها و دهياري هاي كشور"</f>
        <v>فروش داخلي - سازمان شهرداري ها و دهياري هاي كشور</v>
      </c>
      <c r="S96" s="1" t="str">
        <f t="shared" si="11"/>
        <v>قرارداد فروش</v>
      </c>
      <c r="T96" s="1" t="str">
        <f t="shared" si="12"/>
        <v>ندارد</v>
      </c>
      <c r="U96" s="1" t="str">
        <f>"شهبازي محمدرضا(1029ج89)"</f>
        <v>شهبازي محمدرضا(1029ج89)</v>
      </c>
      <c r="V96" s="1">
        <v>952000248</v>
      </c>
      <c r="W96" s="1">
        <v>952000248</v>
      </c>
      <c r="X96" s="1" t="str">
        <f>"1395447617"</f>
        <v>1395447617</v>
      </c>
      <c r="Y96" s="1" t="str">
        <f>"95/09/07"</f>
        <v>95/09/07</v>
      </c>
      <c r="Z96" s="1" t="str">
        <f>"42455"</f>
        <v>42455</v>
      </c>
      <c r="AA96" s="1" t="str">
        <f>"شهرداريها"</f>
        <v>شهرداريها</v>
      </c>
      <c r="AB96" s="1" t="str">
        <f>"95/08/26"</f>
        <v>95/08/26</v>
      </c>
      <c r="AC96" s="1" t="str">
        <f>"استان اصفهان"</f>
        <v>استان اصفهان</v>
      </c>
      <c r="AD96" s="1" t="str">
        <f>"95/09/06"</f>
        <v>95/09/06</v>
      </c>
      <c r="AE96" s="1" t="str">
        <f t="shared" ref="AE96:AE105" si="20">"اختتام"</f>
        <v>اختتام</v>
      </c>
      <c r="AF96" s="1" t="str">
        <f>""</f>
        <v/>
      </c>
      <c r="AG96" s="1" t="str">
        <f>""</f>
        <v/>
      </c>
      <c r="AH96" s="1" t="str">
        <f>""</f>
        <v/>
      </c>
      <c r="AI96" s="1" t="str">
        <f>""</f>
        <v/>
      </c>
      <c r="AJ96" s="1" t="str">
        <f>""</f>
        <v/>
      </c>
      <c r="AK96" s="1" t="str">
        <f>""</f>
        <v/>
      </c>
    </row>
    <row r="97" spans="1:37" x14ac:dyDescent="0.2">
      <c r="A97" s="1">
        <v>65000</v>
      </c>
      <c r="B97" s="1">
        <v>956200345</v>
      </c>
      <c r="C97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97" s="1">
        <v>8848</v>
      </c>
      <c r="E97" s="1">
        <v>65000</v>
      </c>
      <c r="F97" s="1">
        <v>95</v>
      </c>
      <c r="G97" s="1">
        <v>0</v>
      </c>
      <c r="H97" s="1" t="str">
        <f>"95/12/22"</f>
        <v>95/12/22</v>
      </c>
      <c r="I97" s="1" t="str">
        <f t="shared" si="9"/>
        <v>كيلوگرم</v>
      </c>
      <c r="J97" s="1" t="str">
        <f t="shared" si="6"/>
        <v>0000000076</v>
      </c>
      <c r="K97" s="1" t="str">
        <f t="shared" si="7"/>
        <v>قير 60/70 - فله</v>
      </c>
      <c r="L97" s="1">
        <v>100</v>
      </c>
      <c r="M97" s="1" t="str">
        <f t="shared" si="10"/>
        <v>مخازن قير اصفهان</v>
      </c>
      <c r="N97" s="1">
        <v>4106</v>
      </c>
      <c r="O97" s="1">
        <v>50034127</v>
      </c>
      <c r="P97" s="1" t="str">
        <f>"  سپيد راه كيان"</f>
        <v xml:space="preserve">  سپيد راه كيان</v>
      </c>
      <c r="Q97" s="1">
        <v>62</v>
      </c>
      <c r="R97" s="1" t="str">
        <f>"فروش داخلي - سازمان بنيادمسكن انقلاب اسلامي"</f>
        <v>فروش داخلي - سازمان بنيادمسكن انقلاب اسلامي</v>
      </c>
      <c r="S97" s="1" t="str">
        <f t="shared" si="11"/>
        <v>قرارداد فروش</v>
      </c>
      <c r="T97" s="1" t="str">
        <f t="shared" si="12"/>
        <v>ندارد</v>
      </c>
      <c r="U97" s="1" t="str">
        <f>"شيشه بر كريم(1841016)"</f>
        <v>شيشه بر كريم(1841016)</v>
      </c>
      <c r="V97" s="1">
        <v>956200345</v>
      </c>
      <c r="W97" s="1">
        <v>956200345</v>
      </c>
      <c r="X97" s="1" t="str">
        <f>"1395470439"</f>
        <v>1395470439</v>
      </c>
      <c r="Y97" s="1" t="str">
        <f>"95/12/22"</f>
        <v>95/12/22</v>
      </c>
      <c r="Z97" s="1" t="str">
        <f>"56712/د"</f>
        <v>56712/د</v>
      </c>
      <c r="AA97" s="1" t="str">
        <f>"بنيادمسكن انقلاب اسلامي"</f>
        <v>بنيادمسكن انقلاب اسلامي</v>
      </c>
      <c r="AB97" s="1" t="str">
        <f>"95/12/21"</f>
        <v>95/12/21</v>
      </c>
      <c r="AC97" s="1" t="str">
        <f>"استان گلستان"</f>
        <v>استان گلستان</v>
      </c>
      <c r="AD97" s="1" t="str">
        <f>"95/12/22"</f>
        <v>95/12/22</v>
      </c>
      <c r="AE97" s="1" t="str">
        <f t="shared" si="20"/>
        <v>اختتام</v>
      </c>
      <c r="AF97" s="1" t="str">
        <f>""</f>
        <v/>
      </c>
      <c r="AG97" s="1" t="str">
        <f>""</f>
        <v/>
      </c>
      <c r="AH97" s="1" t="str">
        <f>""</f>
        <v/>
      </c>
      <c r="AI97" s="1" t="str">
        <f>""</f>
        <v/>
      </c>
      <c r="AJ97" s="1" t="str">
        <f>""</f>
        <v/>
      </c>
      <c r="AK97" s="1" t="str">
        <f>""</f>
        <v/>
      </c>
    </row>
    <row r="98" spans="1:37" x14ac:dyDescent="0.2">
      <c r="A98" s="1">
        <v>75000</v>
      </c>
      <c r="B98" s="1">
        <v>956200346</v>
      </c>
      <c r="C98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98" s="1">
        <v>8848</v>
      </c>
      <c r="E98" s="1">
        <v>75000</v>
      </c>
      <c r="F98" s="1">
        <v>95</v>
      </c>
      <c r="G98" s="1">
        <v>0</v>
      </c>
      <c r="H98" s="1" t="str">
        <f>"95/12/22"</f>
        <v>95/12/22</v>
      </c>
      <c r="I98" s="1" t="str">
        <f t="shared" si="9"/>
        <v>كيلوگرم</v>
      </c>
      <c r="J98" s="1" t="str">
        <f t="shared" si="6"/>
        <v>0000000076</v>
      </c>
      <c r="K98" s="1" t="str">
        <f t="shared" si="7"/>
        <v>قير 60/70 - فله</v>
      </c>
      <c r="L98" s="1">
        <v>100</v>
      </c>
      <c r="M98" s="1" t="str">
        <f t="shared" si="10"/>
        <v>مخازن قير اصفهان</v>
      </c>
      <c r="N98" s="1">
        <v>4106</v>
      </c>
      <c r="O98" s="1">
        <v>50034128</v>
      </c>
      <c r="P98" s="1" t="str">
        <f>"  سپيد راه كيان"</f>
        <v xml:space="preserve">  سپيد راه كيان</v>
      </c>
      <c r="Q98" s="1">
        <v>62</v>
      </c>
      <c r="R98" s="1" t="str">
        <f>"فروش داخلي - سازمان بنيادمسكن انقلاب اسلامي"</f>
        <v>فروش داخلي - سازمان بنيادمسكن انقلاب اسلامي</v>
      </c>
      <c r="S98" s="1" t="str">
        <f t="shared" si="11"/>
        <v>قرارداد فروش</v>
      </c>
      <c r="T98" s="1" t="str">
        <f t="shared" si="12"/>
        <v>ندارد</v>
      </c>
      <c r="U98" s="1" t="str">
        <f>"شيشه بر كريم(1841016)"</f>
        <v>شيشه بر كريم(1841016)</v>
      </c>
      <c r="V98" s="1">
        <v>956200346</v>
      </c>
      <c r="W98" s="1">
        <v>956200346</v>
      </c>
      <c r="X98" s="1" t="str">
        <f>"1395470439"</f>
        <v>1395470439</v>
      </c>
      <c r="Y98" s="1" t="str">
        <f>"95/12/22"</f>
        <v>95/12/22</v>
      </c>
      <c r="Z98" s="1" t="str">
        <f>"56714/د"</f>
        <v>56714/د</v>
      </c>
      <c r="AA98" s="1" t="str">
        <f>"بنيادمسكن انقلاب اسلامي"</f>
        <v>بنيادمسكن انقلاب اسلامي</v>
      </c>
      <c r="AB98" s="1" t="str">
        <f>"95/12/21"</f>
        <v>95/12/21</v>
      </c>
      <c r="AC98" s="1" t="str">
        <f>"استان گلستان"</f>
        <v>استان گلستان</v>
      </c>
      <c r="AD98" s="1" t="str">
        <f>"95/12/22"</f>
        <v>95/12/22</v>
      </c>
      <c r="AE98" s="1" t="str">
        <f t="shared" si="20"/>
        <v>اختتام</v>
      </c>
      <c r="AF98" s="1" t="str">
        <f>""</f>
        <v/>
      </c>
      <c r="AG98" s="1" t="str">
        <f>""</f>
        <v/>
      </c>
      <c r="AH98" s="1" t="str">
        <f>""</f>
        <v/>
      </c>
      <c r="AI98" s="1" t="str">
        <f>""</f>
        <v/>
      </c>
      <c r="AJ98" s="1" t="str">
        <f>""</f>
        <v/>
      </c>
      <c r="AK98" s="1" t="str">
        <f>""</f>
        <v/>
      </c>
    </row>
    <row r="99" spans="1:37" x14ac:dyDescent="0.2">
      <c r="A99" s="1">
        <v>300000</v>
      </c>
      <c r="B99" s="1">
        <v>951100014</v>
      </c>
      <c r="C99" s="1" t="str">
        <f>"تخليه -دليجان کيلومتر4جاده محلات قطب بوعلي خيابان هشتم کارخانه پيروزگستر"</f>
        <v>تخليه -دليجان کيلومتر4جاده محلات قطب بوعلي خيابان هشتم کارخانه پيروزگستر</v>
      </c>
      <c r="D99" s="1">
        <v>5200</v>
      </c>
      <c r="E99" s="1">
        <v>299300</v>
      </c>
      <c r="F99" s="1">
        <v>95</v>
      </c>
      <c r="G99" s="1">
        <v>700</v>
      </c>
      <c r="H99" s="1" t="str">
        <f>"95/01/30"</f>
        <v>95/01/30</v>
      </c>
      <c r="I99" s="1" t="str">
        <f t="shared" si="9"/>
        <v>كيلوگرم</v>
      </c>
      <c r="J99" s="1" t="str">
        <f t="shared" si="6"/>
        <v>0000000076</v>
      </c>
      <c r="K99" s="1" t="str">
        <f t="shared" si="7"/>
        <v>قير 60/70 - فله</v>
      </c>
      <c r="L99" s="1">
        <v>100</v>
      </c>
      <c r="M99" s="1" t="str">
        <f t="shared" si="10"/>
        <v>مخازن قير اصفهان</v>
      </c>
      <c r="N99" s="1">
        <v>7349</v>
      </c>
      <c r="O99" s="1">
        <v>50030576</v>
      </c>
      <c r="P99" s="1" t="str">
        <f>"  پيروز گستر دليجان"</f>
        <v xml:space="preserve">  پيروز گستر دليجان</v>
      </c>
      <c r="Q99" s="1">
        <v>11</v>
      </c>
      <c r="R99" s="1" t="str">
        <f>"فروش داخلي تهران - بورس"</f>
        <v>فروش داخلي تهران - بورس</v>
      </c>
      <c r="S99" s="1" t="str">
        <f t="shared" si="11"/>
        <v>قرارداد فروش</v>
      </c>
      <c r="T99" s="1" t="str">
        <f t="shared" si="12"/>
        <v>ندارد</v>
      </c>
      <c r="U99" s="1" t="str">
        <f>"جلالي حميد(1901084)"</f>
        <v>جلالي حميد(1901084)</v>
      </c>
      <c r="V99" s="1">
        <v>951100014</v>
      </c>
      <c r="W99" s="1">
        <v>951100014</v>
      </c>
      <c r="X99" s="1" t="str">
        <f>"1395399729"</f>
        <v>1395399729</v>
      </c>
      <c r="Y99" s="1" t="str">
        <f>"95/01/29"</f>
        <v>95/01/29</v>
      </c>
      <c r="Z99" s="1" t="str">
        <f>"95-34214"</f>
        <v>95-34214</v>
      </c>
      <c r="AA99" s="1" t="str">
        <f>"آسفالت سازان"</f>
        <v>آسفالت سازان</v>
      </c>
      <c r="AB99" s="1" t="str">
        <f>"95/01/29"</f>
        <v>95/01/29</v>
      </c>
      <c r="AC99" s="1" t="str">
        <f>"استان اصفهان"</f>
        <v>استان اصفهان</v>
      </c>
      <c r="AD99" s="1" t="str">
        <f>"95/01/25"</f>
        <v>95/01/25</v>
      </c>
      <c r="AE99" s="1" t="str">
        <f t="shared" si="20"/>
        <v>اختتام</v>
      </c>
      <c r="AF99" s="1" t="str">
        <f>""</f>
        <v/>
      </c>
      <c r="AG99" s="1" t="str">
        <f>""</f>
        <v/>
      </c>
      <c r="AH99" s="1" t="str">
        <f>""</f>
        <v/>
      </c>
      <c r="AI99" s="1" t="str">
        <f>""</f>
        <v/>
      </c>
      <c r="AJ99" s="1" t="str">
        <f>""</f>
        <v/>
      </c>
      <c r="AK99" s="1" t="str">
        <f>""</f>
        <v/>
      </c>
    </row>
    <row r="100" spans="1:37" x14ac:dyDescent="0.2">
      <c r="A100" s="1">
        <v>302000</v>
      </c>
      <c r="B100" s="1">
        <v>956300020</v>
      </c>
      <c r="C100" s="1" t="str">
        <f>"تخليه - اصفهان - کيلومتر 10 مورچه خورت"</f>
        <v>تخليه - اصفهان - کيلومتر 10 مورچه خورت</v>
      </c>
      <c r="D100" s="1">
        <v>9361</v>
      </c>
      <c r="E100" s="1">
        <v>301720</v>
      </c>
      <c r="F100" s="1">
        <v>95</v>
      </c>
      <c r="G100" s="1">
        <v>280</v>
      </c>
      <c r="H100" s="1" t="str">
        <f>"95/11/25"</f>
        <v>95/11/25</v>
      </c>
      <c r="I100" s="1" t="str">
        <f t="shared" si="9"/>
        <v>كيلوگرم</v>
      </c>
      <c r="J100" s="1" t="str">
        <f t="shared" si="6"/>
        <v>0000000076</v>
      </c>
      <c r="K100" s="1" t="str">
        <f t="shared" si="7"/>
        <v>قير 60/70 - فله</v>
      </c>
      <c r="L100" s="1">
        <v>100</v>
      </c>
      <c r="M100" s="1" t="str">
        <f t="shared" si="10"/>
        <v>مخازن قير اصفهان</v>
      </c>
      <c r="N100" s="1">
        <v>7127</v>
      </c>
      <c r="O100" s="1">
        <v>50033734</v>
      </c>
      <c r="P100" s="1" t="str">
        <f>"  آذر بام عايق کار"</f>
        <v xml:space="preserve">  آذر بام عايق کار</v>
      </c>
      <c r="Q100" s="1">
        <v>63</v>
      </c>
      <c r="R100" s="1" t="str">
        <f>"سازمان نوسازي،توسعه و تجهيز مدارس كشور"</f>
        <v>سازمان نوسازي،توسعه و تجهيز مدارس كشور</v>
      </c>
      <c r="S100" s="1" t="str">
        <f t="shared" si="11"/>
        <v>قرارداد فروش</v>
      </c>
      <c r="T100" s="1" t="str">
        <f t="shared" si="12"/>
        <v>ندارد</v>
      </c>
      <c r="U100" s="1" t="str">
        <f>"فتاح زاده سيداحمد(3843011)"</f>
        <v>فتاح زاده سيداحمد(3843011)</v>
      </c>
      <c r="V100" s="1">
        <v>956300020</v>
      </c>
      <c r="W100" s="1">
        <v>956300020</v>
      </c>
      <c r="X100" s="1" t="str">
        <f>"1395464662"</f>
        <v>1395464662</v>
      </c>
      <c r="Y100" s="1" t="str">
        <f>"95/11/25"</f>
        <v>95/11/25</v>
      </c>
      <c r="Z100" s="1" t="str">
        <f>"2395/10-6829"</f>
        <v>2395/10-6829</v>
      </c>
      <c r="AA100" s="1" t="str">
        <f>"سازمان نوسازي توسعه وتجهيزمدارس كشور"</f>
        <v>سازمان نوسازي توسعه وتجهيزمدارس كشور</v>
      </c>
      <c r="AB100" s="1" t="str">
        <f>"95/11/23"</f>
        <v>95/11/23</v>
      </c>
      <c r="AC100" s="1" t="str">
        <f>"كهكيلويه و بوير احمد"</f>
        <v>كهكيلويه و بوير احمد</v>
      </c>
      <c r="AD100" s="1" t="str">
        <f>"95/11/25"</f>
        <v>95/11/25</v>
      </c>
      <c r="AE100" s="1" t="str">
        <f t="shared" si="20"/>
        <v>اختتام</v>
      </c>
      <c r="AF100" s="1" t="str">
        <f>""</f>
        <v/>
      </c>
      <c r="AG100" s="1" t="str">
        <f>""</f>
        <v/>
      </c>
      <c r="AH100" s="1" t="str">
        <f>""</f>
        <v/>
      </c>
      <c r="AI100" s="1" t="str">
        <f>""</f>
        <v/>
      </c>
      <c r="AJ100" s="1" t="str">
        <f>""</f>
        <v/>
      </c>
      <c r="AK100" s="1" t="str">
        <f>""</f>
        <v/>
      </c>
    </row>
    <row r="101" spans="1:37" x14ac:dyDescent="0.2">
      <c r="A101" s="1">
        <v>500000</v>
      </c>
      <c r="B101" s="1">
        <v>951100001</v>
      </c>
      <c r="C101" s="1" t="str">
        <f>"تخليه -تهران -فرودگاه بين المللي امام خميني"</f>
        <v>تخليه -تهران -فرودگاه بين المللي امام خميني</v>
      </c>
      <c r="D101" s="1">
        <v>4950</v>
      </c>
      <c r="E101" s="1">
        <v>498360</v>
      </c>
      <c r="F101" s="1">
        <v>95</v>
      </c>
      <c r="G101" s="1">
        <v>1640</v>
      </c>
      <c r="H101" s="1" t="str">
        <f>"95/01/15"</f>
        <v>95/01/15</v>
      </c>
      <c r="I101" s="1" t="str">
        <f t="shared" si="9"/>
        <v>كيلوگرم</v>
      </c>
      <c r="J101" s="1" t="str">
        <f t="shared" si="6"/>
        <v>0000000076</v>
      </c>
      <c r="K101" s="1" t="str">
        <f t="shared" si="7"/>
        <v>قير 60/70 - فله</v>
      </c>
      <c r="L101" s="1">
        <v>100</v>
      </c>
      <c r="M101" s="1" t="str">
        <f t="shared" si="10"/>
        <v>مخازن قير اصفهان</v>
      </c>
      <c r="N101" s="1">
        <v>8025</v>
      </c>
      <c r="O101" s="1">
        <v>50030444</v>
      </c>
      <c r="P101" s="1" t="str">
        <f>"  ملي ساختمان"</f>
        <v xml:space="preserve">  ملي ساختمان</v>
      </c>
      <c r="Q101" s="1">
        <v>11</v>
      </c>
      <c r="R101" s="1" t="str">
        <f>"فروش داخلي تهران - بورس"</f>
        <v>فروش داخلي تهران - بورس</v>
      </c>
      <c r="S101" s="1" t="str">
        <f t="shared" si="11"/>
        <v>قرارداد فروش</v>
      </c>
      <c r="T101" s="1" t="str">
        <f t="shared" si="12"/>
        <v>ندارد</v>
      </c>
      <c r="U101" s="1" t="str">
        <f>"حسيني علي(1841001)"</f>
        <v>حسيني علي(1841001)</v>
      </c>
      <c r="V101" s="1">
        <v>951100001</v>
      </c>
      <c r="W101" s="1">
        <v>951100001</v>
      </c>
      <c r="X101" s="1" t="str">
        <f>"1394396734"</f>
        <v>1394396734</v>
      </c>
      <c r="Y101" s="1" t="str">
        <f>"95/01/09"</f>
        <v>95/01/09</v>
      </c>
      <c r="Z101" s="1" t="str">
        <f>"95-34135"</f>
        <v>95-34135</v>
      </c>
      <c r="AA101" s="1" t="str">
        <f>"راه سازي"</f>
        <v>راه سازي</v>
      </c>
      <c r="AB101" s="1" t="str">
        <f>"95/01/08"</f>
        <v>95/01/08</v>
      </c>
      <c r="AC101" s="1" t="str">
        <f>"استان تهران"</f>
        <v>استان تهران</v>
      </c>
      <c r="AD101" s="1" t="str">
        <f>"94/12/19"</f>
        <v>94/12/19</v>
      </c>
      <c r="AE101" s="1" t="str">
        <f t="shared" si="20"/>
        <v>اختتام</v>
      </c>
      <c r="AF101" s="1" t="str">
        <f>""</f>
        <v/>
      </c>
      <c r="AG101" s="1" t="str">
        <f>""</f>
        <v/>
      </c>
      <c r="AH101" s="1" t="str">
        <f>""</f>
        <v/>
      </c>
      <c r="AI101" s="1" t="str">
        <f>""</f>
        <v/>
      </c>
      <c r="AJ101" s="1" t="str">
        <f>""</f>
        <v/>
      </c>
      <c r="AK101" s="1" t="str">
        <f>""</f>
        <v/>
      </c>
    </row>
    <row r="102" spans="1:37" x14ac:dyDescent="0.2">
      <c r="A102" s="1">
        <v>200000</v>
      </c>
      <c r="B102" s="1">
        <v>951100160</v>
      </c>
      <c r="C102" s="1" t="str">
        <f>"تخليه -نايين كيلومتر15جاده نايين -اصفهان"</f>
        <v>تخليه -نايين كيلومتر15جاده نايين -اصفهان</v>
      </c>
      <c r="D102" s="1">
        <v>7026</v>
      </c>
      <c r="E102" s="1">
        <v>193240</v>
      </c>
      <c r="F102" s="1">
        <v>95</v>
      </c>
      <c r="G102" s="1">
        <v>6760</v>
      </c>
      <c r="H102" s="1" t="str">
        <f>"95/09/23"</f>
        <v>95/09/23</v>
      </c>
      <c r="I102" s="1" t="str">
        <f t="shared" si="9"/>
        <v>كيلوگرم</v>
      </c>
      <c r="J102" s="1" t="str">
        <f t="shared" si="6"/>
        <v>0000000076</v>
      </c>
      <c r="K102" s="1" t="str">
        <f t="shared" si="7"/>
        <v>قير 60/70 - فله</v>
      </c>
      <c r="L102" s="1">
        <v>100</v>
      </c>
      <c r="M102" s="1" t="str">
        <f t="shared" si="10"/>
        <v>مخازن قير اصفهان</v>
      </c>
      <c r="N102" s="1">
        <v>7157</v>
      </c>
      <c r="O102" s="1">
        <v>50033009</v>
      </c>
      <c r="P102" s="1" t="str">
        <f>"  اصفهان بتون راه"</f>
        <v xml:space="preserve">  اصفهان بتون راه</v>
      </c>
      <c r="Q102" s="1">
        <v>11</v>
      </c>
      <c r="R102" s="1" t="str">
        <f>"فروش داخلي تهران - بورس"</f>
        <v>فروش داخلي تهران - بورس</v>
      </c>
      <c r="S102" s="1" t="str">
        <f t="shared" si="11"/>
        <v>قرارداد فروش</v>
      </c>
      <c r="T102" s="1" t="str">
        <f t="shared" si="12"/>
        <v>ندارد</v>
      </c>
      <c r="U102" s="1" t="str">
        <f>"ريسماني حسن(1007ج89)"</f>
        <v>ريسماني حسن(1007ج89)</v>
      </c>
      <c r="V102" s="1">
        <v>951100160</v>
      </c>
      <c r="W102" s="1">
        <v>951100160</v>
      </c>
      <c r="X102" s="1" t="str">
        <f>"1395450851"</f>
        <v>1395450851</v>
      </c>
      <c r="Y102" s="1" t="str">
        <f>"95/09/22"</f>
        <v>95/09/22</v>
      </c>
      <c r="Z102" s="1" t="str">
        <f>"95-34920"</f>
        <v>95-34920</v>
      </c>
      <c r="AA102" s="1" t="str">
        <f>"راه سازي"</f>
        <v>راه سازي</v>
      </c>
      <c r="AB102" s="1" t="str">
        <f>"95/09/22"</f>
        <v>95/09/22</v>
      </c>
      <c r="AC102" s="1" t="str">
        <f>"استان اصفهان"</f>
        <v>استان اصفهان</v>
      </c>
      <c r="AD102" s="1" t="str">
        <f>"95/09/17"</f>
        <v>95/09/17</v>
      </c>
      <c r="AE102" s="1" t="str">
        <f t="shared" si="20"/>
        <v>اختتام</v>
      </c>
      <c r="AF102" s="1" t="str">
        <f>""</f>
        <v/>
      </c>
      <c r="AG102" s="1" t="str">
        <f>""</f>
        <v/>
      </c>
      <c r="AH102" s="1" t="str">
        <f>""</f>
        <v/>
      </c>
      <c r="AI102" s="1" t="str">
        <f>""</f>
        <v/>
      </c>
      <c r="AJ102" s="1" t="str">
        <f>""</f>
        <v/>
      </c>
      <c r="AK102" s="1" t="str">
        <f>""</f>
        <v/>
      </c>
    </row>
    <row r="103" spans="1:37" x14ac:dyDescent="0.2">
      <c r="A103" s="1">
        <v>72000</v>
      </c>
      <c r="B103" s="1">
        <v>952000098</v>
      </c>
      <c r="C103" s="1" t="str">
        <f>"تخليه - جاده اصفهان تهران نرسيده به شهر وزوان سمت راست کارخانه آسفالت مزروعي"</f>
        <v>تخليه - جاده اصفهان تهران نرسيده به شهر وزوان سمت راست کارخانه آسفالت مزروعي</v>
      </c>
      <c r="D103" s="1">
        <v>6976</v>
      </c>
      <c r="E103" s="1">
        <v>70560</v>
      </c>
      <c r="F103" s="1">
        <v>95</v>
      </c>
      <c r="G103" s="1">
        <v>1440</v>
      </c>
      <c r="H103" s="1" t="str">
        <f>"95/07/05"</f>
        <v>95/07/05</v>
      </c>
      <c r="I103" s="1" t="str">
        <f t="shared" si="9"/>
        <v>كيلوگرم</v>
      </c>
      <c r="J103" s="1" t="str">
        <f t="shared" si="6"/>
        <v>0000000076</v>
      </c>
      <c r="K103" s="1" t="str">
        <f t="shared" si="7"/>
        <v>قير 60/70 - فله</v>
      </c>
      <c r="L103" s="1">
        <v>100</v>
      </c>
      <c r="M103" s="1" t="str">
        <f t="shared" si="10"/>
        <v>مخازن قير اصفهان</v>
      </c>
      <c r="N103" s="1">
        <v>7314</v>
      </c>
      <c r="O103" s="1">
        <v>50031956</v>
      </c>
      <c r="P103" s="1" t="str">
        <f>"  شهرداري ميمه"</f>
        <v xml:space="preserve">  شهرداري ميمه</v>
      </c>
      <c r="Q103" s="1">
        <v>20</v>
      </c>
      <c r="R103" s="1" t="str">
        <f>"فروش داخلي - سازمان شهرداري ها و دهياري هاي كشور"</f>
        <v>فروش داخلي - سازمان شهرداري ها و دهياري هاي كشور</v>
      </c>
      <c r="S103" s="1" t="str">
        <f t="shared" si="11"/>
        <v>قرارداد فروش</v>
      </c>
      <c r="T103" s="1" t="str">
        <f t="shared" si="12"/>
        <v>ندارد</v>
      </c>
      <c r="U103" s="1" t="str">
        <f>"ريسماني حسن(1007ج89)"</f>
        <v>ريسماني حسن(1007ج89)</v>
      </c>
      <c r="V103" s="1">
        <v>952000098</v>
      </c>
      <c r="W103" s="1">
        <v>952000098</v>
      </c>
      <c r="X103" s="1" t="str">
        <f>"1395433645"</f>
        <v>1395433645</v>
      </c>
      <c r="Y103" s="1" t="str">
        <f>"95/07/05"</f>
        <v>95/07/05</v>
      </c>
      <c r="Z103" s="1" t="str">
        <f>"27754"</f>
        <v>27754</v>
      </c>
      <c r="AA103" s="1" t="str">
        <f>"شهرداريها"</f>
        <v>شهرداريها</v>
      </c>
      <c r="AB103" s="1" t="str">
        <f>"95/06/10"</f>
        <v>95/06/10</v>
      </c>
      <c r="AC103" s="1" t="str">
        <f>"استان اصفهان"</f>
        <v>استان اصفهان</v>
      </c>
      <c r="AD103" s="1" t="str">
        <f>"95/07/04"</f>
        <v>95/07/04</v>
      </c>
      <c r="AE103" s="1" t="str">
        <f t="shared" si="20"/>
        <v>اختتام</v>
      </c>
      <c r="AF103" s="1" t="str">
        <f>""</f>
        <v/>
      </c>
      <c r="AG103" s="1" t="str">
        <f>""</f>
        <v/>
      </c>
      <c r="AH103" s="1" t="str">
        <f>""</f>
        <v/>
      </c>
      <c r="AI103" s="1" t="str">
        <f>""</f>
        <v/>
      </c>
      <c r="AJ103" s="1" t="str">
        <f>""</f>
        <v/>
      </c>
      <c r="AK103" s="1" t="str">
        <f>""</f>
        <v/>
      </c>
    </row>
    <row r="104" spans="1:37" x14ac:dyDescent="0.2">
      <c r="A104" s="1">
        <v>400000</v>
      </c>
      <c r="B104" s="1">
        <v>951100122</v>
      </c>
      <c r="C104" s="1" t="str">
        <f>"تخليه -مشهد-جاده کلات کارخانه آسفالت شهيدمجيدي"</f>
        <v>تخليه -مشهد-جاده کلات کارخانه آسفالت شهيدمجيدي</v>
      </c>
      <c r="D104" s="1">
        <v>6976</v>
      </c>
      <c r="E104" s="1">
        <v>394880</v>
      </c>
      <c r="F104" s="1">
        <v>95</v>
      </c>
      <c r="G104" s="1">
        <v>5120</v>
      </c>
      <c r="H104" s="1" t="str">
        <f>"95/07/07"</f>
        <v>95/07/07</v>
      </c>
      <c r="I104" s="1" t="str">
        <f t="shared" si="9"/>
        <v>كيلوگرم</v>
      </c>
      <c r="J104" s="1" t="str">
        <f t="shared" si="6"/>
        <v>0000000076</v>
      </c>
      <c r="K104" s="1" t="str">
        <f t="shared" si="7"/>
        <v>قير 60/70 - فله</v>
      </c>
      <c r="L104" s="1">
        <v>100</v>
      </c>
      <c r="M104" s="1" t="str">
        <f t="shared" si="10"/>
        <v>مخازن قير اصفهان</v>
      </c>
      <c r="N104" s="1">
        <v>4158</v>
      </c>
      <c r="O104" s="1">
        <v>50032026</v>
      </c>
      <c r="P104" s="1" t="str">
        <f>"  سازمان همياري  شهرداريهاي خراسان رضوي"</f>
        <v xml:space="preserve">  سازمان همياري  شهرداريهاي خراسان رضوي</v>
      </c>
      <c r="Q104" s="1">
        <v>11</v>
      </c>
      <c r="R104" s="1" t="str">
        <f>"فروش داخلي تهران - بورس"</f>
        <v>فروش داخلي تهران - بورس</v>
      </c>
      <c r="S104" s="1" t="str">
        <f t="shared" si="11"/>
        <v>قرارداد فروش</v>
      </c>
      <c r="T104" s="1" t="str">
        <f t="shared" si="12"/>
        <v>ندارد</v>
      </c>
      <c r="U104" s="1" t="str">
        <f>"حسيني حسن(1841075)"</f>
        <v>حسيني حسن(1841075)</v>
      </c>
      <c r="V104" s="1">
        <v>951100122</v>
      </c>
      <c r="W104" s="1">
        <v>951100122</v>
      </c>
      <c r="X104" s="1" t="str">
        <f>"1395433828"</f>
        <v>1395433828</v>
      </c>
      <c r="Y104" s="1" t="str">
        <f>"95/07/07"</f>
        <v>95/07/07</v>
      </c>
      <c r="Z104" s="1" t="str">
        <f>"95/43"</f>
        <v>95/43</v>
      </c>
      <c r="AA104" s="1" t="str">
        <f>"شهرداريها"</f>
        <v>شهرداريها</v>
      </c>
      <c r="AB104" s="1" t="str">
        <f>"95/07/05"</f>
        <v>95/07/05</v>
      </c>
      <c r="AC104" s="1" t="str">
        <f>"خراسان رضوي"</f>
        <v>خراسان رضوي</v>
      </c>
      <c r="AD104" s="1" t="str">
        <f>"95/07/05"</f>
        <v>95/07/05</v>
      </c>
      <c r="AE104" s="1" t="str">
        <f t="shared" si="20"/>
        <v>اختتام</v>
      </c>
      <c r="AF104" s="1" t="str">
        <f>""</f>
        <v/>
      </c>
      <c r="AG104" s="1" t="str">
        <f>""</f>
        <v/>
      </c>
      <c r="AH104" s="1" t="str">
        <f>""</f>
        <v/>
      </c>
      <c r="AI104" s="1" t="str">
        <f>""</f>
        <v/>
      </c>
      <c r="AJ104" s="1" t="str">
        <f>""</f>
        <v/>
      </c>
      <c r="AK104" s="1" t="str">
        <f>""</f>
        <v/>
      </c>
    </row>
    <row r="105" spans="1:37" x14ac:dyDescent="0.2">
      <c r="A105" s="1">
        <v>200000</v>
      </c>
      <c r="B105" s="1">
        <v>951100193</v>
      </c>
      <c r="C105" s="1" t="str">
        <f>"تخليه اصفهان -جاده اصفهان -تهران-پشت پليس راه"</f>
        <v>تخليه اصفهان -جاده اصفهان -تهران-پشت پليس راه</v>
      </c>
      <c r="D105" s="1">
        <v>8848</v>
      </c>
      <c r="E105" s="1">
        <v>199180</v>
      </c>
      <c r="F105" s="1">
        <v>95</v>
      </c>
      <c r="G105" s="1">
        <v>820</v>
      </c>
      <c r="H105" s="1" t="str">
        <f>"95/12/18"</f>
        <v>95/12/18</v>
      </c>
      <c r="I105" s="1" t="str">
        <f t="shared" si="9"/>
        <v>كيلوگرم</v>
      </c>
      <c r="J105" s="1" t="str">
        <f t="shared" si="6"/>
        <v>0000000076</v>
      </c>
      <c r="K105" s="1" t="str">
        <f t="shared" si="7"/>
        <v>قير 60/70 - فله</v>
      </c>
      <c r="L105" s="1">
        <v>100</v>
      </c>
      <c r="M105" s="1" t="str">
        <f t="shared" si="10"/>
        <v>مخازن قير اصفهان</v>
      </c>
      <c r="N105" s="1">
        <v>7316</v>
      </c>
      <c r="O105" s="1">
        <v>50034043</v>
      </c>
      <c r="P105" s="1" t="str">
        <f>"  تعاوني معدني ياقوت آباد"</f>
        <v xml:space="preserve">  تعاوني معدني ياقوت آباد</v>
      </c>
      <c r="Q105" s="1">
        <v>11</v>
      </c>
      <c r="R105" s="1" t="str">
        <f>"فروش داخلي تهران - بورس"</f>
        <v>فروش داخلي تهران - بورس</v>
      </c>
      <c r="S105" s="1" t="str">
        <f t="shared" si="11"/>
        <v>قرارداد فروش</v>
      </c>
      <c r="T105" s="1" t="str">
        <f t="shared" si="12"/>
        <v>ندارد</v>
      </c>
      <c r="U105" s="1" t="str">
        <f>"مرادي نجاتعلي(1020ج89)"</f>
        <v>مرادي نجاتعلي(1020ج89)</v>
      </c>
      <c r="V105" s="1">
        <v>951100193</v>
      </c>
      <c r="W105" s="1">
        <v>951100193</v>
      </c>
      <c r="X105" s="1" t="str">
        <f>"1395468776"</f>
        <v>1395468776</v>
      </c>
      <c r="Y105" s="1" t="str">
        <f>"95/12/17"</f>
        <v>95/12/17</v>
      </c>
      <c r="Z105" s="1" t="str">
        <f>"95-35236"</f>
        <v>95-35236</v>
      </c>
      <c r="AA105" s="1" t="str">
        <f>"راه سازي"</f>
        <v>راه سازي</v>
      </c>
      <c r="AB105" s="1" t="str">
        <f>"95/12/17"</f>
        <v>95/12/17</v>
      </c>
      <c r="AC105" s="1" t="str">
        <f>"استان اصفهان"</f>
        <v>استان اصفهان</v>
      </c>
      <c r="AD105" s="1" t="str">
        <f>"95/12/11"</f>
        <v>95/12/11</v>
      </c>
      <c r="AE105" s="1" t="str">
        <f t="shared" si="20"/>
        <v>اختتام</v>
      </c>
      <c r="AF105" s="1" t="str">
        <f>""</f>
        <v/>
      </c>
      <c r="AG105" s="1" t="str">
        <f>""</f>
        <v/>
      </c>
      <c r="AH105" s="1" t="str">
        <f>""</f>
        <v/>
      </c>
      <c r="AI105" s="1" t="str">
        <f>""</f>
        <v/>
      </c>
      <c r="AJ105" s="1" t="str">
        <f>""</f>
        <v/>
      </c>
      <c r="AK105" s="1" t="str">
        <f>""</f>
        <v/>
      </c>
    </row>
    <row r="106" spans="1:37" x14ac:dyDescent="0.2">
      <c r="A106" s="1">
        <v>399000</v>
      </c>
      <c r="B106" s="1">
        <v>951100163</v>
      </c>
      <c r="C106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106" s="1">
        <v>7026</v>
      </c>
      <c r="E106" s="1">
        <v>399000</v>
      </c>
      <c r="F106" s="1">
        <v>95</v>
      </c>
      <c r="G106" s="1">
        <v>0</v>
      </c>
      <c r="H106" s="1" t="str">
        <f>"95/09/23"</f>
        <v>95/09/23</v>
      </c>
      <c r="I106" s="1" t="str">
        <f t="shared" si="9"/>
        <v>كيلوگرم</v>
      </c>
      <c r="J106" s="1" t="str">
        <f t="shared" si="6"/>
        <v>0000000076</v>
      </c>
      <c r="K106" s="1" t="str">
        <f t="shared" si="7"/>
        <v>قير 60/70 - فله</v>
      </c>
      <c r="L106" s="1">
        <v>100</v>
      </c>
      <c r="M106" s="1" t="str">
        <f t="shared" si="10"/>
        <v>مخازن قير اصفهان</v>
      </c>
      <c r="N106" s="1">
        <v>8163</v>
      </c>
      <c r="O106" s="1">
        <v>50033019</v>
      </c>
      <c r="P106" s="1" t="str">
        <f>"  سازمان عمران شهرداري مشهد"</f>
        <v xml:space="preserve">  سازمان عمران شهرداري مشهد</v>
      </c>
      <c r="Q106" s="1">
        <v>11</v>
      </c>
      <c r="R106" s="1" t="str">
        <f>"فروش داخلي تهران - بورس"</f>
        <v>فروش داخلي تهران - بورس</v>
      </c>
      <c r="S106" s="1" t="str">
        <f t="shared" si="11"/>
        <v>قرارداد فروش</v>
      </c>
      <c r="T106" s="1" t="str">
        <f t="shared" si="12"/>
        <v>ندارد</v>
      </c>
      <c r="U106" s="1" t="str">
        <f>"حسيني حسن(1841075)"</f>
        <v>حسيني حسن(1841075)</v>
      </c>
      <c r="V106" s="1">
        <v>951100163</v>
      </c>
      <c r="W106" s="1">
        <v>951100163</v>
      </c>
      <c r="X106" s="1" t="str">
        <f>"1395447817"</f>
        <v>1395447817</v>
      </c>
      <c r="Y106" s="1" t="str">
        <f>"95/09/23"</f>
        <v>95/09/23</v>
      </c>
      <c r="Z106" s="1" t="str">
        <f>"49/95/23120"</f>
        <v>49/95/23120</v>
      </c>
      <c r="AA106" s="1" t="str">
        <f>"شهرداريها"</f>
        <v>شهرداريها</v>
      </c>
      <c r="AB106" s="1" t="str">
        <f>"95/09/20"</f>
        <v>95/09/20</v>
      </c>
      <c r="AC106" s="1" t="str">
        <f>"خراسان رضوي"</f>
        <v>خراسان رضوي</v>
      </c>
      <c r="AD106" s="1" t="str">
        <f>"95/09/07"</f>
        <v>95/09/07</v>
      </c>
      <c r="AE106" s="1" t="str">
        <f>"تاييدشده"</f>
        <v>تاييدشده</v>
      </c>
      <c r="AF106" s="1" t="str">
        <f>""</f>
        <v/>
      </c>
      <c r="AG106" s="1" t="str">
        <f>""</f>
        <v/>
      </c>
      <c r="AH106" s="1" t="str">
        <f>""</f>
        <v/>
      </c>
      <c r="AI106" s="1" t="str">
        <f>""</f>
        <v/>
      </c>
      <c r="AJ106" s="1" t="str">
        <f>""</f>
        <v/>
      </c>
      <c r="AK106" s="1" t="str">
        <f>""</f>
        <v/>
      </c>
    </row>
    <row r="107" spans="1:37" x14ac:dyDescent="0.2">
      <c r="A107" s="1">
        <v>116000</v>
      </c>
      <c r="B107" s="1">
        <v>956300012</v>
      </c>
      <c r="C107" s="1" t="str">
        <f>"تخليه -خراسان جنوبي -کارخانه آسفالت شهرداري نهبندان"</f>
        <v>تخليه -خراسان جنوبي -کارخانه آسفالت شهرداري نهبندان</v>
      </c>
      <c r="D107" s="1">
        <v>8861</v>
      </c>
      <c r="E107" s="1">
        <v>115040</v>
      </c>
      <c r="F107" s="1">
        <v>95</v>
      </c>
      <c r="G107" s="1">
        <v>960</v>
      </c>
      <c r="H107" s="1" t="str">
        <f>"95/10/22"</f>
        <v>95/10/22</v>
      </c>
      <c r="I107" s="1" t="str">
        <f t="shared" si="9"/>
        <v>كيلوگرم</v>
      </c>
      <c r="J107" s="1" t="str">
        <f t="shared" si="6"/>
        <v>0000000076</v>
      </c>
      <c r="K107" s="1" t="str">
        <f t="shared" si="7"/>
        <v>قير 60/70 - فله</v>
      </c>
      <c r="L107" s="1">
        <v>100</v>
      </c>
      <c r="M107" s="1" t="str">
        <f t="shared" si="10"/>
        <v>مخازن قير اصفهان</v>
      </c>
      <c r="N107" s="1">
        <v>8169</v>
      </c>
      <c r="O107" s="1">
        <v>50033347</v>
      </c>
      <c r="P107" s="1" t="str">
        <f>"  شهرداري نهبندان"</f>
        <v xml:space="preserve">  شهرداري نهبندان</v>
      </c>
      <c r="Q107" s="1">
        <v>63</v>
      </c>
      <c r="R107" s="1" t="str">
        <f>"سازمان نوسازي،توسعه و تجهيز مدارس كشور"</f>
        <v>سازمان نوسازي،توسعه و تجهيز مدارس كشور</v>
      </c>
      <c r="S107" s="1" t="str">
        <f t="shared" si="11"/>
        <v>قرارداد فروش</v>
      </c>
      <c r="T107" s="1" t="str">
        <f t="shared" si="12"/>
        <v>ندارد</v>
      </c>
      <c r="U107" s="1" t="str">
        <f>"خادمي عبدالحميد(1015ج89)"</f>
        <v>خادمي عبدالحميد(1015ج89)</v>
      </c>
      <c r="V107" s="1">
        <v>956300012</v>
      </c>
      <c r="W107" s="1">
        <v>956300012</v>
      </c>
      <c r="X107" s="1" t="str">
        <f>"1395457716"</f>
        <v>1395457716</v>
      </c>
      <c r="Y107" s="1" t="str">
        <f>"95/10/22"</f>
        <v>95/10/22</v>
      </c>
      <c r="Z107" s="1" t="str">
        <f>"3095/19-9162"</f>
        <v>3095/19-9162</v>
      </c>
      <c r="AA107" s="1" t="str">
        <f>"سازمان نوسازي توسعه وتجهيزمدارس كشور"</f>
        <v>سازمان نوسازي توسعه وتجهيزمدارس كشور</v>
      </c>
      <c r="AB107" s="1" t="str">
        <f>"95/09/20"</f>
        <v>95/09/20</v>
      </c>
      <c r="AC107" s="1" t="str">
        <f>"خراسان جنوبي"</f>
        <v>خراسان جنوبي</v>
      </c>
      <c r="AD107" s="1" t="str">
        <f>"95/10/20"</f>
        <v>95/10/20</v>
      </c>
      <c r="AE107" s="1" t="str">
        <f t="shared" ref="AE107:AE119" si="21">"اختتام"</f>
        <v>اختتام</v>
      </c>
      <c r="AF107" s="1" t="str">
        <f>""</f>
        <v/>
      </c>
      <c r="AG107" s="1" t="str">
        <f>""</f>
        <v/>
      </c>
      <c r="AH107" s="1" t="str">
        <f>""</f>
        <v/>
      </c>
      <c r="AI107" s="1" t="str">
        <f>""</f>
        <v/>
      </c>
      <c r="AJ107" s="1" t="str">
        <f>""</f>
        <v/>
      </c>
      <c r="AK107" s="1" t="str">
        <f>""</f>
        <v/>
      </c>
    </row>
    <row r="108" spans="1:37" x14ac:dyDescent="0.2">
      <c r="A108" s="1">
        <v>72000</v>
      </c>
      <c r="B108" s="1">
        <v>951100183</v>
      </c>
      <c r="C108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08" s="1">
        <v>9361</v>
      </c>
      <c r="E108" s="1">
        <v>70940</v>
      </c>
      <c r="F108" s="1">
        <v>95</v>
      </c>
      <c r="G108" s="1">
        <v>1060</v>
      </c>
      <c r="H108" s="1" t="str">
        <f>"95/11/17"</f>
        <v>95/11/17</v>
      </c>
      <c r="I108" s="1" t="str">
        <f t="shared" si="9"/>
        <v>كيلوگرم</v>
      </c>
      <c r="J108" s="1" t="str">
        <f t="shared" si="6"/>
        <v>0000000076</v>
      </c>
      <c r="K108" s="1" t="str">
        <f t="shared" si="7"/>
        <v>قير 60/70 - فله</v>
      </c>
      <c r="L108" s="1">
        <v>100</v>
      </c>
      <c r="M108" s="1" t="str">
        <f t="shared" si="10"/>
        <v>مخازن قير اصفهان</v>
      </c>
      <c r="N108" s="1">
        <v>8246</v>
      </c>
      <c r="O108" s="1">
        <v>50033612</v>
      </c>
      <c r="P108" s="1" t="str">
        <f>"  نيك محضراسپادانا"</f>
        <v xml:space="preserve">  نيك محضراسپادانا</v>
      </c>
      <c r="Q108" s="1">
        <v>11</v>
      </c>
      <c r="R108" s="1" t="str">
        <f>"فروش داخلي تهران - بورس"</f>
        <v>فروش داخلي تهران - بورس</v>
      </c>
      <c r="S108" s="1" t="str">
        <f t="shared" si="11"/>
        <v>قرارداد فروش</v>
      </c>
      <c r="T108" s="1" t="str">
        <f t="shared" si="12"/>
        <v>ندارد</v>
      </c>
      <c r="U108" s="1" t="str">
        <f>"عزيزي صفر(1006ج 89)"</f>
        <v>عزيزي صفر(1006ج 89)</v>
      </c>
      <c r="V108" s="1">
        <v>951100183</v>
      </c>
      <c r="W108" s="1">
        <v>951100183</v>
      </c>
      <c r="X108" s="1" t="str">
        <f>"1395462015"</f>
        <v>1395462015</v>
      </c>
      <c r="Y108" s="1" t="str">
        <f>"95/11/17"</f>
        <v>95/11/17</v>
      </c>
      <c r="Z108" s="1" t="str">
        <f>"95-35128"</f>
        <v>95-35128</v>
      </c>
      <c r="AA108" s="1" t="str">
        <f>"آسفالت سازان"</f>
        <v>آسفالت سازان</v>
      </c>
      <c r="AB108" s="1" t="str">
        <f>"95/11/16"</f>
        <v>95/11/16</v>
      </c>
      <c r="AC108" s="1" t="str">
        <f>"استان اصفهان"</f>
        <v>استان اصفهان</v>
      </c>
      <c r="AD108" s="1" t="str">
        <f>"95/11/12"</f>
        <v>95/11/12</v>
      </c>
      <c r="AE108" s="1" t="str">
        <f t="shared" si="21"/>
        <v>اختتام</v>
      </c>
      <c r="AF108" s="1" t="str">
        <f>""</f>
        <v/>
      </c>
      <c r="AG108" s="1" t="str">
        <f>""</f>
        <v/>
      </c>
      <c r="AH108" s="1" t="str">
        <f>""</f>
        <v/>
      </c>
      <c r="AI108" s="1" t="str">
        <f>""</f>
        <v/>
      </c>
      <c r="AJ108" s="1" t="str">
        <f>""</f>
        <v/>
      </c>
      <c r="AK108" s="1" t="str">
        <f>""</f>
        <v/>
      </c>
    </row>
    <row r="109" spans="1:37" x14ac:dyDescent="0.2">
      <c r="A109" s="1">
        <v>73000</v>
      </c>
      <c r="B109" s="1">
        <v>952000059</v>
      </c>
      <c r="C109" s="1" t="str">
        <f>"تخليه يزدكيلومتر20جاده يزدكرمان شركت حريتاش"</f>
        <v>تخليه يزدكيلومتر20جاده يزدكرمان شركت حريتاش</v>
      </c>
      <c r="D109" s="1">
        <v>6876</v>
      </c>
      <c r="E109" s="1">
        <v>73000</v>
      </c>
      <c r="F109" s="1">
        <v>95</v>
      </c>
      <c r="G109" s="1">
        <v>0</v>
      </c>
      <c r="H109" s="1" t="str">
        <f>"95/06/09"</f>
        <v>95/06/09</v>
      </c>
      <c r="I109" s="1" t="str">
        <f t="shared" si="9"/>
        <v>كيلوگرم</v>
      </c>
      <c r="J109" s="1" t="str">
        <f t="shared" si="6"/>
        <v>0000000076</v>
      </c>
      <c r="K109" s="1" t="str">
        <f t="shared" si="7"/>
        <v>قير 60/70 - فله</v>
      </c>
      <c r="L109" s="1">
        <v>100</v>
      </c>
      <c r="M109" s="1" t="str">
        <f t="shared" si="10"/>
        <v>مخازن قير اصفهان</v>
      </c>
      <c r="N109" s="1">
        <v>7361</v>
      </c>
      <c r="O109" s="1">
        <v>50031725</v>
      </c>
      <c r="P109" s="1" t="str">
        <f>"  شهرداري مهريز"</f>
        <v xml:space="preserve">  شهرداري مهريز</v>
      </c>
      <c r="Q109" s="1">
        <v>20</v>
      </c>
      <c r="R109" s="1" t="str">
        <f>"فروش داخلي - سازمان شهرداري ها و دهياري هاي كشور"</f>
        <v>فروش داخلي - سازمان شهرداري ها و دهياري هاي كشور</v>
      </c>
      <c r="S109" s="1" t="str">
        <f t="shared" si="11"/>
        <v>قرارداد فروش</v>
      </c>
      <c r="T109" s="1" t="str">
        <f t="shared" si="12"/>
        <v>ندارد</v>
      </c>
      <c r="U109" s="1" t="str">
        <f>"عزيزي صفر(1006ج 89)"</f>
        <v>عزيزي صفر(1006ج 89)</v>
      </c>
      <c r="V109" s="1">
        <v>952000059</v>
      </c>
      <c r="W109" s="1">
        <v>952000059</v>
      </c>
      <c r="X109" s="1" t="str">
        <f>"1395426944"</f>
        <v>1395426944</v>
      </c>
      <c r="Y109" s="1" t="str">
        <f>"95/06/09"</f>
        <v>95/06/09</v>
      </c>
      <c r="Z109" s="1" t="str">
        <f>"26146"</f>
        <v>26146</v>
      </c>
      <c r="AA109" s="1" t="str">
        <f>"شهرداريها"</f>
        <v>شهرداريها</v>
      </c>
      <c r="AB109" s="1" t="str">
        <f>"95/06/03"</f>
        <v>95/06/03</v>
      </c>
      <c r="AC109" s="1" t="str">
        <f>"استان يزد"</f>
        <v>استان يزد</v>
      </c>
      <c r="AD109" s="1" t="str">
        <f>"95/06/06"</f>
        <v>95/06/06</v>
      </c>
      <c r="AE109" s="1" t="str">
        <f t="shared" si="21"/>
        <v>اختتام</v>
      </c>
      <c r="AF109" s="1" t="str">
        <f>""</f>
        <v/>
      </c>
      <c r="AG109" s="1" t="str">
        <f>""</f>
        <v/>
      </c>
      <c r="AH109" s="1" t="str">
        <f>""</f>
        <v/>
      </c>
      <c r="AI109" s="1" t="str">
        <f>""</f>
        <v/>
      </c>
      <c r="AJ109" s="1" t="str">
        <f>""</f>
        <v/>
      </c>
      <c r="AK109" s="1" t="str">
        <f>""</f>
        <v/>
      </c>
    </row>
    <row r="110" spans="1:37" x14ac:dyDescent="0.2">
      <c r="A110" s="1">
        <v>110000</v>
      </c>
      <c r="B110" s="1">
        <v>952000060</v>
      </c>
      <c r="C110" s="1" t="str">
        <f>"تخليه يزدكيلومتر20جاده يزدكرمان شركت حريتاش"</f>
        <v>تخليه يزدكيلومتر20جاده يزدكرمان شركت حريتاش</v>
      </c>
      <c r="D110" s="1">
        <v>6876</v>
      </c>
      <c r="E110" s="1">
        <v>108420</v>
      </c>
      <c r="F110" s="1">
        <v>95</v>
      </c>
      <c r="G110" s="1">
        <v>1580</v>
      </c>
      <c r="H110" s="1" t="str">
        <f>"95/06/09"</f>
        <v>95/06/09</v>
      </c>
      <c r="I110" s="1" t="str">
        <f t="shared" si="9"/>
        <v>كيلوگرم</v>
      </c>
      <c r="J110" s="1" t="str">
        <f t="shared" si="6"/>
        <v>0000000076</v>
      </c>
      <c r="K110" s="1" t="str">
        <f t="shared" si="7"/>
        <v>قير 60/70 - فله</v>
      </c>
      <c r="L110" s="1">
        <v>100</v>
      </c>
      <c r="M110" s="1" t="str">
        <f t="shared" si="10"/>
        <v>مخازن قير اصفهان</v>
      </c>
      <c r="N110" s="1">
        <v>7361</v>
      </c>
      <c r="O110" s="1">
        <v>50031727</v>
      </c>
      <c r="P110" s="1" t="str">
        <f>"  شهرداري مهريز"</f>
        <v xml:space="preserve">  شهرداري مهريز</v>
      </c>
      <c r="Q110" s="1">
        <v>20</v>
      </c>
      <c r="R110" s="1" t="str">
        <f>"فروش داخلي - سازمان شهرداري ها و دهياري هاي كشور"</f>
        <v>فروش داخلي - سازمان شهرداري ها و دهياري هاي كشور</v>
      </c>
      <c r="S110" s="1" t="str">
        <f t="shared" si="11"/>
        <v>قرارداد فروش</v>
      </c>
      <c r="T110" s="1" t="str">
        <f t="shared" si="12"/>
        <v>ندارد</v>
      </c>
      <c r="U110" s="1" t="str">
        <f>"عزيزي صفر(1006ج 89)"</f>
        <v>عزيزي صفر(1006ج 89)</v>
      </c>
      <c r="V110" s="1">
        <v>952000060</v>
      </c>
      <c r="W110" s="1">
        <v>952000060</v>
      </c>
      <c r="X110" s="1" t="str">
        <f>"1395427790"</f>
        <v>1395427790</v>
      </c>
      <c r="Y110" s="1" t="str">
        <f>"95/06/09"</f>
        <v>95/06/09</v>
      </c>
      <c r="Z110" s="1" t="str">
        <f>"26146"</f>
        <v>26146</v>
      </c>
      <c r="AA110" s="1" t="str">
        <f>"شهرداريها"</f>
        <v>شهرداريها</v>
      </c>
      <c r="AB110" s="1" t="str">
        <f>"95/06/03"</f>
        <v>95/06/03</v>
      </c>
      <c r="AC110" s="1" t="str">
        <f>"استان اصفهان"</f>
        <v>استان اصفهان</v>
      </c>
      <c r="AD110" s="1" t="str">
        <f>"93/06/09"</f>
        <v>93/06/09</v>
      </c>
      <c r="AE110" s="1" t="str">
        <f t="shared" si="21"/>
        <v>اختتام</v>
      </c>
      <c r="AF110" s="1" t="str">
        <f>""</f>
        <v/>
      </c>
      <c r="AG110" s="1" t="str">
        <f>""</f>
        <v/>
      </c>
      <c r="AH110" s="1" t="str">
        <f>""</f>
        <v/>
      </c>
      <c r="AI110" s="1" t="str">
        <f>""</f>
        <v/>
      </c>
      <c r="AJ110" s="1" t="str">
        <f>""</f>
        <v/>
      </c>
      <c r="AK110" s="1" t="str">
        <f>""</f>
        <v/>
      </c>
    </row>
    <row r="111" spans="1:37" x14ac:dyDescent="0.2">
      <c r="A111" s="1">
        <v>160000</v>
      </c>
      <c r="B111" s="1">
        <v>956200153</v>
      </c>
      <c r="C111" s="1" t="str">
        <f>"تخليه -اصفهان - كاشان - كيلومتر 19محور كاشان - قم شركت درم"</f>
        <v>تخليه -اصفهان - كاشان - كيلومتر 19محور كاشان - قم شركت درم</v>
      </c>
      <c r="D111" s="1">
        <v>8861</v>
      </c>
      <c r="E111" s="1">
        <v>146860</v>
      </c>
      <c r="F111" s="1">
        <v>95</v>
      </c>
      <c r="G111" s="1">
        <v>13140</v>
      </c>
      <c r="H111" s="1" t="str">
        <f>"95/10/23"</f>
        <v>95/10/23</v>
      </c>
      <c r="I111" s="1" t="str">
        <f t="shared" si="9"/>
        <v>كيلوگرم</v>
      </c>
      <c r="J111" s="1" t="str">
        <f t="shared" si="6"/>
        <v>0000000076</v>
      </c>
      <c r="K111" s="1" t="str">
        <f t="shared" si="7"/>
        <v>قير 60/70 - فله</v>
      </c>
      <c r="L111" s="1">
        <v>100</v>
      </c>
      <c r="M111" s="1" t="str">
        <f t="shared" si="10"/>
        <v>مخازن قير اصفهان</v>
      </c>
      <c r="N111" s="1">
        <v>8073</v>
      </c>
      <c r="O111" s="1">
        <v>50033372</v>
      </c>
      <c r="P111" s="1" t="str">
        <f>"  درم"</f>
        <v xml:space="preserve">  درم</v>
      </c>
      <c r="Q111" s="1">
        <v>62</v>
      </c>
      <c r="R111" s="1" t="str">
        <f>"فروش داخلي - سازمان بنيادمسكن انقلاب اسلامي"</f>
        <v>فروش داخلي - سازمان بنيادمسكن انقلاب اسلامي</v>
      </c>
      <c r="S111" s="1" t="str">
        <f t="shared" si="11"/>
        <v>قرارداد فروش</v>
      </c>
      <c r="T111" s="1" t="str">
        <f t="shared" si="12"/>
        <v>ندارد</v>
      </c>
      <c r="U111" s="1" t="str">
        <f>"كبيري رحمت اله(1024ج89)"</f>
        <v>كبيري رحمت اله(1024ج89)</v>
      </c>
      <c r="V111" s="1">
        <v>956200153</v>
      </c>
      <c r="W111" s="1">
        <v>956200153</v>
      </c>
      <c r="X111" s="1" t="str">
        <f>"1395457937"</f>
        <v>1395457937</v>
      </c>
      <c r="Y111" s="1" t="str">
        <f>"95/10/23"</f>
        <v>95/10/23</v>
      </c>
      <c r="Z111" s="1" t="str">
        <f>"44837/د"</f>
        <v>44837/د</v>
      </c>
      <c r="AA111" s="1" t="str">
        <f>"بنيادمسكن انقلاب اسلامي"</f>
        <v>بنيادمسكن انقلاب اسلامي</v>
      </c>
      <c r="AB111" s="1" t="str">
        <f>"95/10/20"</f>
        <v>95/10/20</v>
      </c>
      <c r="AC111" s="1" t="str">
        <f>"استان اصفهان"</f>
        <v>استان اصفهان</v>
      </c>
      <c r="AD111" s="1" t="str">
        <f>"95/10/22"</f>
        <v>95/10/22</v>
      </c>
      <c r="AE111" s="1" t="str">
        <f t="shared" si="21"/>
        <v>اختتام</v>
      </c>
      <c r="AF111" s="1" t="str">
        <f>""</f>
        <v/>
      </c>
      <c r="AG111" s="1" t="str">
        <f>""</f>
        <v/>
      </c>
      <c r="AH111" s="1" t="str">
        <f>""</f>
        <v/>
      </c>
      <c r="AI111" s="1" t="str">
        <f>""</f>
        <v/>
      </c>
      <c r="AJ111" s="1" t="str">
        <f>""</f>
        <v/>
      </c>
      <c r="AK111" s="1" t="str">
        <f>""</f>
        <v/>
      </c>
    </row>
    <row r="112" spans="1:37" x14ac:dyDescent="0.2">
      <c r="A112" s="1">
        <v>28000</v>
      </c>
      <c r="B112" s="1">
        <v>956200301</v>
      </c>
      <c r="C112" s="1" t="str">
        <f>"تخليه تهران پاكدشت جمال آبادكارخانه آسفالت آليچ پارس"</f>
        <v>تخليه تهران پاكدشت جمال آبادكارخانه آسفالت آليچ پارس</v>
      </c>
      <c r="D112" s="1">
        <v>8848</v>
      </c>
      <c r="E112" s="1">
        <v>27240</v>
      </c>
      <c r="F112" s="1">
        <v>95</v>
      </c>
      <c r="G112" s="1">
        <v>760</v>
      </c>
      <c r="H112" s="1" t="str">
        <f>"95/12/09"</f>
        <v>95/12/09</v>
      </c>
      <c r="I112" s="1" t="str">
        <f t="shared" si="9"/>
        <v>كيلوگرم</v>
      </c>
      <c r="J112" s="1" t="str">
        <f t="shared" si="6"/>
        <v>0000000076</v>
      </c>
      <c r="K112" s="1" t="str">
        <f t="shared" si="7"/>
        <v>قير 60/70 - فله</v>
      </c>
      <c r="L112" s="1">
        <v>100</v>
      </c>
      <c r="M112" s="1" t="str">
        <f t="shared" si="10"/>
        <v>مخازن قير اصفهان</v>
      </c>
      <c r="N112" s="1">
        <v>8420</v>
      </c>
      <c r="O112" s="1">
        <v>50033906</v>
      </c>
      <c r="P112" s="1" t="str">
        <f>"  سامان آسفالت"</f>
        <v xml:space="preserve">  سامان آسفالت</v>
      </c>
      <c r="Q112" s="1">
        <v>62</v>
      </c>
      <c r="R112" s="1" t="str">
        <f>"فروش داخلي - سازمان بنيادمسكن انقلاب اسلامي"</f>
        <v>فروش داخلي - سازمان بنيادمسكن انقلاب اسلامي</v>
      </c>
      <c r="S112" s="1" t="str">
        <f t="shared" si="11"/>
        <v>قرارداد فروش</v>
      </c>
      <c r="T112" s="1" t="str">
        <f t="shared" si="12"/>
        <v>ندارد</v>
      </c>
      <c r="U112" s="1" t="str">
        <f>"خوش نيت مجتبي(1841021)"</f>
        <v>خوش نيت مجتبي(1841021)</v>
      </c>
      <c r="V112" s="1">
        <v>956200301</v>
      </c>
      <c r="W112" s="1">
        <v>956200301</v>
      </c>
      <c r="X112" s="1" t="str">
        <f>"1395467743"</f>
        <v>1395467743</v>
      </c>
      <c r="Y112" s="1" t="str">
        <f>"95/12/09"</f>
        <v>95/12/09</v>
      </c>
      <c r="Z112" s="1" t="str">
        <f>"53839/د"</f>
        <v>53839/د</v>
      </c>
      <c r="AA112" s="1" t="str">
        <f>"بنيادمسكن انقلاب اسلامي"</f>
        <v>بنيادمسكن انقلاب اسلامي</v>
      </c>
      <c r="AB112" s="1" t="str">
        <f>"95/12/07"</f>
        <v>95/12/07</v>
      </c>
      <c r="AC112" s="1" t="str">
        <f>"استان تهران"</f>
        <v>استان تهران</v>
      </c>
      <c r="AD112" s="1" t="str">
        <f>"95/12/08"</f>
        <v>95/12/08</v>
      </c>
      <c r="AE112" s="1" t="str">
        <f t="shared" si="21"/>
        <v>اختتام</v>
      </c>
      <c r="AF112" s="1" t="str">
        <f>""</f>
        <v/>
      </c>
      <c r="AG112" s="1" t="str">
        <f>""</f>
        <v/>
      </c>
      <c r="AH112" s="1" t="str">
        <f>""</f>
        <v/>
      </c>
      <c r="AI112" s="1" t="str">
        <f>""</f>
        <v/>
      </c>
      <c r="AJ112" s="1" t="str">
        <f>""</f>
        <v/>
      </c>
      <c r="AK112" s="1" t="str">
        <f>""</f>
        <v/>
      </c>
    </row>
    <row r="113" spans="1:37" x14ac:dyDescent="0.2">
      <c r="A113" s="1">
        <v>930000</v>
      </c>
      <c r="B113" s="1">
        <v>956200420</v>
      </c>
      <c r="C113" s="1" t="str">
        <f>"تخليه - کرمان-بم-جنب ارگ جديد"</f>
        <v>تخليه - کرمان-بم-جنب ارگ جديد</v>
      </c>
      <c r="D113" s="1">
        <v>8848</v>
      </c>
      <c r="E113" s="1">
        <v>929680</v>
      </c>
      <c r="F113" s="1">
        <v>95</v>
      </c>
      <c r="G113" s="1">
        <v>320</v>
      </c>
      <c r="H113" s="1" t="str">
        <f>"95/12/28"</f>
        <v>95/12/28</v>
      </c>
      <c r="I113" s="1" t="str">
        <f t="shared" si="9"/>
        <v>كيلوگرم</v>
      </c>
      <c r="J113" s="1" t="str">
        <f t="shared" si="6"/>
        <v>0000000076</v>
      </c>
      <c r="K113" s="1" t="str">
        <f t="shared" si="7"/>
        <v>قير 60/70 - فله</v>
      </c>
      <c r="L113" s="1">
        <v>100</v>
      </c>
      <c r="M113" s="1" t="str">
        <f t="shared" si="10"/>
        <v>مخازن قير اصفهان</v>
      </c>
      <c r="N113" s="1">
        <v>8154</v>
      </c>
      <c r="O113" s="1">
        <v>50034309</v>
      </c>
      <c r="P113" s="1" t="str">
        <f>"  راهسازي كرمان بيس"</f>
        <v xml:space="preserve">  راهسازي كرمان بيس</v>
      </c>
      <c r="Q113" s="1">
        <v>62</v>
      </c>
      <c r="R113" s="1" t="str">
        <f>"فروش داخلي - سازمان بنيادمسكن انقلاب اسلامي"</f>
        <v>فروش داخلي - سازمان بنيادمسكن انقلاب اسلامي</v>
      </c>
      <c r="S113" s="1" t="str">
        <f t="shared" si="11"/>
        <v>قرارداد فروش</v>
      </c>
      <c r="T113" s="1" t="str">
        <f t="shared" si="12"/>
        <v>ندارد</v>
      </c>
      <c r="U113" s="1" t="str">
        <f>"پورباقري ترابر (4914036)"</f>
        <v>پورباقري ترابر (4914036)</v>
      </c>
      <c r="V113" s="1">
        <v>956200420</v>
      </c>
      <c r="W113" s="1">
        <v>956200420</v>
      </c>
      <c r="X113" s="1" t="str">
        <f>"1395470952"</f>
        <v>1395470952</v>
      </c>
      <c r="Y113" s="1" t="str">
        <f>"95/12/28"</f>
        <v>95/12/28</v>
      </c>
      <c r="Z113" s="1" t="str">
        <f>"57178/د"</f>
        <v>57178/د</v>
      </c>
      <c r="AA113" s="1" t="str">
        <f>"بنيادمسكن انقلاب اسلامي"</f>
        <v>بنيادمسكن انقلاب اسلامي</v>
      </c>
      <c r="AB113" s="1" t="str">
        <f>"95/12/22"</f>
        <v>95/12/22</v>
      </c>
      <c r="AC113" s="1" t="str">
        <f>"استان كرمان"</f>
        <v>استان كرمان</v>
      </c>
      <c r="AD113" s="1" t="str">
        <f>"95/12/24"</f>
        <v>95/12/24</v>
      </c>
      <c r="AE113" s="1" t="str">
        <f t="shared" si="21"/>
        <v>اختتام</v>
      </c>
      <c r="AF113" s="1" t="str">
        <f>""</f>
        <v/>
      </c>
      <c r="AG113" s="1" t="str">
        <f>""</f>
        <v/>
      </c>
      <c r="AH113" s="1" t="str">
        <f>""</f>
        <v/>
      </c>
      <c r="AI113" s="1" t="str">
        <f>""</f>
        <v/>
      </c>
      <c r="AJ113" s="1" t="str">
        <f>""</f>
        <v/>
      </c>
      <c r="AK113" s="1" t="str">
        <f>""</f>
        <v/>
      </c>
    </row>
    <row r="114" spans="1:37" x14ac:dyDescent="0.2">
      <c r="A114" s="1">
        <v>2000000</v>
      </c>
      <c r="B114" s="1">
        <v>951100139</v>
      </c>
      <c r="C114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114" s="1">
        <v>8973</v>
      </c>
      <c r="E114" s="1">
        <v>1998080</v>
      </c>
      <c r="F114" s="1">
        <v>95</v>
      </c>
      <c r="G114" s="1">
        <v>1920</v>
      </c>
      <c r="H114" s="1" t="str">
        <f>"95/08/17"</f>
        <v>95/08/17</v>
      </c>
      <c r="I114" s="1" t="str">
        <f t="shared" si="9"/>
        <v>كيلوگرم</v>
      </c>
      <c r="J114" s="1" t="str">
        <f t="shared" si="6"/>
        <v>0000000076</v>
      </c>
      <c r="K114" s="1" t="str">
        <f t="shared" si="7"/>
        <v>قير 60/70 - فله</v>
      </c>
      <c r="L114" s="1">
        <v>100</v>
      </c>
      <c r="M114" s="1" t="str">
        <f t="shared" si="10"/>
        <v>مخازن قير اصفهان</v>
      </c>
      <c r="N114" s="1">
        <v>8163</v>
      </c>
      <c r="O114" s="1">
        <v>50032545</v>
      </c>
      <c r="P114" s="1" t="str">
        <f>"  سازمان عمران شهرداري مشهد"</f>
        <v xml:space="preserve">  سازمان عمران شهرداري مشهد</v>
      </c>
      <c r="Q114" s="1">
        <v>11</v>
      </c>
      <c r="R114" s="1" t="str">
        <f>"فروش داخلي تهران - بورس"</f>
        <v>فروش داخلي تهران - بورس</v>
      </c>
      <c r="S114" s="1" t="str">
        <f t="shared" si="11"/>
        <v>قرارداد فروش</v>
      </c>
      <c r="T114" s="1" t="str">
        <f t="shared" si="12"/>
        <v>ندارد</v>
      </c>
      <c r="U114" s="1" t="str">
        <f>"حسيني حسن(1841075)"</f>
        <v>حسيني حسن(1841075)</v>
      </c>
      <c r="V114" s="1">
        <v>951100139</v>
      </c>
      <c r="W114" s="1">
        <v>951100139</v>
      </c>
      <c r="X114" s="1" t="str">
        <f>"1395443399"</f>
        <v>1395443399</v>
      </c>
      <c r="Y114" s="1" t="str">
        <f>"95/08/17"</f>
        <v>95/08/17</v>
      </c>
      <c r="Z114" s="1" t="str">
        <f>"49/95/19737"</f>
        <v>49/95/19737</v>
      </c>
      <c r="AA114" s="1" t="str">
        <f>"شهرداريها"</f>
        <v>شهرداريها</v>
      </c>
      <c r="AB114" s="1" t="str">
        <f>"95/08/13"</f>
        <v>95/08/13</v>
      </c>
      <c r="AC114" s="1" t="str">
        <f>"خراسان رضوي"</f>
        <v>خراسان رضوي</v>
      </c>
      <c r="AD114" s="1" t="str">
        <f>"95/08/17"</f>
        <v>95/08/17</v>
      </c>
      <c r="AE114" s="1" t="str">
        <f t="shared" si="21"/>
        <v>اختتام</v>
      </c>
      <c r="AF114" s="1" t="str">
        <f>""</f>
        <v/>
      </c>
      <c r="AG114" s="1" t="str">
        <f>""</f>
        <v/>
      </c>
      <c r="AH114" s="1" t="str">
        <f>""</f>
        <v/>
      </c>
      <c r="AI114" s="1" t="str">
        <f>""</f>
        <v/>
      </c>
      <c r="AJ114" s="1" t="str">
        <f>""</f>
        <v/>
      </c>
      <c r="AK114" s="1" t="str">
        <f>""</f>
        <v/>
      </c>
    </row>
    <row r="115" spans="1:37" x14ac:dyDescent="0.2">
      <c r="A115" s="1">
        <v>50000</v>
      </c>
      <c r="B115" s="1">
        <v>951100176</v>
      </c>
      <c r="C115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15" s="1">
        <v>9361</v>
      </c>
      <c r="E115" s="1">
        <v>47600</v>
      </c>
      <c r="F115" s="1">
        <v>95</v>
      </c>
      <c r="G115" s="1">
        <v>2400</v>
      </c>
      <c r="H115" s="1" t="str">
        <f>"95/11/09"</f>
        <v>95/11/09</v>
      </c>
      <c r="I115" s="1" t="str">
        <f t="shared" si="9"/>
        <v>كيلوگرم</v>
      </c>
      <c r="J115" s="1" t="str">
        <f t="shared" si="6"/>
        <v>0000000076</v>
      </c>
      <c r="K115" s="1" t="str">
        <f t="shared" si="7"/>
        <v>قير 60/70 - فله</v>
      </c>
      <c r="L115" s="1">
        <v>100</v>
      </c>
      <c r="M115" s="1" t="str">
        <f t="shared" si="10"/>
        <v>مخازن قير اصفهان</v>
      </c>
      <c r="N115" s="1">
        <v>8795</v>
      </c>
      <c r="O115" s="1">
        <v>50033550</v>
      </c>
      <c r="P115" s="1" t="str">
        <f>"  توسعه ساختارمحيط"</f>
        <v xml:space="preserve">  توسعه ساختارمحيط</v>
      </c>
      <c r="Q115" s="1">
        <v>11</v>
      </c>
      <c r="R115" s="1" t="str">
        <f>"فروش داخلي تهران - بورس"</f>
        <v>فروش داخلي تهران - بورس</v>
      </c>
      <c r="S115" s="1" t="str">
        <f t="shared" si="11"/>
        <v>قرارداد فروش</v>
      </c>
      <c r="T115" s="1" t="str">
        <f t="shared" si="12"/>
        <v>ندارد</v>
      </c>
      <c r="U115" s="1" t="str">
        <f>"حاصليان ترابرجنوب مرتضي حاصلي (4844006)"</f>
        <v>حاصليان ترابرجنوب مرتضي حاصلي (4844006)</v>
      </c>
      <c r="V115" s="1">
        <v>951100176</v>
      </c>
      <c r="W115" s="1">
        <v>951100176</v>
      </c>
      <c r="X115" s="1" t="str">
        <f>"1395460609"</f>
        <v>1395460609</v>
      </c>
      <c r="Y115" s="1" t="str">
        <f>"95/11/09"</f>
        <v>95/11/09</v>
      </c>
      <c r="Z115" s="1" t="str">
        <f>"9535129"</f>
        <v>9535129</v>
      </c>
      <c r="AA115" s="1" t="str">
        <f>"توليدقيرامولسيون"</f>
        <v>توليدقيرامولسيون</v>
      </c>
      <c r="AB115" s="1" t="str">
        <f>"95/11/06"</f>
        <v>95/11/06</v>
      </c>
      <c r="AC115" s="1" t="str">
        <f>"قم"</f>
        <v>قم</v>
      </c>
      <c r="AD115" s="1" t="str">
        <f>"95/11/05"</f>
        <v>95/11/05</v>
      </c>
      <c r="AE115" s="1" t="str">
        <f t="shared" si="21"/>
        <v>اختتام</v>
      </c>
      <c r="AF115" s="1" t="str">
        <f>""</f>
        <v/>
      </c>
      <c r="AG115" s="1" t="str">
        <f>""</f>
        <v/>
      </c>
      <c r="AH115" s="1" t="str">
        <f>""</f>
        <v/>
      </c>
      <c r="AI115" s="1" t="str">
        <f>""</f>
        <v/>
      </c>
      <c r="AJ115" s="1" t="str">
        <f>""</f>
        <v/>
      </c>
      <c r="AK115" s="1" t="str">
        <f>""</f>
        <v/>
      </c>
    </row>
    <row r="116" spans="1:37" x14ac:dyDescent="0.2">
      <c r="A116" s="1">
        <v>104000</v>
      </c>
      <c r="B116" s="1">
        <v>956200257</v>
      </c>
      <c r="C116" s="1" t="str">
        <f>"تخليه - تهران - دماوند - گيلاوند  - انتهاي خيابان سپاه کيلومتر 6 جاده زردر"</f>
        <v>تخليه - تهران - دماوند - گيلاوند  - انتهاي خيابان سپاه کيلومتر 6 جاده زردر</v>
      </c>
      <c r="D116" s="1">
        <v>8848</v>
      </c>
      <c r="E116" s="1">
        <v>104000</v>
      </c>
      <c r="F116" s="1">
        <v>95</v>
      </c>
      <c r="G116" s="1">
        <v>0</v>
      </c>
      <c r="H116" s="1" t="str">
        <f>"95/12/03"</f>
        <v>95/12/03</v>
      </c>
      <c r="I116" s="1" t="str">
        <f t="shared" si="9"/>
        <v>كيلوگرم</v>
      </c>
      <c r="J116" s="1" t="str">
        <f t="shared" ref="J116:J179" si="22">"0000000076"</f>
        <v>0000000076</v>
      </c>
      <c r="K116" s="1" t="str">
        <f t="shared" ref="K116:K179" si="23">"قير 60/70 - فله"</f>
        <v>قير 60/70 - فله</v>
      </c>
      <c r="L116" s="1">
        <v>100</v>
      </c>
      <c r="M116" s="1" t="str">
        <f t="shared" si="10"/>
        <v>مخازن قير اصفهان</v>
      </c>
      <c r="N116" s="1">
        <v>8489</v>
      </c>
      <c r="O116" s="1">
        <v>50033809</v>
      </c>
      <c r="P116" s="1" t="str">
        <f>"  دوژيران"</f>
        <v xml:space="preserve">  دوژيران</v>
      </c>
      <c r="Q116" s="1">
        <v>62</v>
      </c>
      <c r="R116" s="1" t="str">
        <f>"فروش داخلي - سازمان بنيادمسكن انقلاب اسلامي"</f>
        <v>فروش داخلي - سازمان بنيادمسكن انقلاب اسلامي</v>
      </c>
      <c r="S116" s="1" t="str">
        <f t="shared" si="11"/>
        <v>قرارداد فروش</v>
      </c>
      <c r="T116" s="1" t="str">
        <f t="shared" si="12"/>
        <v>ندارد</v>
      </c>
      <c r="U116" s="1" t="str">
        <f>"سليمي پارساعارف عماد(1901096)"</f>
        <v>سليمي پارساعارف عماد(1901096)</v>
      </c>
      <c r="V116" s="1">
        <v>956200257</v>
      </c>
      <c r="W116" s="1">
        <v>956200257</v>
      </c>
      <c r="X116" s="1" t="str">
        <f>"1395466581"</f>
        <v>1395466581</v>
      </c>
      <c r="Y116" s="1" t="str">
        <f>"95/12/03"</f>
        <v>95/12/03</v>
      </c>
      <c r="Z116" s="1" t="str">
        <f>"52752/د"</f>
        <v>52752/د</v>
      </c>
      <c r="AA116" s="1" t="str">
        <f>"بنيادمسكن انقلاب اسلامي"</f>
        <v>بنيادمسكن انقلاب اسلامي</v>
      </c>
      <c r="AB116" s="1" t="str">
        <f>"95/12/02"</f>
        <v>95/12/02</v>
      </c>
      <c r="AC116" s="1" t="str">
        <f>"استان تهران"</f>
        <v>استان تهران</v>
      </c>
      <c r="AD116" s="1" t="str">
        <f>"95/12/03"</f>
        <v>95/12/03</v>
      </c>
      <c r="AE116" s="1" t="str">
        <f t="shared" si="21"/>
        <v>اختتام</v>
      </c>
      <c r="AF116" s="1" t="str">
        <f>""</f>
        <v/>
      </c>
      <c r="AG116" s="1" t="str">
        <f>""</f>
        <v/>
      </c>
      <c r="AH116" s="1" t="str">
        <f>""</f>
        <v/>
      </c>
      <c r="AI116" s="1" t="str">
        <f>""</f>
        <v/>
      </c>
      <c r="AJ116" s="1" t="str">
        <f>""</f>
        <v/>
      </c>
      <c r="AK116" s="1" t="str">
        <f>""</f>
        <v/>
      </c>
    </row>
    <row r="117" spans="1:37" x14ac:dyDescent="0.2">
      <c r="A117" s="1">
        <v>457000</v>
      </c>
      <c r="B117" s="1">
        <v>956200115</v>
      </c>
      <c r="C117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7" s="1">
        <v>8861</v>
      </c>
      <c r="E117" s="1">
        <v>455880</v>
      </c>
      <c r="F117" s="1">
        <v>95</v>
      </c>
      <c r="G117" s="1">
        <v>1120</v>
      </c>
      <c r="H117" s="1" t="str">
        <f>"95/10/06"</f>
        <v>95/10/06</v>
      </c>
      <c r="I117" s="1" t="str">
        <f t="shared" si="9"/>
        <v>كيلوگرم</v>
      </c>
      <c r="J117" s="1" t="str">
        <f t="shared" si="22"/>
        <v>0000000076</v>
      </c>
      <c r="K117" s="1" t="str">
        <f t="shared" si="23"/>
        <v>قير 60/70 - فله</v>
      </c>
      <c r="L117" s="1">
        <v>100</v>
      </c>
      <c r="M117" s="1" t="str">
        <f t="shared" si="10"/>
        <v>مخازن قير اصفهان</v>
      </c>
      <c r="N117" s="1">
        <v>8903</v>
      </c>
      <c r="O117" s="1">
        <v>50033164</v>
      </c>
      <c r="P117" s="1" t="str">
        <f>"  بنيادمسكن انقلاب اسلامي مازندران"</f>
        <v xml:space="preserve">  بنيادمسكن انقلاب اسلامي مازندران</v>
      </c>
      <c r="Q117" s="1">
        <v>62</v>
      </c>
      <c r="R117" s="1" t="str">
        <f>"فروش داخلي - سازمان بنيادمسكن انقلاب اسلامي"</f>
        <v>فروش داخلي - سازمان بنيادمسكن انقلاب اسلامي</v>
      </c>
      <c r="S117" s="1" t="str">
        <f t="shared" si="11"/>
        <v>قرارداد فروش</v>
      </c>
      <c r="T117" s="1" t="str">
        <f t="shared" si="12"/>
        <v>ندارد</v>
      </c>
      <c r="U117" s="1" t="str">
        <f>"شيشه بر كريم(1841016)"</f>
        <v>شيشه بر كريم(1841016)</v>
      </c>
      <c r="V117" s="1">
        <v>956200115</v>
      </c>
      <c r="W117" s="1">
        <v>956200115</v>
      </c>
      <c r="X117" s="1" t="str">
        <f>"1395454526"</f>
        <v>1395454526</v>
      </c>
      <c r="Y117" s="1" t="str">
        <f>"95/10/06"</f>
        <v>95/10/06</v>
      </c>
      <c r="Z117" s="1" t="str">
        <f>"40516/د"</f>
        <v>40516/د</v>
      </c>
      <c r="AA117" s="1" t="str">
        <f>"بنيادمسكن انقلاب اسلامي"</f>
        <v>بنيادمسكن انقلاب اسلامي</v>
      </c>
      <c r="AB117" s="1" t="str">
        <f>"95/09/24"</f>
        <v>95/09/24</v>
      </c>
      <c r="AC117" s="1" t="str">
        <f>"استان مازندران"</f>
        <v>استان مازندران</v>
      </c>
      <c r="AD117" s="1" t="str">
        <f>"95/10/05"</f>
        <v>95/10/05</v>
      </c>
      <c r="AE117" s="1" t="str">
        <f t="shared" si="21"/>
        <v>اختتام</v>
      </c>
      <c r="AF117" s="1" t="str">
        <f>""</f>
        <v/>
      </c>
      <c r="AG117" s="1" t="str">
        <f>""</f>
        <v/>
      </c>
      <c r="AH117" s="1" t="str">
        <f>""</f>
        <v/>
      </c>
      <c r="AI117" s="1" t="str">
        <f>""</f>
        <v/>
      </c>
      <c r="AJ117" s="1" t="str">
        <f>""</f>
        <v/>
      </c>
      <c r="AK117" s="1" t="str">
        <f>""</f>
        <v/>
      </c>
    </row>
    <row r="118" spans="1:37" x14ac:dyDescent="0.2">
      <c r="A118" s="1">
        <v>100000</v>
      </c>
      <c r="B118" s="1">
        <v>956200062</v>
      </c>
      <c r="C118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18" s="1">
        <v>6426</v>
      </c>
      <c r="E118" s="1">
        <v>100000</v>
      </c>
      <c r="F118" s="1">
        <v>95</v>
      </c>
      <c r="G118" s="1">
        <v>0</v>
      </c>
      <c r="H118" s="1" t="str">
        <f>"95/05/18"</f>
        <v>95/05/18</v>
      </c>
      <c r="I118" s="1" t="str">
        <f t="shared" si="9"/>
        <v>كيلوگرم</v>
      </c>
      <c r="J118" s="1" t="str">
        <f t="shared" si="22"/>
        <v>0000000076</v>
      </c>
      <c r="K118" s="1" t="str">
        <f t="shared" si="23"/>
        <v>قير 60/70 - فله</v>
      </c>
      <c r="L118" s="1">
        <v>100</v>
      </c>
      <c r="M118" s="1" t="str">
        <f t="shared" si="10"/>
        <v>مخازن قير اصفهان</v>
      </c>
      <c r="N118" s="1">
        <v>8597</v>
      </c>
      <c r="O118" s="1">
        <v>50031477</v>
      </c>
      <c r="P118" s="1" t="str">
        <f>"  خرداد راه ساز ايلام"</f>
        <v xml:space="preserve">  خرداد راه ساز ايلام</v>
      </c>
      <c r="Q118" s="1">
        <v>62</v>
      </c>
      <c r="R118" s="1" t="str">
        <f>"فروش داخلي - سازمان بنيادمسكن انقلاب اسلامي"</f>
        <v>فروش داخلي - سازمان بنيادمسكن انقلاب اسلامي</v>
      </c>
      <c r="S118" s="1" t="str">
        <f t="shared" si="11"/>
        <v>قرارداد فروش</v>
      </c>
      <c r="T118" s="1" t="str">
        <f t="shared" si="12"/>
        <v>ندارد</v>
      </c>
      <c r="U118" s="1" t="str">
        <f>"عظيمي محمد(2842015)"</f>
        <v>عظيمي محمد(2842015)</v>
      </c>
      <c r="V118" s="1">
        <v>956200062</v>
      </c>
      <c r="W118" s="1">
        <v>956200062</v>
      </c>
      <c r="X118" s="1" t="str">
        <f>"1395421163"</f>
        <v>1395421163</v>
      </c>
      <c r="Y118" s="1" t="str">
        <f>"95/05/18"</f>
        <v>95/05/18</v>
      </c>
      <c r="Z118" s="1" t="str">
        <f>"19046/د"</f>
        <v>19046/د</v>
      </c>
      <c r="AA118" s="1" t="str">
        <f>"بنيادمسكن انقلاب اسلامي"</f>
        <v>بنيادمسكن انقلاب اسلامي</v>
      </c>
      <c r="AB118" s="1" t="str">
        <f>"95/05/11"</f>
        <v>95/05/11</v>
      </c>
      <c r="AC118" s="1" t="str">
        <f>"استان ايلام"</f>
        <v>استان ايلام</v>
      </c>
      <c r="AD118" s="1" t="str">
        <f>"95/05/13"</f>
        <v>95/05/13</v>
      </c>
      <c r="AE118" s="1" t="str">
        <f t="shared" si="21"/>
        <v>اختتام</v>
      </c>
      <c r="AF118" s="1" t="str">
        <f>""</f>
        <v/>
      </c>
      <c r="AG118" s="1" t="str">
        <f>""</f>
        <v/>
      </c>
      <c r="AH118" s="1" t="str">
        <f>""</f>
        <v/>
      </c>
      <c r="AI118" s="1" t="str">
        <f>""</f>
        <v/>
      </c>
      <c r="AJ118" s="1" t="str">
        <f>""</f>
        <v/>
      </c>
      <c r="AK118" s="1" t="str">
        <f>""</f>
        <v/>
      </c>
    </row>
    <row r="119" spans="1:37" x14ac:dyDescent="0.2">
      <c r="A119" s="1">
        <v>56000</v>
      </c>
      <c r="B119" s="1">
        <v>956200207</v>
      </c>
      <c r="C119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19" s="1">
        <v>9361</v>
      </c>
      <c r="E119" s="1">
        <v>54980</v>
      </c>
      <c r="F119" s="1">
        <v>95</v>
      </c>
      <c r="G119" s="1">
        <v>1020</v>
      </c>
      <c r="H119" s="1" t="str">
        <f>"95/11/20"</f>
        <v>95/11/20</v>
      </c>
      <c r="I119" s="1" t="str">
        <f t="shared" si="9"/>
        <v>كيلوگرم</v>
      </c>
      <c r="J119" s="1" t="str">
        <f t="shared" si="22"/>
        <v>0000000076</v>
      </c>
      <c r="K119" s="1" t="str">
        <f t="shared" si="23"/>
        <v>قير 60/70 - فله</v>
      </c>
      <c r="L119" s="1">
        <v>100</v>
      </c>
      <c r="M119" s="1" t="str">
        <f t="shared" si="10"/>
        <v>مخازن قير اصفهان</v>
      </c>
      <c r="N119" s="1">
        <v>8597</v>
      </c>
      <c r="O119" s="1">
        <v>50033642</v>
      </c>
      <c r="P119" s="1" t="str">
        <f>"  خرداد راه ساز ايلام"</f>
        <v xml:space="preserve">  خرداد راه ساز ايلام</v>
      </c>
      <c r="Q119" s="1">
        <v>62</v>
      </c>
      <c r="R119" s="1" t="str">
        <f>"فروش داخلي - سازمان بنيادمسكن انقلاب اسلامي"</f>
        <v>فروش داخلي - سازمان بنيادمسكن انقلاب اسلامي</v>
      </c>
      <c r="S119" s="1" t="str">
        <f t="shared" si="11"/>
        <v>قرارداد فروش</v>
      </c>
      <c r="T119" s="1" t="str">
        <f t="shared" si="12"/>
        <v>ندارد</v>
      </c>
      <c r="U119" s="1" t="str">
        <f>"عظيمي محمد(2842015)"</f>
        <v>عظيمي محمد(2842015)</v>
      </c>
      <c r="V119" s="1">
        <v>956200207</v>
      </c>
      <c r="W119" s="1">
        <v>956200207</v>
      </c>
      <c r="X119" s="1" t="str">
        <f>"1395464204"</f>
        <v>1395464204</v>
      </c>
      <c r="Y119" s="1" t="str">
        <f>"95/11/20"</f>
        <v>95/11/20</v>
      </c>
      <c r="Z119" s="1" t="str">
        <f>"50311/د"</f>
        <v>50311/د</v>
      </c>
      <c r="AA119" s="1" t="str">
        <f>"بنيادمسكن انقلاب اسلامي"</f>
        <v>بنيادمسكن انقلاب اسلامي</v>
      </c>
      <c r="AB119" s="1" t="str">
        <f>"95/11/20"</f>
        <v>95/11/20</v>
      </c>
      <c r="AC119" s="1" t="str">
        <f>"استان ايلام"</f>
        <v>استان ايلام</v>
      </c>
      <c r="AD119" s="1" t="str">
        <f>"95/11/20"</f>
        <v>95/11/20</v>
      </c>
      <c r="AE119" s="1" t="str">
        <f t="shared" si="21"/>
        <v>اختتام</v>
      </c>
      <c r="AF119" s="1" t="str">
        <f>""</f>
        <v/>
      </c>
      <c r="AG119" s="1" t="str">
        <f>""</f>
        <v/>
      </c>
      <c r="AH119" s="1" t="str">
        <f>""</f>
        <v/>
      </c>
      <c r="AI119" s="1" t="str">
        <f>""</f>
        <v/>
      </c>
      <c r="AJ119" s="1" t="str">
        <f>""</f>
        <v/>
      </c>
      <c r="AK119" s="1" t="str">
        <f>""</f>
        <v/>
      </c>
    </row>
    <row r="120" spans="1:37" x14ac:dyDescent="0.2">
      <c r="A120" s="1">
        <v>48000</v>
      </c>
      <c r="B120" s="1">
        <v>951100065</v>
      </c>
      <c r="C120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20" s="1">
        <v>5750</v>
      </c>
      <c r="E120" s="1">
        <v>48000</v>
      </c>
      <c r="F120" s="1">
        <v>95</v>
      </c>
      <c r="G120" s="1">
        <v>0</v>
      </c>
      <c r="H120" s="1" t="str">
        <f>"95/03/18"</f>
        <v>95/03/18</v>
      </c>
      <c r="I120" s="1" t="str">
        <f t="shared" si="9"/>
        <v>كيلوگرم</v>
      </c>
      <c r="J120" s="1" t="str">
        <f t="shared" si="22"/>
        <v>0000000076</v>
      </c>
      <c r="K120" s="1" t="str">
        <f t="shared" si="23"/>
        <v>قير 60/70 - فله</v>
      </c>
      <c r="L120" s="1">
        <v>100</v>
      </c>
      <c r="M120" s="1" t="str">
        <f t="shared" si="10"/>
        <v>مخازن قير اصفهان</v>
      </c>
      <c r="N120" s="1">
        <v>8246</v>
      </c>
      <c r="O120" s="1">
        <v>50030977</v>
      </c>
      <c r="P120" s="1" t="str">
        <f>"  نيك محضراسپادانا"</f>
        <v xml:space="preserve">  نيك محضراسپادانا</v>
      </c>
      <c r="Q120" s="1">
        <v>11</v>
      </c>
      <c r="R120" s="1" t="str">
        <f>"فروش داخلي تهران - بورس"</f>
        <v>فروش داخلي تهران - بورس</v>
      </c>
      <c r="S120" s="1" t="str">
        <f t="shared" si="11"/>
        <v>قرارداد فروش</v>
      </c>
      <c r="T120" s="1" t="str">
        <f t="shared" si="12"/>
        <v>ندارد</v>
      </c>
      <c r="U120" s="1" t="str">
        <f>"عزيزي صفر(1006ج 89)"</f>
        <v>عزيزي صفر(1006ج 89)</v>
      </c>
      <c r="V120" s="1">
        <v>951100065</v>
      </c>
      <c r="W120" s="1">
        <v>951100065</v>
      </c>
      <c r="X120" s="1" t="str">
        <f>"1395406473"</f>
        <v>1395406473</v>
      </c>
      <c r="Y120" s="1" t="str">
        <f>"95/03/17"</f>
        <v>95/03/17</v>
      </c>
      <c r="Z120" s="1" t="str">
        <f>"95-34465"</f>
        <v>95-34465</v>
      </c>
      <c r="AA120" s="1" t="str">
        <f>"آسفالت سازان"</f>
        <v>آسفالت سازان</v>
      </c>
      <c r="AB120" s="1" t="str">
        <f>"95/03/17"</f>
        <v>95/03/17</v>
      </c>
      <c r="AC120" s="1" t="str">
        <f>"استان اصفهان"</f>
        <v>استان اصفهان</v>
      </c>
      <c r="AD120" s="1" t="str">
        <f>"95/03/10"</f>
        <v>95/03/10</v>
      </c>
      <c r="AE120" s="1" t="str">
        <f>"تاييدشده"</f>
        <v>تاييدشده</v>
      </c>
      <c r="AF120" s="1" t="str">
        <f>""</f>
        <v/>
      </c>
      <c r="AG120" s="1" t="str">
        <f>""</f>
        <v/>
      </c>
      <c r="AH120" s="1" t="str">
        <f>""</f>
        <v/>
      </c>
      <c r="AI120" s="1" t="str">
        <f>""</f>
        <v/>
      </c>
      <c r="AJ120" s="1" t="str">
        <f>""</f>
        <v/>
      </c>
      <c r="AK120" s="1" t="str">
        <f>""</f>
        <v/>
      </c>
    </row>
    <row r="121" spans="1:37" x14ac:dyDescent="0.2">
      <c r="A121" s="1">
        <v>150000</v>
      </c>
      <c r="B121" s="1">
        <v>951100009</v>
      </c>
      <c r="C121" s="1" t="str">
        <f>"تخليه -مازندران -شهرستان بابل -كارخانه آسفالت شهرداري بابل"</f>
        <v>تخليه -مازندران -شهرستان بابل -كارخانه آسفالت شهرداري بابل</v>
      </c>
      <c r="D121" s="1">
        <v>5200</v>
      </c>
      <c r="E121" s="1">
        <v>148860</v>
      </c>
      <c r="F121" s="1">
        <v>95</v>
      </c>
      <c r="G121" s="1">
        <v>1140</v>
      </c>
      <c r="H121" s="1" t="str">
        <f>"95/01/28"</f>
        <v>95/01/28</v>
      </c>
      <c r="I121" s="1" t="str">
        <f t="shared" si="9"/>
        <v>كيلوگرم</v>
      </c>
      <c r="J121" s="1" t="str">
        <f t="shared" si="22"/>
        <v>0000000076</v>
      </c>
      <c r="K121" s="1" t="str">
        <f t="shared" si="23"/>
        <v>قير 60/70 - فله</v>
      </c>
      <c r="L121" s="1">
        <v>100</v>
      </c>
      <c r="M121" s="1" t="str">
        <f t="shared" si="10"/>
        <v>مخازن قير اصفهان</v>
      </c>
      <c r="N121" s="1">
        <v>8269</v>
      </c>
      <c r="O121" s="1">
        <v>50030532</v>
      </c>
      <c r="P121" s="1" t="str">
        <f>"  شهرداري بابل"</f>
        <v xml:space="preserve">  شهرداري بابل</v>
      </c>
      <c r="Q121" s="1">
        <v>11</v>
      </c>
      <c r="R121" s="1" t="str">
        <f>"فروش داخلي تهران - بورس"</f>
        <v>فروش داخلي تهران - بورس</v>
      </c>
      <c r="S121" s="1" t="str">
        <f t="shared" si="11"/>
        <v>قرارداد فروش</v>
      </c>
      <c r="T121" s="1" t="str">
        <f t="shared" si="12"/>
        <v>ندارد</v>
      </c>
      <c r="U121" s="1" t="str">
        <f>"شيشه بر كريم(1841016)"</f>
        <v>شيشه بر كريم(1841016)</v>
      </c>
      <c r="V121" s="1">
        <v>951100009</v>
      </c>
      <c r="W121" s="1">
        <v>951100009</v>
      </c>
      <c r="X121" s="1" t="str">
        <f>"1395399113"</f>
        <v>1395399113</v>
      </c>
      <c r="Y121" s="1" t="str">
        <f>"95/01/25"</f>
        <v>95/01/25</v>
      </c>
      <c r="Z121" s="1" t="str">
        <f>"95-34194"</f>
        <v>95-34194</v>
      </c>
      <c r="AA121" s="1" t="str">
        <f>"شهرداريها"</f>
        <v>شهرداريها</v>
      </c>
      <c r="AB121" s="1" t="str">
        <f>"95/01/25"</f>
        <v>95/01/25</v>
      </c>
      <c r="AC121" s="1" t="str">
        <f>"استان مازندران"</f>
        <v>استان مازندران</v>
      </c>
      <c r="AD121" s="1" t="str">
        <f>"95/01/24"</f>
        <v>95/01/24</v>
      </c>
      <c r="AE121" s="1" t="str">
        <f t="shared" ref="AE121:AE129" si="24">"اختتام"</f>
        <v>اختتام</v>
      </c>
      <c r="AF121" s="1" t="str">
        <f>""</f>
        <v/>
      </c>
      <c r="AG121" s="1" t="str">
        <f>""</f>
        <v/>
      </c>
      <c r="AH121" s="1" t="str">
        <f>""</f>
        <v/>
      </c>
      <c r="AI121" s="1" t="str">
        <f>""</f>
        <v/>
      </c>
      <c r="AJ121" s="1" t="str">
        <f>""</f>
        <v/>
      </c>
      <c r="AK121" s="1" t="str">
        <f>""</f>
        <v/>
      </c>
    </row>
    <row r="122" spans="1:37" x14ac:dyDescent="0.2">
      <c r="A122" s="1">
        <v>167000</v>
      </c>
      <c r="B122" s="1">
        <v>952000041</v>
      </c>
      <c r="C122" s="1" t="str">
        <f>"تخليه لرستان شهرستان ازناكيلومتر10جاده دره كارخانه آسفالت شهرداري"</f>
        <v>تخليه لرستان شهرستان ازناكيلومتر10جاده دره كارخانه آسفالت شهرداري</v>
      </c>
      <c r="D122" s="1">
        <v>6876</v>
      </c>
      <c r="E122" s="1">
        <v>166820</v>
      </c>
      <c r="F122" s="1">
        <v>95</v>
      </c>
      <c r="G122" s="1">
        <v>180</v>
      </c>
      <c r="H122" s="1" t="str">
        <f>"95/06/07"</f>
        <v>95/06/07</v>
      </c>
      <c r="I122" s="1" t="str">
        <f t="shared" si="9"/>
        <v>كيلوگرم</v>
      </c>
      <c r="J122" s="1" t="str">
        <f t="shared" si="22"/>
        <v>0000000076</v>
      </c>
      <c r="K122" s="1" t="str">
        <f t="shared" si="23"/>
        <v>قير 60/70 - فله</v>
      </c>
      <c r="L122" s="1">
        <v>100</v>
      </c>
      <c r="M122" s="1" t="str">
        <f t="shared" si="10"/>
        <v>مخازن قير اصفهان</v>
      </c>
      <c r="N122" s="1">
        <v>8195</v>
      </c>
      <c r="O122" s="1">
        <v>50031685</v>
      </c>
      <c r="P122" s="1" t="str">
        <f>"  شهرداري ازنا"</f>
        <v xml:space="preserve">  شهرداري ازنا</v>
      </c>
      <c r="Q122" s="1">
        <v>20</v>
      </c>
      <c r="R122" s="1" t="str">
        <f>"فروش داخلي - سازمان شهرداري ها و دهياري هاي كشور"</f>
        <v>فروش داخلي - سازمان شهرداري ها و دهياري هاي كشور</v>
      </c>
      <c r="S122" s="1" t="str">
        <f t="shared" si="11"/>
        <v>قرارداد فروش</v>
      </c>
      <c r="T122" s="1" t="str">
        <f t="shared" si="12"/>
        <v>ندارد</v>
      </c>
      <c r="U122" s="1" t="str">
        <f>"شمسيان پور حبيب اله(2842034)"</f>
        <v>شمسيان پور حبيب اله(2842034)</v>
      </c>
      <c r="V122" s="1">
        <v>952000041</v>
      </c>
      <c r="W122" s="1">
        <v>952000041</v>
      </c>
      <c r="X122" s="1" t="str">
        <f>"1395426944"</f>
        <v>1395426944</v>
      </c>
      <c r="Y122" s="1" t="str">
        <f>"95/06/07"</f>
        <v>95/06/07</v>
      </c>
      <c r="Z122" s="1" t="str">
        <f>"23947"</f>
        <v>23947</v>
      </c>
      <c r="AA122" s="1" t="str">
        <f>"شهرداريها"</f>
        <v>شهرداريها</v>
      </c>
      <c r="AB122" s="1" t="str">
        <f>"95/05/26"</f>
        <v>95/05/26</v>
      </c>
      <c r="AC122" s="1" t="str">
        <f>"لرستان"</f>
        <v>لرستان</v>
      </c>
      <c r="AD122" s="1" t="str">
        <f>"95/06/06"</f>
        <v>95/06/06</v>
      </c>
      <c r="AE122" s="1" t="str">
        <f t="shared" si="24"/>
        <v>اختتام</v>
      </c>
      <c r="AF122" s="1" t="str">
        <f>""</f>
        <v/>
      </c>
      <c r="AG122" s="1" t="str">
        <f>""</f>
        <v/>
      </c>
      <c r="AH122" s="1" t="str">
        <f>""</f>
        <v/>
      </c>
      <c r="AI122" s="1" t="str">
        <f>""</f>
        <v/>
      </c>
      <c r="AJ122" s="1" t="str">
        <f>""</f>
        <v/>
      </c>
      <c r="AK122" s="1" t="str">
        <f>""</f>
        <v/>
      </c>
    </row>
    <row r="123" spans="1:37" x14ac:dyDescent="0.2">
      <c r="A123" s="1">
        <v>86000</v>
      </c>
      <c r="B123" s="1">
        <v>951100067</v>
      </c>
      <c r="C123" s="1" t="str">
        <f>"تخليه -زابل -کيلومتر45جاده زابل -نهبندان -نرسيده به روستاي ميل نادر-موسسه نصر"</f>
        <v>تخليه -زابل -کيلومتر45جاده زابل -نهبندان -نرسيده به روستاي ميل نادر-موسسه نصر</v>
      </c>
      <c r="D123" s="1">
        <v>5750</v>
      </c>
      <c r="E123" s="1">
        <v>83820</v>
      </c>
      <c r="F123" s="1">
        <v>95</v>
      </c>
      <c r="G123" s="1">
        <v>2180</v>
      </c>
      <c r="H123" s="1" t="str">
        <f>"95/03/19"</f>
        <v>95/03/19</v>
      </c>
      <c r="I123" s="1" t="str">
        <f t="shared" si="9"/>
        <v>كيلوگرم</v>
      </c>
      <c r="J123" s="1" t="str">
        <f t="shared" si="22"/>
        <v>0000000076</v>
      </c>
      <c r="K123" s="1" t="str">
        <f t="shared" si="23"/>
        <v>قير 60/70 - فله</v>
      </c>
      <c r="L123" s="1">
        <v>100</v>
      </c>
      <c r="M123" s="1" t="str">
        <f t="shared" si="10"/>
        <v>مخازن قير اصفهان</v>
      </c>
      <c r="N123" s="1">
        <v>8316</v>
      </c>
      <c r="O123" s="1">
        <v>50030982</v>
      </c>
      <c r="P123" s="1" t="str">
        <f>"  موسسه سازندگي نصر"</f>
        <v xml:space="preserve">  موسسه سازندگي نصر</v>
      </c>
      <c r="Q123" s="1">
        <v>11</v>
      </c>
      <c r="R123" s="1" t="str">
        <f>"فروش داخلي تهران - بورس"</f>
        <v>فروش داخلي تهران - بورس</v>
      </c>
      <c r="S123" s="1" t="str">
        <f t="shared" si="11"/>
        <v>قرارداد فروش</v>
      </c>
      <c r="T123" s="1" t="str">
        <f t="shared" si="12"/>
        <v>ندارد</v>
      </c>
      <c r="U123" s="1" t="str">
        <f>"ميرحسيني چاپارحقيقت كرمان(4844008)"</f>
        <v>ميرحسيني چاپارحقيقت كرمان(4844008)</v>
      </c>
      <c r="V123" s="1">
        <v>951100067</v>
      </c>
      <c r="W123" s="1">
        <v>951100067</v>
      </c>
      <c r="X123" s="1" t="str">
        <f>"1395407980"</f>
        <v>1395407980</v>
      </c>
      <c r="Y123" s="1" t="str">
        <f>"95/03/19"</f>
        <v>95/03/19</v>
      </c>
      <c r="Z123" s="1" t="str">
        <f>"240/61/65/1742/س"</f>
        <v>240/61/65/1742/س</v>
      </c>
      <c r="AA123" s="1" t="str">
        <f>"راه سازي"</f>
        <v>راه سازي</v>
      </c>
      <c r="AB123" s="1" t="str">
        <f>"95/02/14"</f>
        <v>95/02/14</v>
      </c>
      <c r="AC123" s="1" t="str">
        <f>"خراسان رضوي"</f>
        <v>خراسان رضوي</v>
      </c>
      <c r="AD123" s="1" t="str">
        <f>"95/03/18"</f>
        <v>95/03/18</v>
      </c>
      <c r="AE123" s="1" t="str">
        <f t="shared" si="24"/>
        <v>اختتام</v>
      </c>
      <c r="AF123" s="1" t="str">
        <f>""</f>
        <v/>
      </c>
      <c r="AG123" s="1" t="str">
        <f>""</f>
        <v/>
      </c>
      <c r="AH123" s="1" t="str">
        <f>""</f>
        <v/>
      </c>
      <c r="AI123" s="1" t="str">
        <f>""</f>
        <v/>
      </c>
      <c r="AJ123" s="1" t="str">
        <f>""</f>
        <v/>
      </c>
      <c r="AK123" s="1" t="str">
        <f>""</f>
        <v/>
      </c>
    </row>
    <row r="124" spans="1:37" x14ac:dyDescent="0.2">
      <c r="A124" s="1">
        <v>15000</v>
      </c>
      <c r="B124" s="1">
        <v>956200398</v>
      </c>
      <c r="C124" s="1" t="str">
        <f>"تخليه تهران پاكدشت جمال آبادكارخانه آسفالت آليچ پارس"</f>
        <v>تخليه تهران پاكدشت جمال آبادكارخانه آسفالت آليچ پارس</v>
      </c>
      <c r="D124" s="1">
        <v>8848</v>
      </c>
      <c r="E124" s="1">
        <v>14440</v>
      </c>
      <c r="F124" s="1">
        <v>95</v>
      </c>
      <c r="G124" s="1">
        <v>560</v>
      </c>
      <c r="H124" s="1" t="str">
        <f>"95/12/25"</f>
        <v>95/12/25</v>
      </c>
      <c r="I124" s="1" t="str">
        <f t="shared" si="9"/>
        <v>كيلوگرم</v>
      </c>
      <c r="J124" s="1" t="str">
        <f t="shared" si="22"/>
        <v>0000000076</v>
      </c>
      <c r="K124" s="1" t="str">
        <f t="shared" si="23"/>
        <v>قير 60/70 - فله</v>
      </c>
      <c r="L124" s="1">
        <v>100</v>
      </c>
      <c r="M124" s="1" t="str">
        <f t="shared" si="10"/>
        <v>مخازن قير اصفهان</v>
      </c>
      <c r="N124" s="1">
        <v>8420</v>
      </c>
      <c r="O124" s="1">
        <v>50034223</v>
      </c>
      <c r="P124" s="1" t="str">
        <f>"  سامان آسفالت"</f>
        <v xml:space="preserve">  سامان آسفالت</v>
      </c>
      <c r="Q124" s="1">
        <v>62</v>
      </c>
      <c r="R124" s="1" t="str">
        <f>"فروش داخلي - سازمان بنيادمسكن انقلاب اسلامي"</f>
        <v>فروش داخلي - سازمان بنيادمسكن انقلاب اسلامي</v>
      </c>
      <c r="S124" s="1" t="str">
        <f t="shared" si="11"/>
        <v>قرارداد فروش</v>
      </c>
      <c r="T124" s="1" t="str">
        <f t="shared" si="12"/>
        <v>ندارد</v>
      </c>
      <c r="U124" s="1" t="str">
        <f>"خوش نيت مجتبي(1841021)"</f>
        <v>خوش نيت مجتبي(1841021)</v>
      </c>
      <c r="V124" s="1">
        <v>956200398</v>
      </c>
      <c r="W124" s="1">
        <v>956200398</v>
      </c>
      <c r="X124" s="1" t="str">
        <f>"1395470894"</f>
        <v>1395470894</v>
      </c>
      <c r="Y124" s="1" t="str">
        <f>"95/12/25"</f>
        <v>95/12/25</v>
      </c>
      <c r="Z124" s="1" t="str">
        <f>"56985/د"</f>
        <v>56985/د</v>
      </c>
      <c r="AA124" s="1" t="str">
        <f>"بنيادمسكن انقلاب اسلامي"</f>
        <v>بنيادمسكن انقلاب اسلامي</v>
      </c>
      <c r="AB124" s="1" t="str">
        <f>"95/12/22"</f>
        <v>95/12/22</v>
      </c>
      <c r="AC124" s="1" t="str">
        <f>"استان تهران"</f>
        <v>استان تهران</v>
      </c>
      <c r="AD124" s="1" t="str">
        <f>"95/12/23"</f>
        <v>95/12/23</v>
      </c>
      <c r="AE124" s="1" t="str">
        <f t="shared" si="24"/>
        <v>اختتام</v>
      </c>
      <c r="AF124" s="1" t="str">
        <f>""</f>
        <v/>
      </c>
      <c r="AG124" s="1" t="str">
        <f>""</f>
        <v/>
      </c>
      <c r="AH124" s="1" t="str">
        <f>""</f>
        <v/>
      </c>
      <c r="AI124" s="1" t="str">
        <f>""</f>
        <v/>
      </c>
      <c r="AJ124" s="1" t="str">
        <f>""</f>
        <v/>
      </c>
      <c r="AK124" s="1" t="str">
        <f>""</f>
        <v/>
      </c>
    </row>
    <row r="125" spans="1:37" x14ac:dyDescent="0.2">
      <c r="A125" s="1">
        <v>1338000</v>
      </c>
      <c r="B125" s="1">
        <v>951100162</v>
      </c>
      <c r="C125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125" s="1">
        <v>7026</v>
      </c>
      <c r="E125" s="1">
        <v>1335440</v>
      </c>
      <c r="F125" s="1">
        <v>95</v>
      </c>
      <c r="G125" s="1">
        <v>2560</v>
      </c>
      <c r="H125" s="1" t="str">
        <f>"95/09/23"</f>
        <v>95/09/23</v>
      </c>
      <c r="I125" s="1" t="str">
        <f t="shared" si="9"/>
        <v>كيلوگرم</v>
      </c>
      <c r="J125" s="1" t="str">
        <f t="shared" si="22"/>
        <v>0000000076</v>
      </c>
      <c r="K125" s="1" t="str">
        <f t="shared" si="23"/>
        <v>قير 60/70 - فله</v>
      </c>
      <c r="L125" s="1">
        <v>100</v>
      </c>
      <c r="M125" s="1" t="str">
        <f t="shared" si="10"/>
        <v>مخازن قير اصفهان</v>
      </c>
      <c r="N125" s="1">
        <v>8163</v>
      </c>
      <c r="O125" s="1">
        <v>50033018</v>
      </c>
      <c r="P125" s="1" t="str">
        <f>"  سازمان عمران شهرداري مشهد"</f>
        <v xml:space="preserve">  سازمان عمران شهرداري مشهد</v>
      </c>
      <c r="Q125" s="1">
        <v>11</v>
      </c>
      <c r="R125" s="1" t="str">
        <f>"فروش داخلي تهران - بورس"</f>
        <v>فروش داخلي تهران - بورس</v>
      </c>
      <c r="S125" s="1" t="str">
        <f t="shared" si="11"/>
        <v>قرارداد فروش</v>
      </c>
      <c r="T125" s="1" t="str">
        <f t="shared" si="12"/>
        <v>ندارد</v>
      </c>
      <c r="U125" s="1" t="str">
        <f>"حسيني حسن(1841075)"</f>
        <v>حسيني حسن(1841075)</v>
      </c>
      <c r="V125" s="1">
        <v>951100162</v>
      </c>
      <c r="W125" s="1">
        <v>951100162</v>
      </c>
      <c r="X125" s="1" t="str">
        <f>"1395447798"</f>
        <v>1395447798</v>
      </c>
      <c r="Y125" s="1" t="str">
        <f>"95/09/23"</f>
        <v>95/09/23</v>
      </c>
      <c r="Z125" s="1" t="str">
        <f>"49/95/23120"</f>
        <v>49/95/23120</v>
      </c>
      <c r="AA125" s="1" t="str">
        <f>"شهرداريها"</f>
        <v>شهرداريها</v>
      </c>
      <c r="AB125" s="1" t="str">
        <f>"95/09/20"</f>
        <v>95/09/20</v>
      </c>
      <c r="AC125" s="1" t="str">
        <f>"خراسان رضوي"</f>
        <v>خراسان رضوي</v>
      </c>
      <c r="AD125" s="1" t="str">
        <f>"95/09/07"</f>
        <v>95/09/07</v>
      </c>
      <c r="AE125" s="1" t="str">
        <f t="shared" si="24"/>
        <v>اختتام</v>
      </c>
      <c r="AF125" s="1" t="str">
        <f>""</f>
        <v/>
      </c>
      <c r="AG125" s="1" t="str">
        <f>""</f>
        <v/>
      </c>
      <c r="AH125" s="1" t="str">
        <f>""</f>
        <v/>
      </c>
      <c r="AI125" s="1" t="str">
        <f>""</f>
        <v/>
      </c>
      <c r="AJ125" s="1" t="str">
        <f>""</f>
        <v/>
      </c>
      <c r="AK125" s="1" t="str">
        <f>""</f>
        <v/>
      </c>
    </row>
    <row r="126" spans="1:37" x14ac:dyDescent="0.2">
      <c r="A126" s="1">
        <v>115000</v>
      </c>
      <c r="B126" s="1">
        <v>956200126</v>
      </c>
      <c r="C126" s="1" t="str">
        <f>"تخليه - خراسان رضوي - سبزوار-کيلومتر 27 جاده سبزوار-تهران(باند شمالي)-کارخانه آسفالت ابريشم راه بيهق"</f>
        <v>تخليه - خراسان رضوي - سبزوار-کيلومتر 27 جاده سبزوار-تهران(باند شمالي)-کارخانه آسفالت ابريشم راه بيهق</v>
      </c>
      <c r="D126" s="1">
        <v>8861</v>
      </c>
      <c r="E126" s="1">
        <v>114280</v>
      </c>
      <c r="F126" s="1">
        <v>95</v>
      </c>
      <c r="G126" s="1">
        <v>720</v>
      </c>
      <c r="H126" s="1" t="str">
        <f>"95/10/07"</f>
        <v>95/10/07</v>
      </c>
      <c r="I126" s="1" t="str">
        <f t="shared" si="9"/>
        <v>كيلوگرم</v>
      </c>
      <c r="J126" s="1" t="str">
        <f t="shared" si="22"/>
        <v>0000000076</v>
      </c>
      <c r="K126" s="1" t="str">
        <f t="shared" si="23"/>
        <v>قير 60/70 - فله</v>
      </c>
      <c r="L126" s="1">
        <v>100</v>
      </c>
      <c r="M126" s="1" t="str">
        <f t="shared" si="10"/>
        <v>مخازن قير اصفهان</v>
      </c>
      <c r="N126" s="1">
        <v>8488</v>
      </c>
      <c r="O126" s="1">
        <v>50033205</v>
      </c>
      <c r="P126" s="1" t="str">
        <f>"  ابريشم راه بيهق"</f>
        <v xml:space="preserve">  ابريشم راه بيهق</v>
      </c>
      <c r="Q126" s="1">
        <v>62</v>
      </c>
      <c r="R126" s="1" t="str">
        <f>"فروش داخلي - سازمان بنيادمسكن انقلاب اسلامي"</f>
        <v>فروش داخلي - سازمان بنيادمسكن انقلاب اسلامي</v>
      </c>
      <c r="S126" s="1" t="str">
        <f t="shared" si="11"/>
        <v>قرارداد فروش</v>
      </c>
      <c r="T126" s="1" t="str">
        <f t="shared" si="12"/>
        <v>ندارد</v>
      </c>
      <c r="U126" s="1" t="str">
        <f>"حسيني علي(1841001)"</f>
        <v>حسيني علي(1841001)</v>
      </c>
      <c r="V126" s="1">
        <v>956200126</v>
      </c>
      <c r="W126" s="1">
        <v>956200126</v>
      </c>
      <c r="X126" s="1" t="str">
        <f>"1395454986"</f>
        <v>1395454986</v>
      </c>
      <c r="Y126" s="1" t="str">
        <f>"95/10/07"</f>
        <v>95/10/07</v>
      </c>
      <c r="Z126" s="1" t="str">
        <f>"42198/د"</f>
        <v>42198/د</v>
      </c>
      <c r="AA126" s="1" t="str">
        <f>"بنيادمسكن انقلاب اسلامي"</f>
        <v>بنيادمسكن انقلاب اسلامي</v>
      </c>
      <c r="AB126" s="1" t="str">
        <f>"95/10/06"</f>
        <v>95/10/06</v>
      </c>
      <c r="AC126" s="1" t="str">
        <f>"خراسان رضوي"</f>
        <v>خراسان رضوي</v>
      </c>
      <c r="AD126" s="1" t="str">
        <f>"95/10/07"</f>
        <v>95/10/07</v>
      </c>
      <c r="AE126" s="1" t="str">
        <f t="shared" si="24"/>
        <v>اختتام</v>
      </c>
      <c r="AF126" s="1" t="str">
        <f>""</f>
        <v/>
      </c>
      <c r="AG126" s="1" t="str">
        <f>""</f>
        <v/>
      </c>
      <c r="AH126" s="1" t="str">
        <f>""</f>
        <v/>
      </c>
      <c r="AI126" s="1" t="str">
        <f>""</f>
        <v/>
      </c>
      <c r="AJ126" s="1" t="str">
        <f>""</f>
        <v/>
      </c>
      <c r="AK126" s="1" t="str">
        <f>""</f>
        <v/>
      </c>
    </row>
    <row r="127" spans="1:37" x14ac:dyDescent="0.2">
      <c r="A127" s="1">
        <v>50000</v>
      </c>
      <c r="B127" s="1">
        <v>951100026</v>
      </c>
      <c r="C127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27" s="1">
        <v>5200</v>
      </c>
      <c r="E127" s="1">
        <v>49940</v>
      </c>
      <c r="F127" s="1">
        <v>95</v>
      </c>
      <c r="G127" s="1">
        <v>60</v>
      </c>
      <c r="H127" s="1" t="str">
        <f>"95/02/06"</f>
        <v>95/02/06</v>
      </c>
      <c r="I127" s="1" t="str">
        <f t="shared" si="9"/>
        <v>كيلوگرم</v>
      </c>
      <c r="J127" s="1" t="str">
        <f t="shared" si="22"/>
        <v>0000000076</v>
      </c>
      <c r="K127" s="1" t="str">
        <f t="shared" si="23"/>
        <v>قير 60/70 - فله</v>
      </c>
      <c r="L127" s="1">
        <v>100</v>
      </c>
      <c r="M127" s="1" t="str">
        <f t="shared" si="10"/>
        <v>مخازن قير اصفهان</v>
      </c>
      <c r="N127" s="1">
        <v>8795</v>
      </c>
      <c r="O127" s="1">
        <v>50030626</v>
      </c>
      <c r="P127" s="1" t="str">
        <f>"  توسعه ساختارمحيط"</f>
        <v xml:space="preserve">  توسعه ساختارمحيط</v>
      </c>
      <c r="Q127" s="1">
        <v>11</v>
      </c>
      <c r="R127" s="1" t="str">
        <f>"فروش داخلي تهران - بورس"</f>
        <v>فروش داخلي تهران - بورس</v>
      </c>
      <c r="S127" s="1" t="str">
        <f t="shared" si="11"/>
        <v>قرارداد فروش</v>
      </c>
      <c r="T127" s="1" t="str">
        <f t="shared" si="12"/>
        <v>ندارد</v>
      </c>
      <c r="U127" s="1" t="str">
        <f>"ميرحسيني چاپارحقيقت كرمان(4844008)"</f>
        <v>ميرحسيني چاپارحقيقت كرمان(4844008)</v>
      </c>
      <c r="V127" s="1">
        <v>951100026</v>
      </c>
      <c r="W127" s="1">
        <v>951100026</v>
      </c>
      <c r="X127" s="1" t="str">
        <f>"1395399108"</f>
        <v>1395399108</v>
      </c>
      <c r="Y127" s="1" t="str">
        <f>"95/02/05"</f>
        <v>95/02/05</v>
      </c>
      <c r="Z127" s="1" t="str">
        <f>"95-34255"</f>
        <v>95-34255</v>
      </c>
      <c r="AA127" s="1" t="str">
        <f>"توليد قيراموليسون"</f>
        <v>توليد قيراموليسون</v>
      </c>
      <c r="AB127" s="1" t="str">
        <f>"95/02/05"</f>
        <v>95/02/05</v>
      </c>
      <c r="AC127" s="1" t="str">
        <f>"قم"</f>
        <v>قم</v>
      </c>
      <c r="AD127" s="1" t="str">
        <f>"95/01/24"</f>
        <v>95/01/24</v>
      </c>
      <c r="AE127" s="1" t="str">
        <f t="shared" si="24"/>
        <v>اختتام</v>
      </c>
      <c r="AF127" s="1" t="str">
        <f>""</f>
        <v/>
      </c>
      <c r="AG127" s="1" t="str">
        <f>""</f>
        <v/>
      </c>
      <c r="AH127" s="1" t="str">
        <f>""</f>
        <v/>
      </c>
      <c r="AI127" s="1" t="str">
        <f>""</f>
        <v/>
      </c>
      <c r="AJ127" s="1" t="str">
        <f>""</f>
        <v/>
      </c>
      <c r="AK127" s="1" t="str">
        <f>""</f>
        <v/>
      </c>
    </row>
    <row r="128" spans="1:37" x14ac:dyDescent="0.2">
      <c r="A128" s="1">
        <v>43000</v>
      </c>
      <c r="B128" s="1">
        <v>956200216</v>
      </c>
      <c r="C128" s="1" t="str">
        <f>"تخليه - تهران - پاکدشت - جمال آباد - کارخانه آذر راه پرديس"</f>
        <v>تخليه - تهران - پاکدشت - جمال آباد - کارخانه آذر راه پرديس</v>
      </c>
      <c r="D128" s="1">
        <v>9361</v>
      </c>
      <c r="E128" s="1">
        <v>42920</v>
      </c>
      <c r="F128" s="1">
        <v>95</v>
      </c>
      <c r="G128" s="1">
        <v>80</v>
      </c>
      <c r="H128" s="1" t="str">
        <f>"95/11/20"</f>
        <v>95/11/20</v>
      </c>
      <c r="I128" s="1" t="str">
        <f t="shared" si="9"/>
        <v>كيلوگرم</v>
      </c>
      <c r="J128" s="1" t="str">
        <f t="shared" si="22"/>
        <v>0000000076</v>
      </c>
      <c r="K128" s="1" t="str">
        <f t="shared" si="23"/>
        <v>قير 60/70 - فله</v>
      </c>
      <c r="L128" s="1">
        <v>100</v>
      </c>
      <c r="M128" s="1" t="str">
        <f t="shared" si="10"/>
        <v>مخازن قير اصفهان</v>
      </c>
      <c r="N128" s="1">
        <v>8604</v>
      </c>
      <c r="O128" s="1">
        <v>50033655</v>
      </c>
      <c r="P128" s="1" t="str">
        <f>"  آذرراه پرديس"</f>
        <v xml:space="preserve">  آذرراه پرديس</v>
      </c>
      <c r="Q128" s="1">
        <v>62</v>
      </c>
      <c r="R128" s="1" t="str">
        <f>"فروش داخلي - سازمان بنيادمسكن انقلاب اسلامي"</f>
        <v>فروش داخلي - سازمان بنيادمسكن انقلاب اسلامي</v>
      </c>
      <c r="S128" s="1" t="str">
        <f t="shared" si="11"/>
        <v>قرارداد فروش</v>
      </c>
      <c r="T128" s="1" t="str">
        <f t="shared" si="12"/>
        <v>ندارد</v>
      </c>
      <c r="U128" s="1" t="str">
        <f>"فتحي توحيد حسن(1841009)"</f>
        <v>فتحي توحيد حسن(1841009)</v>
      </c>
      <c r="V128" s="1">
        <v>956200216</v>
      </c>
      <c r="W128" s="1">
        <v>956200216</v>
      </c>
      <c r="X128" s="1" t="str">
        <f>"1395464204"</f>
        <v>1395464204</v>
      </c>
      <c r="Y128" s="1" t="str">
        <f>"95/11/20"</f>
        <v>95/11/20</v>
      </c>
      <c r="Z128" s="1" t="str">
        <f>"50308/د"</f>
        <v>50308/د</v>
      </c>
      <c r="AA128" s="1" t="str">
        <f>"بنيادمسكن انقلاب اسلامي"</f>
        <v>بنيادمسكن انقلاب اسلامي</v>
      </c>
      <c r="AB128" s="1" t="str">
        <f>"95/11/20"</f>
        <v>95/11/20</v>
      </c>
      <c r="AC128" s="1" t="str">
        <f>"استان تهران"</f>
        <v>استان تهران</v>
      </c>
      <c r="AD128" s="1" t="str">
        <f>"95/11/20"</f>
        <v>95/11/20</v>
      </c>
      <c r="AE128" s="1" t="str">
        <f t="shared" si="24"/>
        <v>اختتام</v>
      </c>
      <c r="AF128" s="1" t="str">
        <f>""</f>
        <v/>
      </c>
      <c r="AG128" s="1" t="str">
        <f>""</f>
        <v/>
      </c>
      <c r="AH128" s="1" t="str">
        <f>""</f>
        <v/>
      </c>
      <c r="AI128" s="1" t="str">
        <f>""</f>
        <v/>
      </c>
      <c r="AJ128" s="1" t="str">
        <f>""</f>
        <v/>
      </c>
      <c r="AK128" s="1" t="str">
        <f>""</f>
        <v/>
      </c>
    </row>
    <row r="129" spans="1:37" x14ac:dyDescent="0.2">
      <c r="A129" s="1">
        <v>145000</v>
      </c>
      <c r="B129" s="1">
        <v>956200180</v>
      </c>
      <c r="C129" s="1" t="str">
        <f>"تخليه - خراسان رضوي-تربت حيدريه-جاده سيوکي-کيلومتر 8 کارخانه آسفالت وليعصر"</f>
        <v>تخليه - خراسان رضوي-تربت حيدريه-جاده سيوکي-کيلومتر 8 کارخانه آسفالت وليعصر</v>
      </c>
      <c r="D129" s="1">
        <v>9361</v>
      </c>
      <c r="E129" s="1">
        <v>144260</v>
      </c>
      <c r="F129" s="1">
        <v>95</v>
      </c>
      <c r="G129" s="1">
        <v>740</v>
      </c>
      <c r="H129" s="1" t="str">
        <f>"95/11/05"</f>
        <v>95/11/05</v>
      </c>
      <c r="I129" s="1" t="str">
        <f t="shared" si="9"/>
        <v>كيلوگرم</v>
      </c>
      <c r="J129" s="1" t="str">
        <f t="shared" si="22"/>
        <v>0000000076</v>
      </c>
      <c r="K129" s="1" t="str">
        <f t="shared" si="23"/>
        <v>قير 60/70 - فله</v>
      </c>
      <c r="L129" s="1">
        <v>100</v>
      </c>
      <c r="M129" s="1" t="str">
        <f t="shared" si="10"/>
        <v>مخازن قير اصفهان</v>
      </c>
      <c r="N129" s="1">
        <v>8641</v>
      </c>
      <c r="O129" s="1">
        <v>50033513</v>
      </c>
      <c r="P129" s="1" t="str">
        <f>"  اخترراه رضوان"</f>
        <v xml:space="preserve">  اخترراه رضوان</v>
      </c>
      <c r="Q129" s="1">
        <v>62</v>
      </c>
      <c r="R129" s="1" t="str">
        <f>"فروش داخلي - سازمان بنيادمسكن انقلاب اسلامي"</f>
        <v>فروش داخلي - سازمان بنيادمسكن انقلاب اسلامي</v>
      </c>
      <c r="S129" s="1" t="str">
        <f t="shared" si="11"/>
        <v>قرارداد فروش</v>
      </c>
      <c r="T129" s="1" t="str">
        <f t="shared" si="12"/>
        <v>ندارد</v>
      </c>
      <c r="U129" s="1" t="str">
        <f>"نظام دوست امين (1911102)"</f>
        <v>نظام دوست امين (1911102)</v>
      </c>
      <c r="V129" s="1">
        <v>956200180</v>
      </c>
      <c r="W129" s="1">
        <v>956200180</v>
      </c>
      <c r="X129" s="1" t="str">
        <f>"1395460248"</f>
        <v>1395460248</v>
      </c>
      <c r="Y129" s="1" t="str">
        <f>"95/11/05"</f>
        <v>95/11/05</v>
      </c>
      <c r="Z129" s="1" t="str">
        <f>"45494/د"</f>
        <v>45494/د</v>
      </c>
      <c r="AA129" s="1" t="str">
        <f>"بنيادمسكن انقلاب اسلامي"</f>
        <v>بنيادمسكن انقلاب اسلامي</v>
      </c>
      <c r="AB129" s="1" t="str">
        <f>"95/10/25"</f>
        <v>95/10/25</v>
      </c>
      <c r="AC129" s="1" t="str">
        <f>"خراسان رضوي"</f>
        <v>خراسان رضوي</v>
      </c>
      <c r="AD129" s="1" t="str">
        <f>"95/11/04"</f>
        <v>95/11/04</v>
      </c>
      <c r="AE129" s="1" t="str">
        <f t="shared" si="24"/>
        <v>اختتام</v>
      </c>
      <c r="AF129" s="1" t="str">
        <f>""</f>
        <v/>
      </c>
      <c r="AG129" s="1" t="str">
        <f>""</f>
        <v/>
      </c>
      <c r="AH129" s="1" t="str">
        <f>""</f>
        <v/>
      </c>
      <c r="AI129" s="1" t="str">
        <f>""</f>
        <v/>
      </c>
      <c r="AJ129" s="1" t="str">
        <f>""</f>
        <v/>
      </c>
      <c r="AK129" s="1" t="str">
        <f>""</f>
        <v/>
      </c>
    </row>
    <row r="130" spans="1:37" x14ac:dyDescent="0.2">
      <c r="A130" s="1">
        <v>48000</v>
      </c>
      <c r="B130" s="1">
        <v>951100170</v>
      </c>
      <c r="C130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30" s="1">
        <v>8861</v>
      </c>
      <c r="E130" s="1">
        <v>48000</v>
      </c>
      <c r="F130" s="1">
        <v>95</v>
      </c>
      <c r="G130" s="1">
        <v>0</v>
      </c>
      <c r="H130" s="1" t="str">
        <f>"95/10/08"</f>
        <v>95/10/08</v>
      </c>
      <c r="I130" s="1" t="str">
        <f t="shared" ref="I130:I193" si="25">"كيلوگرم"</f>
        <v>كيلوگرم</v>
      </c>
      <c r="J130" s="1" t="str">
        <f t="shared" si="22"/>
        <v>0000000076</v>
      </c>
      <c r="K130" s="1" t="str">
        <f t="shared" si="23"/>
        <v>قير 60/70 - فله</v>
      </c>
      <c r="L130" s="1">
        <v>100</v>
      </c>
      <c r="M130" s="1" t="str">
        <f t="shared" ref="M130:M193" si="26">"مخازن قير اصفهان"</f>
        <v>مخازن قير اصفهان</v>
      </c>
      <c r="N130" s="1">
        <v>8246</v>
      </c>
      <c r="O130" s="1">
        <v>50033219</v>
      </c>
      <c r="P130" s="1" t="str">
        <f>"  نيك محضراسپادانا"</f>
        <v xml:space="preserve">  نيك محضراسپادانا</v>
      </c>
      <c r="Q130" s="1">
        <v>11</v>
      </c>
      <c r="R130" s="1" t="str">
        <f>"فروش داخلي تهران - بورس"</f>
        <v>فروش داخلي تهران - بورس</v>
      </c>
      <c r="S130" s="1" t="str">
        <f t="shared" ref="S130:S193" si="27">"قرارداد فروش"</f>
        <v>قرارداد فروش</v>
      </c>
      <c r="T130" s="1" t="str">
        <f t="shared" ref="T130:T193" si="28">"ندارد"</f>
        <v>ندارد</v>
      </c>
      <c r="U130" s="1" t="str">
        <f>"عزيزي صفر(1006ج 89)"</f>
        <v>عزيزي صفر(1006ج 89)</v>
      </c>
      <c r="V130" s="1">
        <v>951100170</v>
      </c>
      <c r="W130" s="1">
        <v>951100170</v>
      </c>
      <c r="X130" s="1" t="str">
        <f>"1395454431"</f>
        <v>1395454431</v>
      </c>
      <c r="Y130" s="1" t="str">
        <f>"95/10/08"</f>
        <v>95/10/08</v>
      </c>
      <c r="Z130" s="1" t="str">
        <f>"95-35026"</f>
        <v>95-35026</v>
      </c>
      <c r="AA130" s="1" t="str">
        <f>"آسفالت سازان"</f>
        <v>آسفالت سازان</v>
      </c>
      <c r="AB130" s="1" t="str">
        <f>"95/10/08"</f>
        <v>95/10/08</v>
      </c>
      <c r="AC130" s="1" t="str">
        <f>"استان اصفهان"</f>
        <v>استان اصفهان</v>
      </c>
      <c r="AD130" s="1" t="str">
        <f>"95/10/05"</f>
        <v>95/10/05</v>
      </c>
      <c r="AE130" s="1" t="str">
        <f>"تاييدشده"</f>
        <v>تاييدشده</v>
      </c>
      <c r="AF130" s="1" t="str">
        <f>""</f>
        <v/>
      </c>
      <c r="AG130" s="1" t="str">
        <f>""</f>
        <v/>
      </c>
      <c r="AH130" s="1" t="str">
        <f>""</f>
        <v/>
      </c>
      <c r="AI130" s="1" t="str">
        <f>""</f>
        <v/>
      </c>
      <c r="AJ130" s="1" t="str">
        <f>""</f>
        <v/>
      </c>
      <c r="AK130" s="1" t="str">
        <f>""</f>
        <v/>
      </c>
    </row>
    <row r="131" spans="1:37" x14ac:dyDescent="0.2">
      <c r="A131" s="1">
        <v>32000</v>
      </c>
      <c r="B131" s="1">
        <v>956200225</v>
      </c>
      <c r="C131" s="1" t="str">
        <f>"تخليه تهران پاكدشت جمال آبادكارخانه آسفالت آليچ پارس"</f>
        <v>تخليه تهران پاكدشت جمال آبادكارخانه آسفالت آليچ پارس</v>
      </c>
      <c r="D131" s="1">
        <v>9361</v>
      </c>
      <c r="E131" s="1">
        <v>31040</v>
      </c>
      <c r="F131" s="1">
        <v>95</v>
      </c>
      <c r="G131" s="1">
        <v>960</v>
      </c>
      <c r="H131" s="1" t="str">
        <f>"95/11/24"</f>
        <v>95/11/24</v>
      </c>
      <c r="I131" s="1" t="str">
        <f t="shared" si="25"/>
        <v>كيلوگرم</v>
      </c>
      <c r="J131" s="1" t="str">
        <f t="shared" si="22"/>
        <v>0000000076</v>
      </c>
      <c r="K131" s="1" t="str">
        <f t="shared" si="23"/>
        <v>قير 60/70 - فله</v>
      </c>
      <c r="L131" s="1">
        <v>100</v>
      </c>
      <c r="M131" s="1" t="str">
        <f t="shared" si="26"/>
        <v>مخازن قير اصفهان</v>
      </c>
      <c r="N131" s="1">
        <v>8420</v>
      </c>
      <c r="O131" s="1">
        <v>50033699</v>
      </c>
      <c r="P131" s="1" t="str">
        <f>"  سامان آسفالت"</f>
        <v xml:space="preserve">  سامان آسفالت</v>
      </c>
      <c r="Q131" s="1">
        <v>62</v>
      </c>
      <c r="R131" s="1" t="str">
        <f>"فروش داخلي - سازمان بنيادمسكن انقلاب اسلامي"</f>
        <v>فروش داخلي - سازمان بنيادمسكن انقلاب اسلامي</v>
      </c>
      <c r="S131" s="1" t="str">
        <f t="shared" si="27"/>
        <v>قرارداد فروش</v>
      </c>
      <c r="T131" s="1" t="str">
        <f t="shared" si="28"/>
        <v>ندارد</v>
      </c>
      <c r="U131" s="1" t="str">
        <f>"خوش نيت مجتبي(1841021)"</f>
        <v>خوش نيت مجتبي(1841021)</v>
      </c>
      <c r="V131" s="1">
        <v>956200225</v>
      </c>
      <c r="W131" s="1">
        <v>956200225</v>
      </c>
      <c r="X131" s="1" t="str">
        <f>"1395464400"</f>
        <v>1395464400</v>
      </c>
      <c r="Y131" s="1" t="str">
        <f>"95/11/24"</f>
        <v>95/11/24</v>
      </c>
      <c r="Z131" s="1" t="str">
        <f>"50455/د"</f>
        <v>50455/د</v>
      </c>
      <c r="AA131" s="1" t="str">
        <f>"بنيادمسكن انقلاب اسلامي"</f>
        <v>بنيادمسكن انقلاب اسلامي</v>
      </c>
      <c r="AB131" s="1" t="str">
        <f>"95/11/20"</f>
        <v>95/11/20</v>
      </c>
      <c r="AC131" s="1" t="str">
        <f>"استان تهران"</f>
        <v>استان تهران</v>
      </c>
      <c r="AD131" s="1" t="str">
        <f>"95/11/23"</f>
        <v>95/11/23</v>
      </c>
      <c r="AE131" s="1" t="str">
        <f t="shared" ref="AE131:AE140" si="29">"اختتام"</f>
        <v>اختتام</v>
      </c>
      <c r="AF131" s="1" t="str">
        <f>""</f>
        <v/>
      </c>
      <c r="AG131" s="1" t="str">
        <f>""</f>
        <v/>
      </c>
      <c r="AH131" s="1" t="str">
        <f>""</f>
        <v/>
      </c>
      <c r="AI131" s="1" t="str">
        <f>""</f>
        <v/>
      </c>
      <c r="AJ131" s="1" t="str">
        <f>""</f>
        <v/>
      </c>
      <c r="AK131" s="1" t="str">
        <f>""</f>
        <v/>
      </c>
    </row>
    <row r="132" spans="1:37" x14ac:dyDescent="0.2">
      <c r="A132" s="1">
        <v>50000</v>
      </c>
      <c r="B132" s="1">
        <v>951100070</v>
      </c>
      <c r="C132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32" s="1">
        <v>5750</v>
      </c>
      <c r="E132" s="1">
        <v>50000</v>
      </c>
      <c r="F132" s="1">
        <v>95</v>
      </c>
      <c r="G132" s="1">
        <v>0</v>
      </c>
      <c r="H132" s="1" t="str">
        <f>"95/03/25"</f>
        <v>95/03/25</v>
      </c>
      <c r="I132" s="1" t="str">
        <f t="shared" si="25"/>
        <v>كيلوگرم</v>
      </c>
      <c r="J132" s="1" t="str">
        <f t="shared" si="22"/>
        <v>0000000076</v>
      </c>
      <c r="K132" s="1" t="str">
        <f t="shared" si="23"/>
        <v>قير 60/70 - فله</v>
      </c>
      <c r="L132" s="1">
        <v>100</v>
      </c>
      <c r="M132" s="1" t="str">
        <f t="shared" si="26"/>
        <v>مخازن قير اصفهان</v>
      </c>
      <c r="N132" s="1">
        <v>8795</v>
      </c>
      <c r="O132" s="1">
        <v>50031035</v>
      </c>
      <c r="P132" s="1" t="str">
        <f>"  توسعه ساختارمحيط"</f>
        <v xml:space="preserve">  توسعه ساختارمحيط</v>
      </c>
      <c r="Q132" s="1">
        <v>11</v>
      </c>
      <c r="R132" s="1" t="str">
        <f>"فروش داخلي تهران - بورس"</f>
        <v>فروش داخلي تهران - بورس</v>
      </c>
      <c r="S132" s="1" t="str">
        <f t="shared" si="27"/>
        <v>قرارداد فروش</v>
      </c>
      <c r="T132" s="1" t="str">
        <f t="shared" si="28"/>
        <v>ندارد</v>
      </c>
      <c r="U132" s="1" t="str">
        <f>"عابدي محمود(1018ج89)"</f>
        <v>عابدي محمود(1018ج89)</v>
      </c>
      <c r="V132" s="1">
        <v>951100070</v>
      </c>
      <c r="W132" s="1">
        <v>951100070</v>
      </c>
      <c r="X132" s="1" t="str">
        <f>"1395406474"</f>
        <v>1395406474</v>
      </c>
      <c r="Y132" s="1" t="str">
        <f>"95/03/24"</f>
        <v>95/03/24</v>
      </c>
      <c r="Z132" s="1" t="str">
        <f>"95-34489"</f>
        <v>95-34489</v>
      </c>
      <c r="AA132" s="1" t="str">
        <f>"توليد قيراموليسون"</f>
        <v>توليد قيراموليسون</v>
      </c>
      <c r="AB132" s="1" t="str">
        <f>"95/03/24"</f>
        <v>95/03/24</v>
      </c>
      <c r="AC132" s="1" t="str">
        <f>"قم"</f>
        <v>قم</v>
      </c>
      <c r="AD132" s="1" t="str">
        <f>"95/03/10"</f>
        <v>95/03/10</v>
      </c>
      <c r="AE132" s="1" t="str">
        <f t="shared" si="29"/>
        <v>اختتام</v>
      </c>
      <c r="AF132" s="1" t="str">
        <f>""</f>
        <v/>
      </c>
      <c r="AG132" s="1" t="str">
        <f>""</f>
        <v/>
      </c>
      <c r="AH132" s="1" t="str">
        <f>""</f>
        <v/>
      </c>
      <c r="AI132" s="1" t="str">
        <f>""</f>
        <v/>
      </c>
      <c r="AJ132" s="1" t="str">
        <f>""</f>
        <v/>
      </c>
      <c r="AK132" s="1" t="str">
        <f>""</f>
        <v/>
      </c>
    </row>
    <row r="133" spans="1:37" x14ac:dyDescent="0.2">
      <c r="A133" s="1">
        <v>50000</v>
      </c>
      <c r="B133" s="1">
        <v>951100113</v>
      </c>
      <c r="C133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33" s="1">
        <v>6876</v>
      </c>
      <c r="E133" s="1">
        <v>49900</v>
      </c>
      <c r="F133" s="1">
        <v>95</v>
      </c>
      <c r="G133" s="1">
        <v>100</v>
      </c>
      <c r="H133" s="1" t="str">
        <f>"95/06/17"</f>
        <v>95/06/17</v>
      </c>
      <c r="I133" s="1" t="str">
        <f t="shared" si="25"/>
        <v>كيلوگرم</v>
      </c>
      <c r="J133" s="1" t="str">
        <f t="shared" si="22"/>
        <v>0000000076</v>
      </c>
      <c r="K133" s="1" t="str">
        <f t="shared" si="23"/>
        <v>قير 60/70 - فله</v>
      </c>
      <c r="L133" s="1">
        <v>100</v>
      </c>
      <c r="M133" s="1" t="str">
        <f t="shared" si="26"/>
        <v>مخازن قير اصفهان</v>
      </c>
      <c r="N133" s="1">
        <v>8795</v>
      </c>
      <c r="O133" s="1">
        <v>50031824</v>
      </c>
      <c r="P133" s="1" t="str">
        <f>"  توسعه ساختارمحيط"</f>
        <v xml:space="preserve">  توسعه ساختارمحيط</v>
      </c>
      <c r="Q133" s="1">
        <v>11</v>
      </c>
      <c r="R133" s="1" t="str">
        <f>"فروش داخلي تهران - بورس"</f>
        <v>فروش داخلي تهران - بورس</v>
      </c>
      <c r="S133" s="1" t="str">
        <f t="shared" si="27"/>
        <v>قرارداد فروش</v>
      </c>
      <c r="T133" s="1" t="str">
        <f t="shared" si="28"/>
        <v>ندارد</v>
      </c>
      <c r="U133" s="1" t="str">
        <f>"عابدي محمود(1018ج89)"</f>
        <v>عابدي محمود(1018ج89)</v>
      </c>
      <c r="V133" s="1">
        <v>951100113</v>
      </c>
      <c r="W133" s="1">
        <v>951100113</v>
      </c>
      <c r="X133" s="1" t="str">
        <f>"1395428825"</f>
        <v>1395428825</v>
      </c>
      <c r="Y133" s="1" t="str">
        <f>"95/06/16"</f>
        <v>95/06/16</v>
      </c>
      <c r="Z133" s="1" t="str">
        <f>"95-34576"</f>
        <v>95-34576</v>
      </c>
      <c r="AA133" s="1" t="str">
        <f>"توليدقيرامولسيون"</f>
        <v>توليدقيرامولسيون</v>
      </c>
      <c r="AB133" s="1" t="str">
        <f>"95/06/16"</f>
        <v>95/06/16</v>
      </c>
      <c r="AC133" s="1" t="str">
        <f>"قم"</f>
        <v>قم</v>
      </c>
      <c r="AD133" s="1" t="str">
        <f>"95/06/13"</f>
        <v>95/06/13</v>
      </c>
      <c r="AE133" s="1" t="str">
        <f t="shared" si="29"/>
        <v>اختتام</v>
      </c>
      <c r="AF133" s="1" t="str">
        <f>""</f>
        <v/>
      </c>
      <c r="AG133" s="1" t="str">
        <f>""</f>
        <v/>
      </c>
      <c r="AH133" s="1" t="str">
        <f>""</f>
        <v/>
      </c>
      <c r="AI133" s="1" t="str">
        <f>""</f>
        <v/>
      </c>
      <c r="AJ133" s="1" t="str">
        <f>""</f>
        <v/>
      </c>
      <c r="AK133" s="1" t="str">
        <f>""</f>
        <v/>
      </c>
    </row>
    <row r="134" spans="1:37" x14ac:dyDescent="0.2">
      <c r="A134" s="1">
        <v>185000</v>
      </c>
      <c r="B134" s="1">
        <v>956200004</v>
      </c>
      <c r="C134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134" s="1">
        <v>5650</v>
      </c>
      <c r="E134" s="1">
        <v>185000</v>
      </c>
      <c r="F134" s="1">
        <v>95</v>
      </c>
      <c r="G134" s="1">
        <v>0</v>
      </c>
      <c r="H134" s="1" t="str">
        <f>"95/02/28"</f>
        <v>95/02/28</v>
      </c>
      <c r="I134" s="1" t="str">
        <f t="shared" si="25"/>
        <v>كيلوگرم</v>
      </c>
      <c r="J134" s="1" t="str">
        <f t="shared" si="22"/>
        <v>0000000076</v>
      </c>
      <c r="K134" s="1" t="str">
        <f t="shared" si="23"/>
        <v>قير 60/70 - فله</v>
      </c>
      <c r="L134" s="1">
        <v>100</v>
      </c>
      <c r="M134" s="1" t="str">
        <f t="shared" si="26"/>
        <v>مخازن قير اصفهان</v>
      </c>
      <c r="N134" s="1">
        <v>9043</v>
      </c>
      <c r="O134" s="1">
        <v>50030851</v>
      </c>
      <c r="P134" s="1" t="str">
        <f>"  مهندسي صنعت راه گلپايگان"</f>
        <v xml:space="preserve">  مهندسي صنعت راه گلپايگان</v>
      </c>
      <c r="Q134" s="1">
        <v>62</v>
      </c>
      <c r="R134" s="1" t="str">
        <f>"فروش داخلي - سازمان بنيادمسكن انقلاب اسلامي"</f>
        <v>فروش داخلي - سازمان بنيادمسكن انقلاب اسلامي</v>
      </c>
      <c r="S134" s="1" t="str">
        <f t="shared" si="27"/>
        <v>قرارداد فروش</v>
      </c>
      <c r="T134" s="1" t="str">
        <f t="shared" si="28"/>
        <v>ندارد</v>
      </c>
      <c r="U134" s="1" t="str">
        <f>"شهبازي محمدرضا(1029ج89)"</f>
        <v>شهبازي محمدرضا(1029ج89)</v>
      </c>
      <c r="V134" s="1">
        <v>956200004</v>
      </c>
      <c r="W134" s="1">
        <v>956200004</v>
      </c>
      <c r="X134" s="1" t="str">
        <f>"1395404450"</f>
        <v>1395404450</v>
      </c>
      <c r="Y134" s="1" t="str">
        <f>"95/02/28"</f>
        <v>95/02/28</v>
      </c>
      <c r="Z134" s="1" t="str">
        <f>"7177/د"</f>
        <v>7177/د</v>
      </c>
      <c r="AA134" s="1" t="str">
        <f>"بنيادمسكن انقلاب اسلامي"</f>
        <v>بنيادمسكن انقلاب اسلامي</v>
      </c>
      <c r="AB134" s="1" t="str">
        <f>"95/02/26"</f>
        <v>95/02/26</v>
      </c>
      <c r="AC134" s="1" t="str">
        <f>"استان اصفهان"</f>
        <v>استان اصفهان</v>
      </c>
      <c r="AD134" s="1" t="str">
        <f>"95/02/27"</f>
        <v>95/02/27</v>
      </c>
      <c r="AE134" s="1" t="str">
        <f t="shared" si="29"/>
        <v>اختتام</v>
      </c>
      <c r="AF134" s="1" t="str">
        <f>""</f>
        <v/>
      </c>
      <c r="AG134" s="1" t="str">
        <f>""</f>
        <v/>
      </c>
      <c r="AH134" s="1" t="str">
        <f>""</f>
        <v/>
      </c>
      <c r="AI134" s="1" t="str">
        <f>""</f>
        <v/>
      </c>
      <c r="AJ134" s="1" t="str">
        <f>""</f>
        <v/>
      </c>
      <c r="AK134" s="1" t="str">
        <f>""</f>
        <v/>
      </c>
    </row>
    <row r="135" spans="1:37" x14ac:dyDescent="0.2">
      <c r="A135" s="1">
        <v>146000</v>
      </c>
      <c r="B135" s="1">
        <v>956200261</v>
      </c>
      <c r="C135" s="1" t="str">
        <f>"تخليه تهران -شهريار-ميدان معادن -خيابان روشن صنعت-کارخانه ابرراه گلستان"</f>
        <v>تخليه تهران -شهريار-ميدان معادن -خيابان روشن صنعت-کارخانه ابرراه گلستان</v>
      </c>
      <c r="D135" s="1">
        <v>8848</v>
      </c>
      <c r="E135" s="1">
        <v>145160</v>
      </c>
      <c r="F135" s="1">
        <v>95</v>
      </c>
      <c r="G135" s="1">
        <v>840</v>
      </c>
      <c r="H135" s="1" t="str">
        <f>"95/12/03"</f>
        <v>95/12/03</v>
      </c>
      <c r="I135" s="1" t="str">
        <f t="shared" si="25"/>
        <v>كيلوگرم</v>
      </c>
      <c r="J135" s="1" t="str">
        <f t="shared" si="22"/>
        <v>0000000076</v>
      </c>
      <c r="K135" s="1" t="str">
        <f t="shared" si="23"/>
        <v>قير 60/70 - فله</v>
      </c>
      <c r="L135" s="1">
        <v>100</v>
      </c>
      <c r="M135" s="1" t="str">
        <f t="shared" si="26"/>
        <v>مخازن قير اصفهان</v>
      </c>
      <c r="N135" s="1">
        <v>8524</v>
      </c>
      <c r="O135" s="1">
        <v>50033820</v>
      </c>
      <c r="P135" s="1" t="str">
        <f>"  ابر راه گلستان"</f>
        <v xml:space="preserve">  ابر راه گلستان</v>
      </c>
      <c r="Q135" s="1">
        <v>62</v>
      </c>
      <c r="R135" s="1" t="str">
        <f>"فروش داخلي - سازمان بنيادمسكن انقلاب اسلامي"</f>
        <v>فروش داخلي - سازمان بنيادمسكن انقلاب اسلامي</v>
      </c>
      <c r="S135" s="1" t="str">
        <f t="shared" si="27"/>
        <v>قرارداد فروش</v>
      </c>
      <c r="T135" s="1" t="str">
        <f t="shared" si="28"/>
        <v>ندارد</v>
      </c>
      <c r="U135" s="1" t="str">
        <f>"قراباغي علي اشرف(1901091)"</f>
        <v>قراباغي علي اشرف(1901091)</v>
      </c>
      <c r="V135" s="1">
        <v>956200261</v>
      </c>
      <c r="W135" s="1">
        <v>956200261</v>
      </c>
      <c r="X135" s="1" t="str">
        <f>"1395466581"</f>
        <v>1395466581</v>
      </c>
      <c r="Y135" s="1" t="str">
        <f>"95/12/03"</f>
        <v>95/12/03</v>
      </c>
      <c r="Z135" s="1" t="str">
        <f>"52759/د"</f>
        <v>52759/د</v>
      </c>
      <c r="AA135" s="1" t="str">
        <f>"بنيادمسكن انقلاب اسلامي"</f>
        <v>بنيادمسكن انقلاب اسلامي</v>
      </c>
      <c r="AB135" s="1" t="str">
        <f>"95/12/02"</f>
        <v>95/12/02</v>
      </c>
      <c r="AC135" s="1" t="str">
        <f>"استان تهران"</f>
        <v>استان تهران</v>
      </c>
      <c r="AD135" s="1" t="str">
        <f>"95/12/03"</f>
        <v>95/12/03</v>
      </c>
      <c r="AE135" s="1" t="str">
        <f t="shared" si="29"/>
        <v>اختتام</v>
      </c>
      <c r="AF135" s="1" t="str">
        <f>""</f>
        <v/>
      </c>
      <c r="AG135" s="1" t="str">
        <f>""</f>
        <v/>
      </c>
      <c r="AH135" s="1" t="str">
        <f>""</f>
        <v/>
      </c>
      <c r="AI135" s="1" t="str">
        <f>""</f>
        <v/>
      </c>
      <c r="AJ135" s="1" t="str">
        <f>""</f>
        <v/>
      </c>
      <c r="AK135" s="1" t="str">
        <f>""</f>
        <v/>
      </c>
    </row>
    <row r="136" spans="1:37" x14ac:dyDescent="0.2">
      <c r="A136" s="1">
        <v>100000</v>
      </c>
      <c r="B136" s="1">
        <v>951100166</v>
      </c>
      <c r="C136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36" s="1">
        <v>7026</v>
      </c>
      <c r="E136" s="1">
        <v>97080</v>
      </c>
      <c r="F136" s="1">
        <v>95</v>
      </c>
      <c r="G136" s="1">
        <v>2920</v>
      </c>
      <c r="H136" s="1" t="str">
        <f>"95/09/30"</f>
        <v>95/09/30</v>
      </c>
      <c r="I136" s="1" t="str">
        <f t="shared" si="25"/>
        <v>كيلوگرم</v>
      </c>
      <c r="J136" s="1" t="str">
        <f t="shared" si="22"/>
        <v>0000000076</v>
      </c>
      <c r="K136" s="1" t="str">
        <f t="shared" si="23"/>
        <v>قير 60/70 - فله</v>
      </c>
      <c r="L136" s="1">
        <v>100</v>
      </c>
      <c r="M136" s="1" t="str">
        <f t="shared" si="26"/>
        <v>مخازن قير اصفهان</v>
      </c>
      <c r="N136" s="1">
        <v>8795</v>
      </c>
      <c r="O136" s="1">
        <v>50033094</v>
      </c>
      <c r="P136" s="1" t="str">
        <f>"  توسعه ساختارمحيط"</f>
        <v xml:space="preserve">  توسعه ساختارمحيط</v>
      </c>
      <c r="Q136" s="1">
        <v>11</v>
      </c>
      <c r="R136" s="1" t="str">
        <f>"فروش داخلي تهران - بورس"</f>
        <v>فروش داخلي تهران - بورس</v>
      </c>
      <c r="S136" s="1" t="str">
        <f t="shared" si="27"/>
        <v>قرارداد فروش</v>
      </c>
      <c r="T136" s="1" t="str">
        <f t="shared" si="28"/>
        <v>ندارد</v>
      </c>
      <c r="U136" s="1" t="str">
        <f>"حاصليان ترابرجنوب مرتضي حاصلي (4844006)"</f>
        <v>حاصليان ترابرجنوب مرتضي حاصلي (4844006)</v>
      </c>
      <c r="V136" s="1">
        <v>951100166</v>
      </c>
      <c r="W136" s="1">
        <v>951100166</v>
      </c>
      <c r="X136" s="1" t="str">
        <f>"1395449858"</f>
        <v>1395449858</v>
      </c>
      <c r="Y136" s="1" t="str">
        <f>"95/09/30"</f>
        <v>95/09/30</v>
      </c>
      <c r="Z136" s="1" t="str">
        <f>"95-34946"</f>
        <v>95-34946</v>
      </c>
      <c r="AA136" s="1" t="str">
        <f>"توليدقيرامولسيون"</f>
        <v>توليدقيرامولسيون</v>
      </c>
      <c r="AB136" s="1" t="str">
        <f>"95/09/28"</f>
        <v>95/09/28</v>
      </c>
      <c r="AC136" s="1" t="str">
        <f>"قم"</f>
        <v>قم</v>
      </c>
      <c r="AD136" s="1" t="str">
        <f>"95/09/16"</f>
        <v>95/09/16</v>
      </c>
      <c r="AE136" s="1" t="str">
        <f t="shared" si="29"/>
        <v>اختتام</v>
      </c>
      <c r="AF136" s="1" t="str">
        <f>""</f>
        <v/>
      </c>
      <c r="AG136" s="1" t="str">
        <f>""</f>
        <v/>
      </c>
      <c r="AH136" s="1" t="str">
        <f>""</f>
        <v/>
      </c>
      <c r="AI136" s="1" t="str">
        <f>""</f>
        <v/>
      </c>
      <c r="AJ136" s="1" t="str">
        <f>""</f>
        <v/>
      </c>
      <c r="AK136" s="1" t="str">
        <f>""</f>
        <v/>
      </c>
    </row>
    <row r="137" spans="1:37" x14ac:dyDescent="0.2">
      <c r="A137" s="1">
        <v>166000</v>
      </c>
      <c r="B137" s="1">
        <v>952000164</v>
      </c>
      <c r="C137" s="1" t="str">
        <f>"تخليه يزدكيلومتر15جاده بافق بهابادكارخانه آسفالت شهرداري"</f>
        <v>تخليه يزدكيلومتر15جاده بافق بهابادكارخانه آسفالت شهرداري</v>
      </c>
      <c r="D137" s="1">
        <v>6976</v>
      </c>
      <c r="E137" s="1">
        <v>165680</v>
      </c>
      <c r="F137" s="1">
        <v>95</v>
      </c>
      <c r="G137" s="1">
        <v>320</v>
      </c>
      <c r="H137" s="1" t="str">
        <f>"95/07/19"</f>
        <v>95/07/19</v>
      </c>
      <c r="I137" s="1" t="str">
        <f t="shared" si="25"/>
        <v>كيلوگرم</v>
      </c>
      <c r="J137" s="1" t="str">
        <f t="shared" si="22"/>
        <v>0000000076</v>
      </c>
      <c r="K137" s="1" t="str">
        <f t="shared" si="23"/>
        <v>قير 60/70 - فله</v>
      </c>
      <c r="L137" s="1">
        <v>100</v>
      </c>
      <c r="M137" s="1" t="str">
        <f t="shared" si="26"/>
        <v>مخازن قير اصفهان</v>
      </c>
      <c r="N137" s="1">
        <v>8886</v>
      </c>
      <c r="O137" s="1">
        <v>50032161</v>
      </c>
      <c r="P137" s="1" t="str">
        <f>"  شهرداري بافق"</f>
        <v xml:space="preserve">  شهرداري بافق</v>
      </c>
      <c r="Q137" s="1">
        <v>20</v>
      </c>
      <c r="R137" s="1" t="str">
        <f>"فروش داخلي - سازمان شهرداري ها و دهياري هاي كشور"</f>
        <v>فروش داخلي - سازمان شهرداري ها و دهياري هاي كشور</v>
      </c>
      <c r="S137" s="1" t="str">
        <f t="shared" si="27"/>
        <v>قرارداد فروش</v>
      </c>
      <c r="T137" s="1" t="str">
        <f t="shared" si="28"/>
        <v>ندارد</v>
      </c>
      <c r="U137" s="1" t="str">
        <f>"قانعي محمدرضا(1011ج89)"</f>
        <v>قانعي محمدرضا(1011ج89)</v>
      </c>
      <c r="V137" s="1">
        <v>952000164</v>
      </c>
      <c r="W137" s="1">
        <v>952000164</v>
      </c>
      <c r="X137" s="1" t="str">
        <f>"1395436852"</f>
        <v>1395436852</v>
      </c>
      <c r="Y137" s="1" t="str">
        <f>"95/07/19"</f>
        <v>95/07/19</v>
      </c>
      <c r="Z137" s="1" t="str">
        <f>"27946"</f>
        <v>27946</v>
      </c>
      <c r="AA137" s="1" t="str">
        <f>"شهرداريها"</f>
        <v>شهرداريها</v>
      </c>
      <c r="AB137" s="1" t="str">
        <f>"95/06/13"</f>
        <v>95/06/13</v>
      </c>
      <c r="AC137" s="1" t="str">
        <f>"استان يزد"</f>
        <v>استان يزد</v>
      </c>
      <c r="AD137" s="1" t="str">
        <f>"95/07/18"</f>
        <v>95/07/18</v>
      </c>
      <c r="AE137" s="1" t="str">
        <f t="shared" si="29"/>
        <v>اختتام</v>
      </c>
      <c r="AF137" s="1" t="str">
        <f>""</f>
        <v/>
      </c>
      <c r="AG137" s="1" t="str">
        <f>""</f>
        <v/>
      </c>
      <c r="AH137" s="1" t="str">
        <f>""</f>
        <v/>
      </c>
      <c r="AI137" s="1" t="str">
        <f>""</f>
        <v/>
      </c>
      <c r="AJ137" s="1" t="str">
        <f>""</f>
        <v/>
      </c>
      <c r="AK137" s="1" t="str">
        <f>""</f>
        <v/>
      </c>
    </row>
    <row r="138" spans="1:37" x14ac:dyDescent="0.2">
      <c r="A138" s="1">
        <v>556000</v>
      </c>
      <c r="B138" s="1">
        <v>956200112</v>
      </c>
      <c r="C138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38" s="1">
        <v>8861</v>
      </c>
      <c r="E138" s="1">
        <v>554720</v>
      </c>
      <c r="F138" s="1">
        <v>95</v>
      </c>
      <c r="G138" s="1">
        <v>1280</v>
      </c>
      <c r="H138" s="1" t="str">
        <f>"95/10/06"</f>
        <v>95/10/06</v>
      </c>
      <c r="I138" s="1" t="str">
        <f t="shared" si="25"/>
        <v>كيلوگرم</v>
      </c>
      <c r="J138" s="1" t="str">
        <f t="shared" si="22"/>
        <v>0000000076</v>
      </c>
      <c r="K138" s="1" t="str">
        <f t="shared" si="23"/>
        <v>قير 60/70 - فله</v>
      </c>
      <c r="L138" s="1">
        <v>100</v>
      </c>
      <c r="M138" s="1" t="str">
        <f t="shared" si="26"/>
        <v>مخازن قير اصفهان</v>
      </c>
      <c r="N138" s="1">
        <v>8903</v>
      </c>
      <c r="O138" s="1">
        <v>50033159</v>
      </c>
      <c r="P138" s="1" t="str">
        <f>"  بنيادمسكن انقلاب اسلامي مازندران"</f>
        <v xml:space="preserve">  بنيادمسكن انقلاب اسلامي مازندران</v>
      </c>
      <c r="Q138" s="1">
        <v>62</v>
      </c>
      <c r="R138" s="1" t="str">
        <f>"فروش داخلي - سازمان بنيادمسكن انقلاب اسلامي"</f>
        <v>فروش داخلي - سازمان بنيادمسكن انقلاب اسلامي</v>
      </c>
      <c r="S138" s="1" t="str">
        <f t="shared" si="27"/>
        <v>قرارداد فروش</v>
      </c>
      <c r="T138" s="1" t="str">
        <f t="shared" si="28"/>
        <v>ندارد</v>
      </c>
      <c r="U138" s="1" t="str">
        <f>"شيشه بر كريم(1841016)"</f>
        <v>شيشه بر كريم(1841016)</v>
      </c>
      <c r="V138" s="1">
        <v>956200112</v>
      </c>
      <c r="W138" s="1">
        <v>956200112</v>
      </c>
      <c r="X138" s="1" t="str">
        <f>"1395454456"</f>
        <v>1395454456</v>
      </c>
      <c r="Y138" s="1" t="str">
        <f>"95/10/06"</f>
        <v>95/10/06</v>
      </c>
      <c r="Z138" s="1" t="str">
        <f>"40454/د"</f>
        <v>40454/د</v>
      </c>
      <c r="AA138" s="1" t="str">
        <f>"بنيادمسكن انقلاب اسلامي"</f>
        <v>بنيادمسكن انقلاب اسلامي</v>
      </c>
      <c r="AB138" s="1" t="str">
        <f>"95/09/24"</f>
        <v>95/09/24</v>
      </c>
      <c r="AC138" s="1" t="str">
        <f>"استان مازندران"</f>
        <v>استان مازندران</v>
      </c>
      <c r="AD138" s="1" t="str">
        <f>"95/10/05"</f>
        <v>95/10/05</v>
      </c>
      <c r="AE138" s="1" t="str">
        <f t="shared" si="29"/>
        <v>اختتام</v>
      </c>
      <c r="AF138" s="1" t="str">
        <f>""</f>
        <v/>
      </c>
      <c r="AG138" s="1" t="str">
        <f>""</f>
        <v/>
      </c>
      <c r="AH138" s="1" t="str">
        <f>""</f>
        <v/>
      </c>
      <c r="AI138" s="1" t="str">
        <f>""</f>
        <v/>
      </c>
      <c r="AJ138" s="1" t="str">
        <f>""</f>
        <v/>
      </c>
      <c r="AK138" s="1" t="str">
        <f>""</f>
        <v/>
      </c>
    </row>
    <row r="139" spans="1:37" x14ac:dyDescent="0.2">
      <c r="A139" s="1">
        <v>170000</v>
      </c>
      <c r="B139" s="1">
        <v>956200114</v>
      </c>
      <c r="C139" s="1" t="str">
        <f>"تخليه-مازندران-ساري-جاده کياسر-بالا هولار-روستاي علويکلا-کارخانه نوآوران مازند شمال"</f>
        <v>تخليه-مازندران-ساري-جاده کياسر-بالا هولار-روستاي علويکلا-کارخانه نوآوران مازند شمال</v>
      </c>
      <c r="D139" s="1">
        <v>8861</v>
      </c>
      <c r="E139" s="1">
        <v>168660</v>
      </c>
      <c r="F139" s="1">
        <v>95</v>
      </c>
      <c r="G139" s="1">
        <v>1340</v>
      </c>
      <c r="H139" s="1" t="str">
        <f>"95/10/06"</f>
        <v>95/10/06</v>
      </c>
      <c r="I139" s="1" t="str">
        <f t="shared" si="25"/>
        <v>كيلوگرم</v>
      </c>
      <c r="J139" s="1" t="str">
        <f t="shared" si="22"/>
        <v>0000000076</v>
      </c>
      <c r="K139" s="1" t="str">
        <f t="shared" si="23"/>
        <v>قير 60/70 - فله</v>
      </c>
      <c r="L139" s="1">
        <v>100</v>
      </c>
      <c r="M139" s="1" t="str">
        <f t="shared" si="26"/>
        <v>مخازن قير اصفهان</v>
      </c>
      <c r="N139" s="1">
        <v>8903</v>
      </c>
      <c r="O139" s="1">
        <v>50033162</v>
      </c>
      <c r="P139" s="1" t="str">
        <f>"  بنيادمسكن انقلاب اسلامي مازندران"</f>
        <v xml:space="preserve">  بنيادمسكن انقلاب اسلامي مازندران</v>
      </c>
      <c r="Q139" s="1">
        <v>62</v>
      </c>
      <c r="R139" s="1" t="str">
        <f>"فروش داخلي - سازمان بنيادمسكن انقلاب اسلامي"</f>
        <v>فروش داخلي - سازمان بنيادمسكن انقلاب اسلامي</v>
      </c>
      <c r="S139" s="1" t="str">
        <f t="shared" si="27"/>
        <v>قرارداد فروش</v>
      </c>
      <c r="T139" s="1" t="str">
        <f t="shared" si="28"/>
        <v>ندارد</v>
      </c>
      <c r="U139" s="1" t="str">
        <f>"هاشمي باروقير سعيد(1841020)"</f>
        <v>هاشمي باروقير سعيد(1841020)</v>
      </c>
      <c r="V139" s="1">
        <v>956200114</v>
      </c>
      <c r="W139" s="1">
        <v>956200114</v>
      </c>
      <c r="X139" s="1" t="str">
        <f>"1395454456"</f>
        <v>1395454456</v>
      </c>
      <c r="Y139" s="1" t="str">
        <f>"95/10/06"</f>
        <v>95/10/06</v>
      </c>
      <c r="Z139" s="1" t="str">
        <f>"40514/د"</f>
        <v>40514/د</v>
      </c>
      <c r="AA139" s="1" t="str">
        <f>"بنيادمسكن انقلاب اسلامي"</f>
        <v>بنيادمسكن انقلاب اسلامي</v>
      </c>
      <c r="AB139" s="1" t="str">
        <f>"95/09/24"</f>
        <v>95/09/24</v>
      </c>
      <c r="AC139" s="1" t="str">
        <f>"استان مازندران"</f>
        <v>استان مازندران</v>
      </c>
      <c r="AD139" s="1" t="str">
        <f>"95/10/05"</f>
        <v>95/10/05</v>
      </c>
      <c r="AE139" s="1" t="str">
        <f t="shared" si="29"/>
        <v>اختتام</v>
      </c>
      <c r="AF139" s="1" t="str">
        <f>""</f>
        <v/>
      </c>
      <c r="AG139" s="1" t="str">
        <f>""</f>
        <v/>
      </c>
      <c r="AH139" s="1" t="str">
        <f>""</f>
        <v/>
      </c>
      <c r="AI139" s="1" t="str">
        <f>""</f>
        <v/>
      </c>
      <c r="AJ139" s="1" t="str">
        <f>""</f>
        <v/>
      </c>
      <c r="AK139" s="1" t="str">
        <f>""</f>
        <v/>
      </c>
    </row>
    <row r="140" spans="1:37" x14ac:dyDescent="0.2">
      <c r="A140" s="1">
        <v>303000</v>
      </c>
      <c r="B140" s="1">
        <v>956200116</v>
      </c>
      <c r="C140" s="1" t="str">
        <f>"تخليه - مازندران-کمربندي نکا- روستاي چاله پل-کارخانه آسفالت قدمي"</f>
        <v>تخليه - مازندران-کمربندي نکا- روستاي چاله پل-کارخانه آسفالت قدمي</v>
      </c>
      <c r="D140" s="1">
        <v>8861</v>
      </c>
      <c r="E140" s="1">
        <v>302840</v>
      </c>
      <c r="F140" s="1">
        <v>95</v>
      </c>
      <c r="G140" s="1">
        <v>160</v>
      </c>
      <c r="H140" s="1" t="str">
        <f>"95/10/06"</f>
        <v>95/10/06</v>
      </c>
      <c r="I140" s="1" t="str">
        <f t="shared" si="25"/>
        <v>كيلوگرم</v>
      </c>
      <c r="J140" s="1" t="str">
        <f t="shared" si="22"/>
        <v>0000000076</v>
      </c>
      <c r="K140" s="1" t="str">
        <f t="shared" si="23"/>
        <v>قير 60/70 - فله</v>
      </c>
      <c r="L140" s="1">
        <v>100</v>
      </c>
      <c r="M140" s="1" t="str">
        <f t="shared" si="26"/>
        <v>مخازن قير اصفهان</v>
      </c>
      <c r="N140" s="1">
        <v>8903</v>
      </c>
      <c r="O140" s="1">
        <v>50033165</v>
      </c>
      <c r="P140" s="1" t="str">
        <f>"  بنيادمسكن انقلاب اسلامي مازندران"</f>
        <v xml:space="preserve">  بنيادمسكن انقلاب اسلامي مازندران</v>
      </c>
      <c r="Q140" s="1">
        <v>62</v>
      </c>
      <c r="R140" s="1" t="str">
        <f>"فروش داخلي - سازمان بنيادمسكن انقلاب اسلامي"</f>
        <v>فروش داخلي - سازمان بنيادمسكن انقلاب اسلامي</v>
      </c>
      <c r="S140" s="1" t="str">
        <f t="shared" si="27"/>
        <v>قرارداد فروش</v>
      </c>
      <c r="T140" s="1" t="str">
        <f t="shared" si="28"/>
        <v>ندارد</v>
      </c>
      <c r="U140" s="1" t="str">
        <f>"شيشه بر كريم(1841016)"</f>
        <v>شيشه بر كريم(1841016)</v>
      </c>
      <c r="V140" s="1">
        <v>956200116</v>
      </c>
      <c r="W140" s="1">
        <v>956200116</v>
      </c>
      <c r="X140" s="1" t="str">
        <f>"1395454526"</f>
        <v>1395454526</v>
      </c>
      <c r="Y140" s="1" t="str">
        <f>"95/10/06"</f>
        <v>95/10/06</v>
      </c>
      <c r="Z140" s="1" t="str">
        <f>"40582/د"</f>
        <v>40582/د</v>
      </c>
      <c r="AA140" s="1" t="str">
        <f>"بنيادمسكن انقلاب اسلامي"</f>
        <v>بنيادمسكن انقلاب اسلامي</v>
      </c>
      <c r="AB140" s="1" t="str">
        <f>"95/09/24"</f>
        <v>95/09/24</v>
      </c>
      <c r="AC140" s="1" t="str">
        <f>"استان مازندران"</f>
        <v>استان مازندران</v>
      </c>
      <c r="AD140" s="1" t="str">
        <f>"95/10/05"</f>
        <v>95/10/05</v>
      </c>
      <c r="AE140" s="1" t="str">
        <f t="shared" si="29"/>
        <v>اختتام</v>
      </c>
      <c r="AF140" s="1" t="str">
        <f>""</f>
        <v/>
      </c>
      <c r="AG140" s="1" t="str">
        <f>""</f>
        <v/>
      </c>
      <c r="AH140" s="1" t="str">
        <f>""</f>
        <v/>
      </c>
      <c r="AI140" s="1" t="str">
        <f>""</f>
        <v/>
      </c>
      <c r="AJ140" s="1" t="str">
        <f>""</f>
        <v/>
      </c>
      <c r="AK140" s="1" t="str">
        <f>""</f>
        <v/>
      </c>
    </row>
    <row r="141" spans="1:37" x14ac:dyDescent="0.2">
      <c r="A141" s="1">
        <v>150000</v>
      </c>
      <c r="B141" s="1">
        <v>951100045</v>
      </c>
      <c r="C141" s="1" t="str">
        <f>"تخليه -اصفهان - گلپايگان - كيلومتر 5 جاده خوانسار"</f>
        <v>تخليه -اصفهان - گلپايگان - كيلومتر 5 جاده خوانسار</v>
      </c>
      <c r="D141" s="1">
        <v>5650</v>
      </c>
      <c r="E141" s="1">
        <v>150000</v>
      </c>
      <c r="F141" s="1">
        <v>95</v>
      </c>
      <c r="G141" s="1">
        <v>0</v>
      </c>
      <c r="H141" s="1" t="str">
        <f>"95/02/21"</f>
        <v>95/02/21</v>
      </c>
      <c r="I141" s="1" t="str">
        <f t="shared" si="25"/>
        <v>كيلوگرم</v>
      </c>
      <c r="J141" s="1" t="str">
        <f t="shared" si="22"/>
        <v>0000000076</v>
      </c>
      <c r="K141" s="1" t="str">
        <f t="shared" si="23"/>
        <v>قير 60/70 - فله</v>
      </c>
      <c r="L141" s="1">
        <v>100</v>
      </c>
      <c r="M141" s="1" t="str">
        <f t="shared" si="26"/>
        <v>مخازن قير اصفهان</v>
      </c>
      <c r="N141" s="1">
        <v>9043</v>
      </c>
      <c r="O141" s="1">
        <v>50030808</v>
      </c>
      <c r="P141" s="1" t="str">
        <f>"  مهندسي صنعت راه گلپايگان"</f>
        <v xml:space="preserve">  مهندسي صنعت راه گلپايگان</v>
      </c>
      <c r="Q141" s="1">
        <v>11</v>
      </c>
      <c r="R141" s="1" t="str">
        <f>"فروش داخلي تهران - بورس"</f>
        <v>فروش داخلي تهران - بورس</v>
      </c>
      <c r="S141" s="1" t="str">
        <f t="shared" si="27"/>
        <v>قرارداد فروش</v>
      </c>
      <c r="T141" s="1" t="str">
        <f t="shared" si="28"/>
        <v>ندارد</v>
      </c>
      <c r="U141" s="1" t="str">
        <f>"شهبازي محمدرضا(1029ج89)"</f>
        <v>شهبازي محمدرضا(1029ج89)</v>
      </c>
      <c r="V141" s="1">
        <v>951100045</v>
      </c>
      <c r="W141" s="1">
        <v>951100045</v>
      </c>
      <c r="X141" s="1" t="str">
        <f>"1395403182"</f>
        <v>1395403182</v>
      </c>
      <c r="Y141" s="1" t="str">
        <f>"95/02/21"</f>
        <v>95/02/21</v>
      </c>
      <c r="Z141" s="1" t="str">
        <f>"95-34353"</f>
        <v>95-34353</v>
      </c>
      <c r="AA141" s="1" t="str">
        <f>"راه سازي"</f>
        <v>راه سازي</v>
      </c>
      <c r="AB141" s="1" t="str">
        <f>"95/02/21"</f>
        <v>95/02/21</v>
      </c>
      <c r="AC141" s="1" t="str">
        <f>"استان اصفهان"</f>
        <v>استان اصفهان</v>
      </c>
      <c r="AD141" s="1" t="str">
        <f>"95/02/19"</f>
        <v>95/02/19</v>
      </c>
      <c r="AE141" s="1" t="str">
        <f>"تاييدشده"</f>
        <v>تاييدشده</v>
      </c>
      <c r="AF141" s="1" t="str">
        <f>""</f>
        <v/>
      </c>
      <c r="AG141" s="1" t="str">
        <f>""</f>
        <v/>
      </c>
      <c r="AH141" s="1" t="str">
        <f>""</f>
        <v/>
      </c>
      <c r="AI141" s="1" t="str">
        <f>""</f>
        <v/>
      </c>
      <c r="AJ141" s="1" t="str">
        <f>""</f>
        <v/>
      </c>
      <c r="AK141" s="1" t="str">
        <f>""</f>
        <v/>
      </c>
    </row>
    <row r="142" spans="1:37" x14ac:dyDescent="0.2">
      <c r="A142" s="1">
        <v>100000</v>
      </c>
      <c r="B142" s="1">
        <v>951100118</v>
      </c>
      <c r="C142" s="1" t="str">
        <f>"تخليه -اصفهان - گلپايگان - كيلومتر 5 جاده خوانسار"</f>
        <v>تخليه -اصفهان - گلپايگان - كيلومتر 5 جاده خوانسار</v>
      </c>
      <c r="D142" s="1">
        <v>6876</v>
      </c>
      <c r="E142" s="1">
        <v>98440</v>
      </c>
      <c r="F142" s="1">
        <v>95</v>
      </c>
      <c r="G142" s="1">
        <v>1560</v>
      </c>
      <c r="H142" s="1" t="str">
        <f>"95/06/28"</f>
        <v>95/06/28</v>
      </c>
      <c r="I142" s="1" t="str">
        <f t="shared" si="25"/>
        <v>كيلوگرم</v>
      </c>
      <c r="J142" s="1" t="str">
        <f t="shared" si="22"/>
        <v>0000000076</v>
      </c>
      <c r="K142" s="1" t="str">
        <f t="shared" si="23"/>
        <v>قير 60/70 - فله</v>
      </c>
      <c r="L142" s="1">
        <v>100</v>
      </c>
      <c r="M142" s="1" t="str">
        <f t="shared" si="26"/>
        <v>مخازن قير اصفهان</v>
      </c>
      <c r="N142" s="1">
        <v>9043</v>
      </c>
      <c r="O142" s="1">
        <v>50031890</v>
      </c>
      <c r="P142" s="1" t="str">
        <f>"  مهندسي صنعت راه گلپايگان"</f>
        <v xml:space="preserve">  مهندسي صنعت راه گلپايگان</v>
      </c>
      <c r="Q142" s="1">
        <v>11</v>
      </c>
      <c r="R142" s="1" t="str">
        <f>"فروش داخلي تهران - بورس"</f>
        <v>فروش داخلي تهران - بورس</v>
      </c>
      <c r="S142" s="1" t="str">
        <f t="shared" si="27"/>
        <v>قرارداد فروش</v>
      </c>
      <c r="T142" s="1" t="str">
        <f t="shared" si="28"/>
        <v>ندارد</v>
      </c>
      <c r="U142" s="1" t="str">
        <f>"شهبازي محمدرضا(1029ج89)"</f>
        <v>شهبازي محمدرضا(1029ج89)</v>
      </c>
      <c r="V142" s="1">
        <v>951100118</v>
      </c>
      <c r="W142" s="1">
        <v>951100118</v>
      </c>
      <c r="X142" s="1" t="str">
        <f>"1395430848"</f>
        <v>1395430848</v>
      </c>
      <c r="Y142" s="1" t="str">
        <f>"95/06/27"</f>
        <v>95/06/27</v>
      </c>
      <c r="Z142" s="1" t="str">
        <f>"95-34604"</f>
        <v>95-34604</v>
      </c>
      <c r="AA142" s="1" t="str">
        <f>"راه سازي"</f>
        <v>راه سازي</v>
      </c>
      <c r="AB142" s="1" t="str">
        <f>"95/06/27"</f>
        <v>95/06/27</v>
      </c>
      <c r="AC142" s="1" t="str">
        <f>"استان اصفهان"</f>
        <v>استان اصفهان</v>
      </c>
      <c r="AD142" s="1" t="str">
        <f>"95/06/23"</f>
        <v>95/06/23</v>
      </c>
      <c r="AE142" s="1" t="str">
        <f>"اختتام"</f>
        <v>اختتام</v>
      </c>
      <c r="AF142" s="1" t="str">
        <f>""</f>
        <v/>
      </c>
      <c r="AG142" s="1" t="str">
        <f>""</f>
        <v/>
      </c>
      <c r="AH142" s="1" t="str">
        <f>""</f>
        <v/>
      </c>
      <c r="AI142" s="1" t="str">
        <f>""</f>
        <v/>
      </c>
      <c r="AJ142" s="1" t="str">
        <f>""</f>
        <v/>
      </c>
      <c r="AK142" s="1" t="str">
        <f>""</f>
        <v/>
      </c>
    </row>
    <row r="143" spans="1:37" x14ac:dyDescent="0.2">
      <c r="A143" s="1">
        <v>480000</v>
      </c>
      <c r="B143" s="1">
        <v>956200015</v>
      </c>
      <c r="C143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143" s="1">
        <v>5750</v>
      </c>
      <c r="E143" s="1">
        <v>479260</v>
      </c>
      <c r="F143" s="1">
        <v>95</v>
      </c>
      <c r="G143" s="1">
        <v>740</v>
      </c>
      <c r="H143" s="1" t="str">
        <f>"95/03/12"</f>
        <v>95/03/12</v>
      </c>
      <c r="I143" s="1" t="str">
        <f t="shared" si="25"/>
        <v>كيلوگرم</v>
      </c>
      <c r="J143" s="1" t="str">
        <f t="shared" si="22"/>
        <v>0000000076</v>
      </c>
      <c r="K143" s="1" t="str">
        <f t="shared" si="23"/>
        <v>قير 60/70 - فله</v>
      </c>
      <c r="L143" s="1">
        <v>100</v>
      </c>
      <c r="M143" s="1" t="str">
        <f t="shared" si="26"/>
        <v>مخازن قير اصفهان</v>
      </c>
      <c r="N143" s="1">
        <v>9296</v>
      </c>
      <c r="O143" s="1">
        <v>50030939</v>
      </c>
      <c r="P143" s="1" t="str">
        <f>"  ايلام راه بان"</f>
        <v xml:space="preserve">  ايلام راه بان</v>
      </c>
      <c r="Q143" s="1">
        <v>62</v>
      </c>
      <c r="R143" s="1" t="str">
        <f>"فروش داخلي - سازمان بنيادمسكن انقلاب اسلامي"</f>
        <v>فروش داخلي - سازمان بنيادمسكن انقلاب اسلامي</v>
      </c>
      <c r="S143" s="1" t="str">
        <f t="shared" si="27"/>
        <v>قرارداد فروش</v>
      </c>
      <c r="T143" s="1" t="str">
        <f t="shared" si="28"/>
        <v>ندارد</v>
      </c>
      <c r="U143" s="1" t="str">
        <f>"عظيمي محمد(2842015)"</f>
        <v>عظيمي محمد(2842015)</v>
      </c>
      <c r="V143" s="1">
        <v>956200015</v>
      </c>
      <c r="W143" s="1">
        <v>956200015</v>
      </c>
      <c r="X143" s="1" t="str">
        <f>"1395407387"</f>
        <v>1395407387</v>
      </c>
      <c r="Y143" s="1" t="str">
        <f>"95/03/12"</f>
        <v>95/03/12</v>
      </c>
      <c r="Z143" s="1" t="str">
        <f>"9713/د"</f>
        <v>9713/د</v>
      </c>
      <c r="AA143" s="1" t="str">
        <f>"بنيادمسكن انقلاب اسلامي"</f>
        <v>بنيادمسكن انقلاب اسلامي</v>
      </c>
      <c r="AB143" s="1" t="str">
        <f>"95/03/11"</f>
        <v>95/03/11</v>
      </c>
      <c r="AC143" s="1" t="str">
        <f>"استان ايلام"</f>
        <v>استان ايلام</v>
      </c>
      <c r="AD143" s="1" t="str">
        <f>"95/03/12"</f>
        <v>95/03/12</v>
      </c>
      <c r="AE143" s="1" t="str">
        <f>"اختتام"</f>
        <v>اختتام</v>
      </c>
      <c r="AF143" s="1" t="str">
        <f>""</f>
        <v/>
      </c>
      <c r="AG143" s="1" t="str">
        <f>""</f>
        <v/>
      </c>
      <c r="AH143" s="1" t="str">
        <f>""</f>
        <v/>
      </c>
      <c r="AI143" s="1" t="str">
        <f>""</f>
        <v/>
      </c>
      <c r="AJ143" s="1" t="str">
        <f>""</f>
        <v/>
      </c>
      <c r="AK143" s="1" t="str">
        <f>""</f>
        <v/>
      </c>
    </row>
    <row r="144" spans="1:37" x14ac:dyDescent="0.2">
      <c r="A144" s="1">
        <v>200000</v>
      </c>
      <c r="B144" s="1">
        <v>951100037</v>
      </c>
      <c r="C144" s="1" t="str">
        <f>"تخليه - کاشان کيلومتر 17قمصر شركت بتن آسفالت مهر"</f>
        <v>تخليه - کاشان کيلومتر 17قمصر شركت بتن آسفالت مهر</v>
      </c>
      <c r="D144" s="1">
        <v>5650</v>
      </c>
      <c r="E144" s="1">
        <v>200000</v>
      </c>
      <c r="F144" s="1">
        <v>95</v>
      </c>
      <c r="G144" s="1">
        <v>0</v>
      </c>
      <c r="H144" s="1" t="str">
        <f>"95/02/14"</f>
        <v>95/02/14</v>
      </c>
      <c r="I144" s="1" t="str">
        <f t="shared" si="25"/>
        <v>كيلوگرم</v>
      </c>
      <c r="J144" s="1" t="str">
        <f t="shared" si="22"/>
        <v>0000000076</v>
      </c>
      <c r="K144" s="1" t="str">
        <f t="shared" si="23"/>
        <v>قير 60/70 - فله</v>
      </c>
      <c r="L144" s="1">
        <v>100</v>
      </c>
      <c r="M144" s="1" t="str">
        <f t="shared" si="26"/>
        <v>مخازن قير اصفهان</v>
      </c>
      <c r="N144" s="1">
        <v>9268</v>
      </c>
      <c r="O144" s="1">
        <v>50030705</v>
      </c>
      <c r="P144" s="1" t="str">
        <f>"  بتن آسفالت مهر"</f>
        <v xml:space="preserve">  بتن آسفالت مهر</v>
      </c>
      <c r="Q144" s="1">
        <v>11</v>
      </c>
      <c r="R144" s="1" t="str">
        <f>"فروش داخلي تهران - بورس"</f>
        <v>فروش داخلي تهران - بورس</v>
      </c>
      <c r="S144" s="1" t="str">
        <f t="shared" si="27"/>
        <v>قرارداد فروش</v>
      </c>
      <c r="T144" s="1" t="str">
        <f t="shared" si="28"/>
        <v>ندارد</v>
      </c>
      <c r="U144" s="1" t="str">
        <f>"شهبازي محمدرضا(1029ج89)"</f>
        <v>شهبازي محمدرضا(1029ج89)</v>
      </c>
      <c r="V144" s="1">
        <v>951100037</v>
      </c>
      <c r="W144" s="1">
        <v>951100037</v>
      </c>
      <c r="X144" s="1" t="str">
        <f>"1395401963"</f>
        <v>1395401963</v>
      </c>
      <c r="Y144" s="1" t="str">
        <f>"95/02/13"</f>
        <v>95/02/13</v>
      </c>
      <c r="Z144" s="1" t="str">
        <f>"95-34314"</f>
        <v>95-34314</v>
      </c>
      <c r="AA144" s="1" t="str">
        <f>"راه سازي"</f>
        <v>راه سازي</v>
      </c>
      <c r="AB144" s="1" t="str">
        <f>"95/02/13"</f>
        <v>95/02/13</v>
      </c>
      <c r="AC144" s="1" t="str">
        <f>"استان اصفهان"</f>
        <v>استان اصفهان</v>
      </c>
      <c r="AD144" s="1" t="str">
        <f>"95/02/11"</f>
        <v>95/02/11</v>
      </c>
      <c r="AE144" s="1" t="str">
        <f>"تاييدشده"</f>
        <v>تاييدشده</v>
      </c>
      <c r="AF144" s="1" t="str">
        <f>""</f>
        <v/>
      </c>
      <c r="AG144" s="1" t="str">
        <f>""</f>
        <v/>
      </c>
      <c r="AH144" s="1" t="str">
        <f>""</f>
        <v/>
      </c>
      <c r="AI144" s="1" t="str">
        <f>""</f>
        <v/>
      </c>
      <c r="AJ144" s="1" t="str">
        <f>""</f>
        <v/>
      </c>
      <c r="AK144" s="1" t="str">
        <f>""</f>
        <v/>
      </c>
    </row>
    <row r="145" spans="1:37" x14ac:dyDescent="0.2">
      <c r="A145" s="1">
        <v>99000</v>
      </c>
      <c r="B145" s="1">
        <v>952000093</v>
      </c>
      <c r="C145" s="1" t="str">
        <f>"تخليه -اصفهان -جنب ذوب آهن اصفهان -كارخانه آسقالت زرين سپاهان"</f>
        <v>تخليه -اصفهان -جنب ذوب آهن اصفهان -كارخانه آسقالت زرين سپاهان</v>
      </c>
      <c r="D145" s="1">
        <v>6876</v>
      </c>
      <c r="E145" s="1">
        <v>95620</v>
      </c>
      <c r="F145" s="1">
        <v>95</v>
      </c>
      <c r="G145" s="1">
        <v>3380</v>
      </c>
      <c r="H145" s="1" t="str">
        <f>"95/06/24"</f>
        <v>95/06/24</v>
      </c>
      <c r="I145" s="1" t="str">
        <f t="shared" si="25"/>
        <v>كيلوگرم</v>
      </c>
      <c r="J145" s="1" t="str">
        <f t="shared" si="22"/>
        <v>0000000076</v>
      </c>
      <c r="K145" s="1" t="str">
        <f t="shared" si="23"/>
        <v>قير 60/70 - فله</v>
      </c>
      <c r="L145" s="1">
        <v>100</v>
      </c>
      <c r="M145" s="1" t="str">
        <f t="shared" si="26"/>
        <v>مخازن قير اصفهان</v>
      </c>
      <c r="N145" s="1">
        <v>9294</v>
      </c>
      <c r="O145" s="1">
        <v>50031869</v>
      </c>
      <c r="P145" s="1" t="str">
        <f>"  شهرداري چمگردان"</f>
        <v xml:space="preserve">  شهرداري چمگردان</v>
      </c>
      <c r="Q145" s="1">
        <v>20</v>
      </c>
      <c r="R145" s="1" t="str">
        <f>"فروش داخلي - سازمان شهرداري ها و دهياري هاي كشور"</f>
        <v>فروش داخلي - سازمان شهرداري ها و دهياري هاي كشور</v>
      </c>
      <c r="S145" s="1" t="str">
        <f t="shared" si="27"/>
        <v>قرارداد فروش</v>
      </c>
      <c r="T145" s="1" t="str">
        <f t="shared" si="28"/>
        <v>ندارد</v>
      </c>
      <c r="U145" s="1" t="str">
        <f>"مرادي نجاتعلي(1020ج89)"</f>
        <v>مرادي نجاتعلي(1020ج89)</v>
      </c>
      <c r="V145" s="1">
        <v>952000093</v>
      </c>
      <c r="W145" s="1">
        <v>952000093</v>
      </c>
      <c r="X145" s="1" t="str">
        <f>"1395431908"</f>
        <v>1395431908</v>
      </c>
      <c r="Y145" s="1" t="str">
        <f>"95/06/24"</f>
        <v>95/06/24</v>
      </c>
      <c r="Z145" s="1" t="str">
        <f>"27799"</f>
        <v>27799</v>
      </c>
      <c r="AA145" s="1" t="str">
        <f>"شهرداريها"</f>
        <v>شهرداريها</v>
      </c>
      <c r="AB145" s="1" t="str">
        <f>"95/06/10"</f>
        <v>95/06/10</v>
      </c>
      <c r="AC145" s="1" t="str">
        <f>"استان اصفهان"</f>
        <v>استان اصفهان</v>
      </c>
      <c r="AD145" s="1" t="str">
        <f>"95/06/24"</f>
        <v>95/06/24</v>
      </c>
      <c r="AE145" s="1" t="str">
        <f t="shared" ref="AE145:AE155" si="30">"اختتام"</f>
        <v>اختتام</v>
      </c>
      <c r="AF145" s="1" t="str">
        <f>""</f>
        <v/>
      </c>
      <c r="AG145" s="1" t="str">
        <f>""</f>
        <v/>
      </c>
      <c r="AH145" s="1" t="str">
        <f>""</f>
        <v/>
      </c>
      <c r="AI145" s="1" t="str">
        <f>""</f>
        <v/>
      </c>
      <c r="AJ145" s="1" t="str">
        <f>""</f>
        <v/>
      </c>
      <c r="AK145" s="1" t="str">
        <f>""</f>
        <v/>
      </c>
    </row>
    <row r="146" spans="1:37" x14ac:dyDescent="0.2">
      <c r="A146" s="1">
        <v>70000</v>
      </c>
      <c r="B146" s="1">
        <v>952000086</v>
      </c>
      <c r="C146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146" s="1">
        <v>6876</v>
      </c>
      <c r="E146" s="1">
        <v>69500</v>
      </c>
      <c r="F146" s="1">
        <v>95</v>
      </c>
      <c r="G146" s="1">
        <v>500</v>
      </c>
      <c r="H146" s="1" t="str">
        <f>"95/06/23"</f>
        <v>95/06/23</v>
      </c>
      <c r="I146" s="1" t="str">
        <f t="shared" si="25"/>
        <v>كيلوگرم</v>
      </c>
      <c r="J146" s="1" t="str">
        <f t="shared" si="22"/>
        <v>0000000076</v>
      </c>
      <c r="K146" s="1" t="str">
        <f t="shared" si="23"/>
        <v>قير 60/70 - فله</v>
      </c>
      <c r="L146" s="1">
        <v>100</v>
      </c>
      <c r="M146" s="1" t="str">
        <f t="shared" si="26"/>
        <v>مخازن قير اصفهان</v>
      </c>
      <c r="N146" s="1">
        <v>9321</v>
      </c>
      <c r="O146" s="1">
        <v>50031851</v>
      </c>
      <c r="P146" s="1" t="str">
        <f>"  شهرداري خالدآباد"</f>
        <v xml:space="preserve">  شهرداري خالدآباد</v>
      </c>
      <c r="Q146" s="1">
        <v>20</v>
      </c>
      <c r="R146" s="1" t="str">
        <f>"فروش داخلي - سازمان شهرداري ها و دهياري هاي كشور"</f>
        <v>فروش داخلي - سازمان شهرداري ها و دهياري هاي كشور</v>
      </c>
      <c r="S146" s="1" t="str">
        <f t="shared" si="27"/>
        <v>قرارداد فروش</v>
      </c>
      <c r="T146" s="1" t="str">
        <f t="shared" si="28"/>
        <v>ندارد</v>
      </c>
      <c r="U146" s="1" t="str">
        <f>"معماريان سعيد(1004ج89)"</f>
        <v>معماريان سعيد(1004ج89)</v>
      </c>
      <c r="V146" s="1">
        <v>952000086</v>
      </c>
      <c r="W146" s="1">
        <v>952000086</v>
      </c>
      <c r="X146" s="1" t="str">
        <f>"1395430748"</f>
        <v>1395430748</v>
      </c>
      <c r="Y146" s="1" t="str">
        <f>"95/06/23"</f>
        <v>95/06/23</v>
      </c>
      <c r="Z146" s="1" t="str">
        <f>"27796"</f>
        <v>27796</v>
      </c>
      <c r="AA146" s="1" t="str">
        <f>"شهرداريها"</f>
        <v>شهرداريها</v>
      </c>
      <c r="AB146" s="1" t="str">
        <f>"95/06/10"</f>
        <v>95/06/10</v>
      </c>
      <c r="AC146" s="1" t="str">
        <f>"استان اصفهان"</f>
        <v>استان اصفهان</v>
      </c>
      <c r="AD146" s="1" t="str">
        <f>"95/06/21"</f>
        <v>95/06/21</v>
      </c>
      <c r="AE146" s="1" t="str">
        <f t="shared" si="30"/>
        <v>اختتام</v>
      </c>
      <c r="AF146" s="1" t="str">
        <f>""</f>
        <v/>
      </c>
      <c r="AG146" s="1" t="str">
        <f>""</f>
        <v/>
      </c>
      <c r="AH146" s="1" t="str">
        <f>""</f>
        <v/>
      </c>
      <c r="AI146" s="1" t="str">
        <f>""</f>
        <v/>
      </c>
      <c r="AJ146" s="1" t="str">
        <f>""</f>
        <v/>
      </c>
      <c r="AK146" s="1" t="str">
        <f>""</f>
        <v/>
      </c>
    </row>
    <row r="147" spans="1:37" x14ac:dyDescent="0.2">
      <c r="A147" s="1">
        <v>50000</v>
      </c>
      <c r="B147" s="1">
        <v>951100121</v>
      </c>
      <c r="C147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47" s="1">
        <v>6976</v>
      </c>
      <c r="E147" s="1">
        <v>49880</v>
      </c>
      <c r="F147" s="1">
        <v>95</v>
      </c>
      <c r="G147" s="1">
        <v>120</v>
      </c>
      <c r="H147" s="1" t="str">
        <f>"95/07/07"</f>
        <v>95/07/07</v>
      </c>
      <c r="I147" s="1" t="str">
        <f t="shared" si="25"/>
        <v>كيلوگرم</v>
      </c>
      <c r="J147" s="1" t="str">
        <f t="shared" si="22"/>
        <v>0000000076</v>
      </c>
      <c r="K147" s="1" t="str">
        <f t="shared" si="23"/>
        <v>قير 60/70 - فله</v>
      </c>
      <c r="L147" s="1">
        <v>100</v>
      </c>
      <c r="M147" s="1" t="str">
        <f t="shared" si="26"/>
        <v>مخازن قير اصفهان</v>
      </c>
      <c r="N147" s="1">
        <v>8795</v>
      </c>
      <c r="O147" s="1">
        <v>50032018</v>
      </c>
      <c r="P147" s="1" t="str">
        <f>"  توسعه ساختارمحيط"</f>
        <v xml:space="preserve">  توسعه ساختارمحيط</v>
      </c>
      <c r="Q147" s="1">
        <v>11</v>
      </c>
      <c r="R147" s="1" t="str">
        <f>"فروش داخلي تهران - بورس"</f>
        <v>فروش داخلي تهران - بورس</v>
      </c>
      <c r="S147" s="1" t="str">
        <f t="shared" si="27"/>
        <v>قرارداد فروش</v>
      </c>
      <c r="T147" s="1" t="str">
        <f t="shared" si="28"/>
        <v>ندارد</v>
      </c>
      <c r="U147" s="1" t="str">
        <f>"عابدي محمود(1018ج89)"</f>
        <v>عابدي محمود(1018ج89)</v>
      </c>
      <c r="V147" s="1">
        <v>951100121</v>
      </c>
      <c r="W147" s="1">
        <v>951100121</v>
      </c>
      <c r="X147" s="1" t="str">
        <f>"1395433632"</f>
        <v>1395433632</v>
      </c>
      <c r="Y147" s="1" t="str">
        <f>"95/07/06"</f>
        <v>95/07/06</v>
      </c>
      <c r="Z147" s="1" t="str">
        <f>"95-34663"</f>
        <v>95-34663</v>
      </c>
      <c r="AA147" s="1" t="str">
        <f>"توليدقيرامولسيون"</f>
        <v>توليدقيرامولسيون</v>
      </c>
      <c r="AB147" s="1" t="str">
        <f>"95/07/06"</f>
        <v>95/07/06</v>
      </c>
      <c r="AC147" s="1" t="str">
        <f>"قم"</f>
        <v>قم</v>
      </c>
      <c r="AD147" s="1" t="str">
        <f>"95/07/04"</f>
        <v>95/07/04</v>
      </c>
      <c r="AE147" s="1" t="str">
        <f t="shared" si="30"/>
        <v>اختتام</v>
      </c>
      <c r="AF147" s="1" t="str">
        <f>""</f>
        <v/>
      </c>
      <c r="AG147" s="1" t="str">
        <f>""</f>
        <v/>
      </c>
      <c r="AH147" s="1" t="str">
        <f>""</f>
        <v/>
      </c>
      <c r="AI147" s="1" t="str">
        <f>""</f>
        <v/>
      </c>
      <c r="AJ147" s="1" t="str">
        <f>""</f>
        <v/>
      </c>
      <c r="AK147" s="1" t="str">
        <f>""</f>
        <v/>
      </c>
    </row>
    <row r="148" spans="1:37" x14ac:dyDescent="0.2">
      <c r="A148" s="1">
        <v>50000</v>
      </c>
      <c r="B148" s="1">
        <v>951100167</v>
      </c>
      <c r="C148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48" s="1">
        <v>7026</v>
      </c>
      <c r="E148" s="1">
        <v>43260</v>
      </c>
      <c r="F148" s="1">
        <v>95</v>
      </c>
      <c r="G148" s="1">
        <v>6740</v>
      </c>
      <c r="H148" s="1" t="str">
        <f>"95/09/30"</f>
        <v>95/09/30</v>
      </c>
      <c r="I148" s="1" t="str">
        <f t="shared" si="25"/>
        <v>كيلوگرم</v>
      </c>
      <c r="J148" s="1" t="str">
        <f t="shared" si="22"/>
        <v>0000000076</v>
      </c>
      <c r="K148" s="1" t="str">
        <f t="shared" si="23"/>
        <v>قير 60/70 - فله</v>
      </c>
      <c r="L148" s="1">
        <v>100</v>
      </c>
      <c r="M148" s="1" t="str">
        <f t="shared" si="26"/>
        <v>مخازن قير اصفهان</v>
      </c>
      <c r="N148" s="1">
        <v>8795</v>
      </c>
      <c r="O148" s="1">
        <v>50033095</v>
      </c>
      <c r="P148" s="1" t="str">
        <f>"  توسعه ساختارمحيط"</f>
        <v xml:space="preserve">  توسعه ساختارمحيط</v>
      </c>
      <c r="Q148" s="1">
        <v>11</v>
      </c>
      <c r="R148" s="1" t="str">
        <f>"فروش داخلي تهران - بورس"</f>
        <v>فروش داخلي تهران - بورس</v>
      </c>
      <c r="S148" s="1" t="str">
        <f t="shared" si="27"/>
        <v>قرارداد فروش</v>
      </c>
      <c r="T148" s="1" t="str">
        <f t="shared" si="28"/>
        <v>ندارد</v>
      </c>
      <c r="U148" s="1" t="str">
        <f>"حاصليان ترابرجنوب مرتضي حاصلي (4844006)"</f>
        <v>حاصليان ترابرجنوب مرتضي حاصلي (4844006)</v>
      </c>
      <c r="V148" s="1">
        <v>951100167</v>
      </c>
      <c r="W148" s="1">
        <v>951100167</v>
      </c>
      <c r="X148" s="1" t="str">
        <f>"1395450738"</f>
        <v>1395450738</v>
      </c>
      <c r="Y148" s="1" t="str">
        <f>"95/09/30"</f>
        <v>95/09/30</v>
      </c>
      <c r="Z148" s="1" t="str">
        <f>"95-34947"</f>
        <v>95-34947</v>
      </c>
      <c r="AA148" s="1" t="str">
        <f>"توليدقيرامولسيون"</f>
        <v>توليدقيرامولسيون</v>
      </c>
      <c r="AB148" s="1" t="str">
        <f>"95/09/28"</f>
        <v>95/09/28</v>
      </c>
      <c r="AC148" s="1" t="str">
        <f>"قم"</f>
        <v>قم</v>
      </c>
      <c r="AD148" s="1" t="str">
        <f>"95/09/16"</f>
        <v>95/09/16</v>
      </c>
      <c r="AE148" s="1" t="str">
        <f t="shared" si="30"/>
        <v>اختتام</v>
      </c>
      <c r="AF148" s="1" t="str">
        <f>""</f>
        <v/>
      </c>
      <c r="AG148" s="1" t="str">
        <f>""</f>
        <v/>
      </c>
      <c r="AH148" s="1" t="str">
        <f>""</f>
        <v/>
      </c>
      <c r="AI148" s="1" t="str">
        <f>""</f>
        <v/>
      </c>
      <c r="AJ148" s="1" t="str">
        <f>""</f>
        <v/>
      </c>
      <c r="AK148" s="1" t="str">
        <f>""</f>
        <v/>
      </c>
    </row>
    <row r="149" spans="1:37" x14ac:dyDescent="0.2">
      <c r="A149" s="1">
        <v>134000</v>
      </c>
      <c r="B149" s="1">
        <v>952000150</v>
      </c>
      <c r="C149" s="1" t="str">
        <f>"تخليه يزدكيلومتر15جاده يزدكرمان شركت حريتاش"</f>
        <v>تخليه يزدكيلومتر15جاده يزدكرمان شركت حريتاش</v>
      </c>
      <c r="D149" s="1">
        <v>6976</v>
      </c>
      <c r="E149" s="1">
        <v>132800</v>
      </c>
      <c r="F149" s="1">
        <v>95</v>
      </c>
      <c r="G149" s="1">
        <v>1200</v>
      </c>
      <c r="H149" s="1" t="str">
        <f>"95/07/14"</f>
        <v>95/07/14</v>
      </c>
      <c r="I149" s="1" t="str">
        <f t="shared" si="25"/>
        <v>كيلوگرم</v>
      </c>
      <c r="J149" s="1" t="str">
        <f t="shared" si="22"/>
        <v>0000000076</v>
      </c>
      <c r="K149" s="1" t="str">
        <f t="shared" si="23"/>
        <v>قير 60/70 - فله</v>
      </c>
      <c r="L149" s="1">
        <v>100</v>
      </c>
      <c r="M149" s="1" t="str">
        <f t="shared" si="26"/>
        <v>مخازن قير اصفهان</v>
      </c>
      <c r="N149" s="1">
        <v>9361</v>
      </c>
      <c r="O149" s="1">
        <v>50032109</v>
      </c>
      <c r="P149" s="1" t="str">
        <f>"  شهرداري اشكذر"</f>
        <v xml:space="preserve">  شهرداري اشكذر</v>
      </c>
      <c r="Q149" s="1">
        <v>20</v>
      </c>
      <c r="R149" s="1" t="str">
        <f>"فروش داخلي - سازمان شهرداري ها و دهياري هاي كشور"</f>
        <v>فروش داخلي - سازمان شهرداري ها و دهياري هاي كشور</v>
      </c>
      <c r="S149" s="1" t="str">
        <f t="shared" si="27"/>
        <v>قرارداد فروش</v>
      </c>
      <c r="T149" s="1" t="str">
        <f t="shared" si="28"/>
        <v>ندارد</v>
      </c>
      <c r="U149" s="1" t="str">
        <f>"قانعي محمدرضا(1011ج89)"</f>
        <v>قانعي محمدرضا(1011ج89)</v>
      </c>
      <c r="V149" s="1">
        <v>952000150</v>
      </c>
      <c r="W149" s="1">
        <v>952000150</v>
      </c>
      <c r="X149" s="1" t="str">
        <f>"1395436486"</f>
        <v>1395436486</v>
      </c>
      <c r="Y149" s="1" t="str">
        <f>"95/07/14"</f>
        <v>95/07/14</v>
      </c>
      <c r="Z149" s="1" t="str">
        <f>"27957"</f>
        <v>27957</v>
      </c>
      <c r="AA149" s="1" t="str">
        <f>"شهرداريها"</f>
        <v>شهرداريها</v>
      </c>
      <c r="AB149" s="1" t="str">
        <f>"95/06/13"</f>
        <v>95/06/13</v>
      </c>
      <c r="AC149" s="1" t="str">
        <f>"استان يزد"</f>
        <v>استان يزد</v>
      </c>
      <c r="AD149" s="1" t="str">
        <f>"95/07/14"</f>
        <v>95/07/14</v>
      </c>
      <c r="AE149" s="1" t="str">
        <f t="shared" si="30"/>
        <v>اختتام</v>
      </c>
      <c r="AF149" s="1" t="str">
        <f>""</f>
        <v/>
      </c>
      <c r="AG149" s="1" t="str">
        <f>""</f>
        <v/>
      </c>
      <c r="AH149" s="1" t="str">
        <f>""</f>
        <v/>
      </c>
      <c r="AI149" s="1" t="str">
        <f>""</f>
        <v/>
      </c>
      <c r="AJ149" s="1" t="str">
        <f>""</f>
        <v/>
      </c>
      <c r="AK149" s="1" t="str">
        <f>""</f>
        <v/>
      </c>
    </row>
    <row r="150" spans="1:37" x14ac:dyDescent="0.2">
      <c r="A150" s="1">
        <v>71000</v>
      </c>
      <c r="B150" s="1">
        <v>952000246</v>
      </c>
      <c r="C150" s="1" t="str">
        <f>"تخليه - جاده اصفهان تهران کارخانه آسفالت مصلحي"</f>
        <v>تخليه - جاده اصفهان تهران کارخانه آسفالت مصلحي</v>
      </c>
      <c r="D150" s="1">
        <v>7026</v>
      </c>
      <c r="E150" s="1">
        <v>70680</v>
      </c>
      <c r="F150" s="1">
        <v>95</v>
      </c>
      <c r="G150" s="1">
        <v>320</v>
      </c>
      <c r="H150" s="1" t="str">
        <f>"95/09/07"</f>
        <v>95/09/07</v>
      </c>
      <c r="I150" s="1" t="str">
        <f t="shared" si="25"/>
        <v>كيلوگرم</v>
      </c>
      <c r="J150" s="1" t="str">
        <f t="shared" si="22"/>
        <v>0000000076</v>
      </c>
      <c r="K150" s="1" t="str">
        <f t="shared" si="23"/>
        <v>قير 60/70 - فله</v>
      </c>
      <c r="L150" s="1">
        <v>100</v>
      </c>
      <c r="M150" s="1" t="str">
        <f t="shared" si="26"/>
        <v>مخازن قير اصفهان</v>
      </c>
      <c r="N150" s="1">
        <v>9375</v>
      </c>
      <c r="O150" s="1">
        <v>50032708</v>
      </c>
      <c r="P150" s="1" t="str">
        <f>"  شهرداري گرگاب"</f>
        <v xml:space="preserve">  شهرداري گرگاب</v>
      </c>
      <c r="Q150" s="1">
        <v>20</v>
      </c>
      <c r="R150" s="1" t="str">
        <f>"فروش داخلي - سازمان شهرداري ها و دهياري هاي كشور"</f>
        <v>فروش داخلي - سازمان شهرداري ها و دهياري هاي كشور</v>
      </c>
      <c r="S150" s="1" t="str">
        <f t="shared" si="27"/>
        <v>قرارداد فروش</v>
      </c>
      <c r="T150" s="1" t="str">
        <f t="shared" si="28"/>
        <v>ندارد</v>
      </c>
      <c r="U150" s="1" t="str">
        <f>"تاج سعيد هوشنگ (1031ج 89)"</f>
        <v>تاج سعيد هوشنگ (1031ج 89)</v>
      </c>
      <c r="V150" s="1">
        <v>952000246</v>
      </c>
      <c r="W150" s="1">
        <v>952000246</v>
      </c>
      <c r="X150" s="1" t="str">
        <f>"1395447617"</f>
        <v>1395447617</v>
      </c>
      <c r="Y150" s="1" t="str">
        <f>"95/09/07"</f>
        <v>95/09/07</v>
      </c>
      <c r="Z150" s="1" t="str">
        <f>"42184"</f>
        <v>42184</v>
      </c>
      <c r="AA150" s="1" t="str">
        <f>"شهرداريها"</f>
        <v>شهرداريها</v>
      </c>
      <c r="AB150" s="1" t="str">
        <f>"95/08/25"</f>
        <v>95/08/25</v>
      </c>
      <c r="AC150" s="1" t="str">
        <f>"استان اصفهان"</f>
        <v>استان اصفهان</v>
      </c>
      <c r="AD150" s="1" t="str">
        <f>"95/09/06"</f>
        <v>95/09/06</v>
      </c>
      <c r="AE150" s="1" t="str">
        <f t="shared" si="30"/>
        <v>اختتام</v>
      </c>
      <c r="AF150" s="1" t="str">
        <f>""</f>
        <v/>
      </c>
      <c r="AG150" s="1" t="str">
        <f>""</f>
        <v/>
      </c>
      <c r="AH150" s="1" t="str">
        <f>""</f>
        <v/>
      </c>
      <c r="AI150" s="1" t="str">
        <f>""</f>
        <v/>
      </c>
      <c r="AJ150" s="1" t="str">
        <f>""</f>
        <v/>
      </c>
      <c r="AK150" s="1" t="str">
        <f>""</f>
        <v/>
      </c>
    </row>
    <row r="151" spans="1:37" x14ac:dyDescent="0.2">
      <c r="A151" s="1">
        <v>45000</v>
      </c>
      <c r="B151" s="1">
        <v>956200193</v>
      </c>
      <c r="C151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151" s="1">
        <v>9361</v>
      </c>
      <c r="E151" s="1">
        <v>44360</v>
      </c>
      <c r="F151" s="1">
        <v>95</v>
      </c>
      <c r="G151" s="1">
        <v>640</v>
      </c>
      <c r="H151" s="1" t="str">
        <f>"95/11/19"</f>
        <v>95/11/19</v>
      </c>
      <c r="I151" s="1" t="str">
        <f t="shared" si="25"/>
        <v>كيلوگرم</v>
      </c>
      <c r="J151" s="1" t="str">
        <f t="shared" si="22"/>
        <v>0000000076</v>
      </c>
      <c r="K151" s="1" t="str">
        <f t="shared" si="23"/>
        <v>قير 60/70 - فله</v>
      </c>
      <c r="L151" s="1">
        <v>100</v>
      </c>
      <c r="M151" s="1" t="str">
        <f t="shared" si="26"/>
        <v>مخازن قير اصفهان</v>
      </c>
      <c r="N151" s="1">
        <v>7038</v>
      </c>
      <c r="O151" s="1">
        <v>50033626</v>
      </c>
      <c r="P151" s="1" t="str">
        <f>"  اصفهان مترو"</f>
        <v xml:space="preserve">  اصفهان مترو</v>
      </c>
      <c r="Q151" s="1">
        <v>62</v>
      </c>
      <c r="R151" s="1" t="str">
        <f>"فروش داخلي - سازمان بنيادمسكن انقلاب اسلامي"</f>
        <v>فروش داخلي - سازمان بنيادمسكن انقلاب اسلامي</v>
      </c>
      <c r="S151" s="1" t="str">
        <f t="shared" si="27"/>
        <v>قرارداد فروش</v>
      </c>
      <c r="T151" s="1" t="str">
        <f t="shared" si="28"/>
        <v>ندارد</v>
      </c>
      <c r="U151" s="1" t="str">
        <f>"عزيزي صفر(1006ج 89)"</f>
        <v>عزيزي صفر(1006ج 89)</v>
      </c>
      <c r="V151" s="1">
        <v>956200193</v>
      </c>
      <c r="W151" s="1">
        <v>956200193</v>
      </c>
      <c r="X151" s="1" t="str">
        <f>"1395463365"</f>
        <v>1395463365</v>
      </c>
      <c r="Y151" s="1" t="str">
        <f>"95/11/19"</f>
        <v>95/11/19</v>
      </c>
      <c r="Z151" s="1" t="str">
        <f>"49878/د"</f>
        <v>49878/د</v>
      </c>
      <c r="AA151" s="1" t="str">
        <f>"بنيادمسكن انقلاب اسلامي"</f>
        <v>بنيادمسكن انقلاب اسلامي</v>
      </c>
      <c r="AB151" s="1" t="str">
        <f>"95/11/18"</f>
        <v>95/11/18</v>
      </c>
      <c r="AC151" s="1" t="str">
        <f>"استان اصفهان"</f>
        <v>استان اصفهان</v>
      </c>
      <c r="AD151" s="1" t="str">
        <f>"95/11/19"</f>
        <v>95/11/19</v>
      </c>
      <c r="AE151" s="1" t="str">
        <f t="shared" si="30"/>
        <v>اختتام</v>
      </c>
      <c r="AF151" s="1" t="str">
        <f>""</f>
        <v/>
      </c>
      <c r="AG151" s="1" t="str">
        <f>""</f>
        <v/>
      </c>
      <c r="AH151" s="1" t="str">
        <f>""</f>
        <v/>
      </c>
      <c r="AI151" s="1" t="str">
        <f>""</f>
        <v/>
      </c>
      <c r="AJ151" s="1" t="str">
        <f>""</f>
        <v/>
      </c>
      <c r="AK151" s="1" t="str">
        <f>""</f>
        <v/>
      </c>
    </row>
    <row r="152" spans="1:37" x14ac:dyDescent="0.2">
      <c r="A152" s="1">
        <v>67000</v>
      </c>
      <c r="B152" s="1">
        <v>952000058</v>
      </c>
      <c r="C152" s="1" t="str">
        <f>"تخليه اصفهان كيلومتركاشان جاده قمصر"</f>
        <v>تخليه اصفهان كيلومتركاشان جاده قمصر</v>
      </c>
      <c r="D152" s="1">
        <v>6876</v>
      </c>
      <c r="E152" s="1">
        <v>66700</v>
      </c>
      <c r="F152" s="1">
        <v>95</v>
      </c>
      <c r="G152" s="1">
        <v>300</v>
      </c>
      <c r="H152" s="1" t="str">
        <f>"95/06/08"</f>
        <v>95/06/08</v>
      </c>
      <c r="I152" s="1" t="str">
        <f t="shared" si="25"/>
        <v>كيلوگرم</v>
      </c>
      <c r="J152" s="1" t="str">
        <f t="shared" si="22"/>
        <v>0000000076</v>
      </c>
      <c r="K152" s="1" t="str">
        <f t="shared" si="23"/>
        <v>قير 60/70 - فله</v>
      </c>
      <c r="L152" s="1">
        <v>100</v>
      </c>
      <c r="M152" s="1" t="str">
        <f t="shared" si="26"/>
        <v>مخازن قير اصفهان</v>
      </c>
      <c r="N152" s="1">
        <v>9177</v>
      </c>
      <c r="O152" s="1">
        <v>50031713</v>
      </c>
      <c r="P152" s="1" t="str">
        <f>"  شهرداري نياسر"</f>
        <v xml:space="preserve">  شهرداري نياسر</v>
      </c>
      <c r="Q152" s="1">
        <v>20</v>
      </c>
      <c r="R152" s="1" t="str">
        <f>"فروش داخلي - سازمان شهرداري ها و دهياري هاي كشور"</f>
        <v>فروش داخلي - سازمان شهرداري ها و دهياري هاي كشور</v>
      </c>
      <c r="S152" s="1" t="str">
        <f t="shared" si="27"/>
        <v>قرارداد فروش</v>
      </c>
      <c r="T152" s="1" t="str">
        <f t="shared" si="28"/>
        <v>ندارد</v>
      </c>
      <c r="U152" s="1" t="str">
        <f>"شهبازي محمدرضا(1029ج89)"</f>
        <v>شهبازي محمدرضا(1029ج89)</v>
      </c>
      <c r="V152" s="1">
        <v>952000058</v>
      </c>
      <c r="W152" s="1">
        <v>952000058</v>
      </c>
      <c r="X152" s="1" t="str">
        <f>"1395427143"</f>
        <v>1395427143</v>
      </c>
      <c r="Y152" s="1" t="str">
        <f>"95/06/08"</f>
        <v>95/06/08</v>
      </c>
      <c r="Z152" s="1" t="str">
        <f>"25642"</f>
        <v>25642</v>
      </c>
      <c r="AA152" s="1" t="str">
        <f>"شهرداريها"</f>
        <v>شهرداريها</v>
      </c>
      <c r="AB152" s="1" t="str">
        <f>"95/06/02"</f>
        <v>95/06/02</v>
      </c>
      <c r="AC152" s="1" t="str">
        <f>"استان اصفهان"</f>
        <v>استان اصفهان</v>
      </c>
      <c r="AD152" s="1" t="str">
        <f>"95/06/07"</f>
        <v>95/06/07</v>
      </c>
      <c r="AE152" s="1" t="str">
        <f t="shared" si="30"/>
        <v>اختتام</v>
      </c>
      <c r="AF152" s="1" t="str">
        <f>""</f>
        <v/>
      </c>
      <c r="AG152" s="1" t="str">
        <f>""</f>
        <v/>
      </c>
      <c r="AH152" s="1" t="str">
        <f>""</f>
        <v/>
      </c>
      <c r="AI152" s="1" t="str">
        <f>""</f>
        <v/>
      </c>
      <c r="AJ152" s="1" t="str">
        <f>""</f>
        <v/>
      </c>
      <c r="AK152" s="1" t="str">
        <f>""</f>
        <v/>
      </c>
    </row>
    <row r="153" spans="1:37" x14ac:dyDescent="0.2">
      <c r="A153" s="1">
        <v>183000</v>
      </c>
      <c r="B153" s="1">
        <v>952000353</v>
      </c>
      <c r="C153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153" s="1">
        <v>8848</v>
      </c>
      <c r="E153" s="1">
        <v>183000</v>
      </c>
      <c r="F153" s="1">
        <v>95</v>
      </c>
      <c r="G153" s="1">
        <v>0</v>
      </c>
      <c r="H153" s="1" t="str">
        <f>"95/12/07"</f>
        <v>95/12/07</v>
      </c>
      <c r="I153" s="1" t="str">
        <f t="shared" si="25"/>
        <v>كيلوگرم</v>
      </c>
      <c r="J153" s="1" t="str">
        <f t="shared" si="22"/>
        <v>0000000076</v>
      </c>
      <c r="K153" s="1" t="str">
        <f t="shared" si="23"/>
        <v>قير 60/70 - فله</v>
      </c>
      <c r="L153" s="1">
        <v>100</v>
      </c>
      <c r="M153" s="1" t="str">
        <f t="shared" si="26"/>
        <v>مخازن قير اصفهان</v>
      </c>
      <c r="N153" s="1">
        <v>9370</v>
      </c>
      <c r="O153" s="1">
        <v>50033873</v>
      </c>
      <c r="P153" s="1" t="str">
        <f>"  شهرداري درچه پياز"</f>
        <v xml:space="preserve">  شهرداري درچه پياز</v>
      </c>
      <c r="Q153" s="1">
        <v>20</v>
      </c>
      <c r="R153" s="1" t="str">
        <f>"فروش داخلي - سازمان شهرداري ها و دهياري هاي كشور"</f>
        <v>فروش داخلي - سازمان شهرداري ها و دهياري هاي كشور</v>
      </c>
      <c r="S153" s="1" t="str">
        <f t="shared" si="27"/>
        <v>قرارداد فروش</v>
      </c>
      <c r="T153" s="1" t="str">
        <f t="shared" si="28"/>
        <v>ندارد</v>
      </c>
      <c r="U153" s="1" t="str">
        <f>"ريسماني حسن(1007ج89)"</f>
        <v>ريسماني حسن(1007ج89)</v>
      </c>
      <c r="V153" s="1">
        <v>952000353</v>
      </c>
      <c r="W153" s="1">
        <v>952000353</v>
      </c>
      <c r="X153" s="1" t="str">
        <f>"1395467572"</f>
        <v>1395467572</v>
      </c>
      <c r="Y153" s="1" t="str">
        <f>"95/12/07"</f>
        <v>95/12/07</v>
      </c>
      <c r="Z153" s="1" t="str">
        <f>"27791"</f>
        <v>27791</v>
      </c>
      <c r="AA153" s="1" t="str">
        <f>"شهرداريها"</f>
        <v>شهرداريها</v>
      </c>
      <c r="AB153" s="1" t="str">
        <f>"95/06/10"</f>
        <v>95/06/10</v>
      </c>
      <c r="AC153" s="1" t="str">
        <f>"استان اصفهان"</f>
        <v>استان اصفهان</v>
      </c>
      <c r="AD153" s="1" t="str">
        <f>"95/12/07"</f>
        <v>95/12/07</v>
      </c>
      <c r="AE153" s="1" t="str">
        <f t="shared" si="30"/>
        <v>اختتام</v>
      </c>
      <c r="AF153" s="1" t="str">
        <f>""</f>
        <v/>
      </c>
      <c r="AG153" s="1" t="str">
        <f>""</f>
        <v/>
      </c>
      <c r="AH153" s="1" t="str">
        <f>""</f>
        <v/>
      </c>
      <c r="AI153" s="1" t="str">
        <f>""</f>
        <v/>
      </c>
      <c r="AJ153" s="1" t="str">
        <f>""</f>
        <v/>
      </c>
      <c r="AK153" s="1" t="str">
        <f>""</f>
        <v/>
      </c>
    </row>
    <row r="154" spans="1:37" x14ac:dyDescent="0.2">
      <c r="A154" s="1">
        <v>198000</v>
      </c>
      <c r="B154" s="1">
        <v>956200034</v>
      </c>
      <c r="C154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154" s="1">
        <v>5750</v>
      </c>
      <c r="E154" s="1">
        <v>198000</v>
      </c>
      <c r="F154" s="1">
        <v>95</v>
      </c>
      <c r="G154" s="1">
        <v>0</v>
      </c>
      <c r="H154" s="1" t="str">
        <f>"95/03/26"</f>
        <v>95/03/26</v>
      </c>
      <c r="I154" s="1" t="str">
        <f t="shared" si="25"/>
        <v>كيلوگرم</v>
      </c>
      <c r="J154" s="1" t="str">
        <f t="shared" si="22"/>
        <v>0000000076</v>
      </c>
      <c r="K154" s="1" t="str">
        <f t="shared" si="23"/>
        <v>قير 60/70 - فله</v>
      </c>
      <c r="L154" s="1">
        <v>100</v>
      </c>
      <c r="M154" s="1" t="str">
        <f t="shared" si="26"/>
        <v>مخازن قير اصفهان</v>
      </c>
      <c r="N154" s="1">
        <v>9416</v>
      </c>
      <c r="O154" s="1">
        <v>50031054</v>
      </c>
      <c r="P154" s="1" t="str">
        <f>"  راهسازي پوشش راه وحيد"</f>
        <v xml:space="preserve">  راهسازي پوشش راه وحيد</v>
      </c>
      <c r="Q154" s="1">
        <v>62</v>
      </c>
      <c r="R154" s="1" t="str">
        <f>"فروش داخلي - سازمان بنيادمسكن انقلاب اسلامي"</f>
        <v>فروش داخلي - سازمان بنيادمسكن انقلاب اسلامي</v>
      </c>
      <c r="S154" s="1" t="str">
        <f t="shared" si="27"/>
        <v>قرارداد فروش</v>
      </c>
      <c r="T154" s="1" t="str">
        <f t="shared" si="28"/>
        <v>ندارد</v>
      </c>
      <c r="U154" s="1" t="str">
        <f>"اسماعيلي پور امين (1013ج89)"</f>
        <v>اسماعيلي پور امين (1013ج89)</v>
      </c>
      <c r="V154" s="1">
        <v>956200034</v>
      </c>
      <c r="W154" s="1">
        <v>956200034</v>
      </c>
      <c r="X154" s="1" t="str">
        <f>"1395409797"</f>
        <v>1395409797</v>
      </c>
      <c r="Y154" s="1" t="str">
        <f>"95/03/26"</f>
        <v>95/03/26</v>
      </c>
      <c r="Z154" s="1" t="str">
        <f>"11764/د"</f>
        <v>11764/د</v>
      </c>
      <c r="AA154" s="1" t="str">
        <f>"بنيادمسكن انقلاب اسلامي"</f>
        <v>بنيادمسكن انقلاب اسلامي</v>
      </c>
      <c r="AB154" s="1" t="str">
        <f>"95/03/25"</f>
        <v>95/03/25</v>
      </c>
      <c r="AC154" s="1" t="str">
        <f>"استان يزد"</f>
        <v>استان يزد</v>
      </c>
      <c r="AD154" s="1" t="str">
        <f>"95/03/26"</f>
        <v>95/03/26</v>
      </c>
      <c r="AE154" s="1" t="str">
        <f t="shared" si="30"/>
        <v>اختتام</v>
      </c>
      <c r="AF154" s="1" t="str">
        <f>""</f>
        <v/>
      </c>
      <c r="AG154" s="1" t="str">
        <f>""</f>
        <v/>
      </c>
      <c r="AH154" s="1" t="str">
        <f>""</f>
        <v/>
      </c>
      <c r="AI154" s="1" t="str">
        <f>""</f>
        <v/>
      </c>
      <c r="AJ154" s="1" t="str">
        <f>""</f>
        <v/>
      </c>
      <c r="AK154" s="1" t="str">
        <f>""</f>
        <v/>
      </c>
    </row>
    <row r="155" spans="1:37" x14ac:dyDescent="0.2">
      <c r="A155" s="1">
        <v>100000</v>
      </c>
      <c r="B155" s="1">
        <v>951100058</v>
      </c>
      <c r="C155" s="1" t="str">
        <f>"تخليه - کاشان کيلومتر 17قمصر شركت بتن آسفالت مهر"</f>
        <v>تخليه - کاشان کيلومتر 17قمصر شركت بتن آسفالت مهر</v>
      </c>
      <c r="D155" s="1">
        <v>5750</v>
      </c>
      <c r="E155" s="1">
        <v>98540</v>
      </c>
      <c r="F155" s="1">
        <v>95</v>
      </c>
      <c r="G155" s="1">
        <v>1460</v>
      </c>
      <c r="H155" s="1" t="str">
        <f>"95/03/12"</f>
        <v>95/03/12</v>
      </c>
      <c r="I155" s="1" t="str">
        <f t="shared" si="25"/>
        <v>كيلوگرم</v>
      </c>
      <c r="J155" s="1" t="str">
        <f t="shared" si="22"/>
        <v>0000000076</v>
      </c>
      <c r="K155" s="1" t="str">
        <f t="shared" si="23"/>
        <v>قير 60/70 - فله</v>
      </c>
      <c r="L155" s="1">
        <v>100</v>
      </c>
      <c r="M155" s="1" t="str">
        <f t="shared" si="26"/>
        <v>مخازن قير اصفهان</v>
      </c>
      <c r="N155" s="1">
        <v>9268</v>
      </c>
      <c r="O155" s="1">
        <v>50030941</v>
      </c>
      <c r="P155" s="1" t="str">
        <f>"  بتن آسفالت مهر"</f>
        <v xml:space="preserve">  بتن آسفالت مهر</v>
      </c>
      <c r="Q155" s="1">
        <v>11</v>
      </c>
      <c r="R155" s="1" t="str">
        <f>"فروش داخلي تهران - بورس"</f>
        <v>فروش داخلي تهران - بورس</v>
      </c>
      <c r="S155" s="1" t="str">
        <f t="shared" si="27"/>
        <v>قرارداد فروش</v>
      </c>
      <c r="T155" s="1" t="str">
        <f t="shared" si="28"/>
        <v>ندارد</v>
      </c>
      <c r="U155" s="1" t="str">
        <f>"شهبازي محمدرضا(1029ج89)"</f>
        <v>شهبازي محمدرضا(1029ج89)</v>
      </c>
      <c r="V155" s="1">
        <v>951100058</v>
      </c>
      <c r="W155" s="1">
        <v>951100058</v>
      </c>
      <c r="X155" s="1" t="str">
        <f>"1395406471"</f>
        <v>1395406471</v>
      </c>
      <c r="Y155" s="1" t="str">
        <f>"95/03/11"</f>
        <v>95/03/11</v>
      </c>
      <c r="Z155" s="1" t="str">
        <f>"95-34451"</f>
        <v>95-34451</v>
      </c>
      <c r="AA155" s="1" t="str">
        <f>"راه سازي"</f>
        <v>راه سازي</v>
      </c>
      <c r="AB155" s="1" t="str">
        <f>"95/03/11"</f>
        <v>95/03/11</v>
      </c>
      <c r="AC155" s="1" t="str">
        <f>"استان اصفهان"</f>
        <v>استان اصفهان</v>
      </c>
      <c r="AD155" s="1" t="str">
        <f>"95/03/10"</f>
        <v>95/03/10</v>
      </c>
      <c r="AE155" s="1" t="str">
        <f t="shared" si="30"/>
        <v>اختتام</v>
      </c>
      <c r="AF155" s="1" t="str">
        <f>""</f>
        <v/>
      </c>
      <c r="AG155" s="1" t="str">
        <f>""</f>
        <v/>
      </c>
      <c r="AH155" s="1" t="str">
        <f>""</f>
        <v/>
      </c>
      <c r="AI155" s="1" t="str">
        <f>""</f>
        <v/>
      </c>
      <c r="AJ155" s="1" t="str">
        <f>""</f>
        <v/>
      </c>
      <c r="AK155" s="1" t="str">
        <f>""</f>
        <v/>
      </c>
    </row>
    <row r="156" spans="1:37" x14ac:dyDescent="0.2">
      <c r="A156" s="1">
        <v>100000</v>
      </c>
      <c r="B156" s="1">
        <v>951100157</v>
      </c>
      <c r="C156" s="1" t="str">
        <f>"تخليه - کاشان کيلومتر 17قمصر شركت بتن آسفالت مهر"</f>
        <v>تخليه - کاشان کيلومتر 17قمصر شركت بتن آسفالت مهر</v>
      </c>
      <c r="D156" s="1">
        <v>7026</v>
      </c>
      <c r="E156" s="1">
        <v>100000</v>
      </c>
      <c r="F156" s="1">
        <v>95</v>
      </c>
      <c r="G156" s="1">
        <v>0</v>
      </c>
      <c r="H156" s="1" t="str">
        <f>"95/09/21"</f>
        <v>95/09/21</v>
      </c>
      <c r="I156" s="1" t="str">
        <f t="shared" si="25"/>
        <v>كيلوگرم</v>
      </c>
      <c r="J156" s="1" t="str">
        <f t="shared" si="22"/>
        <v>0000000076</v>
      </c>
      <c r="K156" s="1" t="str">
        <f t="shared" si="23"/>
        <v>قير 60/70 - فله</v>
      </c>
      <c r="L156" s="1">
        <v>100</v>
      </c>
      <c r="M156" s="1" t="str">
        <f t="shared" si="26"/>
        <v>مخازن قير اصفهان</v>
      </c>
      <c r="N156" s="1">
        <v>9268</v>
      </c>
      <c r="O156" s="1">
        <v>50032977</v>
      </c>
      <c r="P156" s="1" t="str">
        <f>"  بتن آسفالت مهر"</f>
        <v xml:space="preserve">  بتن آسفالت مهر</v>
      </c>
      <c r="Q156" s="1">
        <v>11</v>
      </c>
      <c r="R156" s="1" t="str">
        <f>"فروش داخلي تهران - بورس"</f>
        <v>فروش داخلي تهران - بورس</v>
      </c>
      <c r="S156" s="1" t="str">
        <f t="shared" si="27"/>
        <v>قرارداد فروش</v>
      </c>
      <c r="T156" s="1" t="str">
        <f t="shared" si="28"/>
        <v>ندارد</v>
      </c>
      <c r="U156" s="1" t="str">
        <f>"شهبازي محمدرضا(1029ج89)"</f>
        <v>شهبازي محمدرضا(1029ج89)</v>
      </c>
      <c r="V156" s="1">
        <v>951100157</v>
      </c>
      <c r="W156" s="1">
        <v>951100157</v>
      </c>
      <c r="X156" s="1" t="str">
        <f>"1395449399"</f>
        <v>1395449399</v>
      </c>
      <c r="Y156" s="1" t="str">
        <f>"95/09/20"</f>
        <v>95/09/20</v>
      </c>
      <c r="Z156" s="1" t="str">
        <f>"95-34898"</f>
        <v>95-34898</v>
      </c>
      <c r="AA156" s="1" t="str">
        <f>"راه سازي"</f>
        <v>راه سازي</v>
      </c>
      <c r="AB156" s="1" t="str">
        <f>"95/09/20"</f>
        <v>95/09/20</v>
      </c>
      <c r="AC156" s="1" t="str">
        <f>"استان اصفهان"</f>
        <v>استان اصفهان</v>
      </c>
      <c r="AD156" s="1" t="str">
        <f>"95/09/15"</f>
        <v>95/09/15</v>
      </c>
      <c r="AE156" s="1" t="str">
        <f>"تاييدشده"</f>
        <v>تاييدشده</v>
      </c>
      <c r="AF156" s="1" t="str">
        <f>""</f>
        <v/>
      </c>
      <c r="AG156" s="1" t="str">
        <f>""</f>
        <v/>
      </c>
      <c r="AH156" s="1" t="str">
        <f>""</f>
        <v/>
      </c>
      <c r="AI156" s="1" t="str">
        <f>""</f>
        <v/>
      </c>
      <c r="AJ156" s="1" t="str">
        <f>""</f>
        <v/>
      </c>
      <c r="AK156" s="1" t="str">
        <f>""</f>
        <v/>
      </c>
    </row>
    <row r="157" spans="1:37" x14ac:dyDescent="0.2">
      <c r="A157" s="1">
        <v>100000</v>
      </c>
      <c r="B157" s="1">
        <v>951100180</v>
      </c>
      <c r="C157" s="1" t="str">
        <f>"تخليه - کاشان کيلومتر 17قمصر شركت بتن آسفالت مهر"</f>
        <v>تخليه - کاشان کيلومتر 17قمصر شركت بتن آسفالت مهر</v>
      </c>
      <c r="D157" s="1">
        <v>9361</v>
      </c>
      <c r="E157" s="1">
        <v>99400</v>
      </c>
      <c r="F157" s="1">
        <v>95</v>
      </c>
      <c r="G157" s="1">
        <v>600</v>
      </c>
      <c r="H157" s="1" t="str">
        <f>"95/11/16"</f>
        <v>95/11/16</v>
      </c>
      <c r="I157" s="1" t="str">
        <f t="shared" si="25"/>
        <v>كيلوگرم</v>
      </c>
      <c r="J157" s="1" t="str">
        <f t="shared" si="22"/>
        <v>0000000076</v>
      </c>
      <c r="K157" s="1" t="str">
        <f t="shared" si="23"/>
        <v>قير 60/70 - فله</v>
      </c>
      <c r="L157" s="1">
        <v>100</v>
      </c>
      <c r="M157" s="1" t="str">
        <f t="shared" si="26"/>
        <v>مخازن قير اصفهان</v>
      </c>
      <c r="N157" s="1">
        <v>9268</v>
      </c>
      <c r="O157" s="1">
        <v>50033584</v>
      </c>
      <c r="P157" s="1" t="str">
        <f>"  بتن آسفالت مهر"</f>
        <v xml:space="preserve">  بتن آسفالت مهر</v>
      </c>
      <c r="Q157" s="1">
        <v>11</v>
      </c>
      <c r="R157" s="1" t="str">
        <f>"فروش داخلي تهران - بورس"</f>
        <v>فروش داخلي تهران - بورس</v>
      </c>
      <c r="S157" s="1" t="str">
        <f t="shared" si="27"/>
        <v>قرارداد فروش</v>
      </c>
      <c r="T157" s="1" t="str">
        <f t="shared" si="28"/>
        <v>ندارد</v>
      </c>
      <c r="U157" s="1" t="str">
        <f>"شهبازي محمدرضا(1029ج89)"</f>
        <v>شهبازي محمدرضا(1029ج89)</v>
      </c>
      <c r="V157" s="1">
        <v>951100180</v>
      </c>
      <c r="W157" s="1">
        <v>951100180</v>
      </c>
      <c r="X157" s="1" t="str">
        <f>"1395461410"</f>
        <v>1395461410</v>
      </c>
      <c r="Y157" s="1" t="str">
        <f>"95/11/13"</f>
        <v>95/11/13</v>
      </c>
      <c r="Z157" s="1" t="str">
        <f>"95-35149"</f>
        <v>95-35149</v>
      </c>
      <c r="AA157" s="1" t="str">
        <f>"راه سازي"</f>
        <v>راه سازي</v>
      </c>
      <c r="AB157" s="1" t="str">
        <f>"95/11/13"</f>
        <v>95/11/13</v>
      </c>
      <c r="AC157" s="1" t="str">
        <f>"استان اصفهان"</f>
        <v>استان اصفهان</v>
      </c>
      <c r="AD157" s="1" t="str">
        <f>"95/11/09"</f>
        <v>95/11/09</v>
      </c>
      <c r="AE157" s="1" t="str">
        <f t="shared" ref="AE157:AE163" si="31">"اختتام"</f>
        <v>اختتام</v>
      </c>
      <c r="AF157" s="1" t="str">
        <f>""</f>
        <v/>
      </c>
      <c r="AG157" s="1" t="str">
        <f>""</f>
        <v/>
      </c>
      <c r="AH157" s="1" t="str">
        <f>""</f>
        <v/>
      </c>
      <c r="AI157" s="1" t="str">
        <f>""</f>
        <v/>
      </c>
      <c r="AJ157" s="1" t="str">
        <f>""</f>
        <v/>
      </c>
      <c r="AK157" s="1" t="str">
        <f>""</f>
        <v/>
      </c>
    </row>
    <row r="158" spans="1:37" x14ac:dyDescent="0.2">
      <c r="A158" s="1">
        <v>42000</v>
      </c>
      <c r="B158" s="1">
        <v>956200063</v>
      </c>
      <c r="C158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158" s="1">
        <v>6426</v>
      </c>
      <c r="E158" s="1">
        <v>41880</v>
      </c>
      <c r="F158" s="1">
        <v>95</v>
      </c>
      <c r="G158" s="1">
        <v>120</v>
      </c>
      <c r="H158" s="1" t="str">
        <f>"95/05/18"</f>
        <v>95/05/18</v>
      </c>
      <c r="I158" s="1" t="str">
        <f t="shared" si="25"/>
        <v>كيلوگرم</v>
      </c>
      <c r="J158" s="1" t="str">
        <f t="shared" si="22"/>
        <v>0000000076</v>
      </c>
      <c r="K158" s="1" t="str">
        <f t="shared" si="23"/>
        <v>قير 60/70 - فله</v>
      </c>
      <c r="L158" s="1">
        <v>100</v>
      </c>
      <c r="M158" s="1" t="str">
        <f t="shared" si="26"/>
        <v>مخازن قير اصفهان</v>
      </c>
      <c r="N158" s="1">
        <v>9416</v>
      </c>
      <c r="O158" s="1">
        <v>50031478</v>
      </c>
      <c r="P158" s="1" t="str">
        <f>"  راهسازي پوشش راه وحيد"</f>
        <v xml:space="preserve">  راهسازي پوشش راه وحيد</v>
      </c>
      <c r="Q158" s="1">
        <v>62</v>
      </c>
      <c r="R158" s="1" t="str">
        <f>"فروش داخلي - سازمان بنيادمسكن انقلاب اسلامي"</f>
        <v>فروش داخلي - سازمان بنيادمسكن انقلاب اسلامي</v>
      </c>
      <c r="S158" s="1" t="str">
        <f t="shared" si="27"/>
        <v>قرارداد فروش</v>
      </c>
      <c r="T158" s="1" t="str">
        <f t="shared" si="28"/>
        <v>ندارد</v>
      </c>
      <c r="U158" s="1" t="str">
        <f>"اسماعيلي پور امين (1013ج89)"</f>
        <v>اسماعيلي پور امين (1013ج89)</v>
      </c>
      <c r="V158" s="1">
        <v>956200063</v>
      </c>
      <c r="W158" s="1">
        <v>956200063</v>
      </c>
      <c r="X158" s="1" t="str">
        <f>"1395421995"</f>
        <v>1395421995</v>
      </c>
      <c r="Y158" s="1" t="str">
        <f>"95/05/18"</f>
        <v>95/05/18</v>
      </c>
      <c r="Z158" s="1" t="str">
        <f>"19920/د"</f>
        <v>19920/د</v>
      </c>
      <c r="AA158" s="1" t="str">
        <f>"بنيادمسكن انقلاب اسلامي"</f>
        <v>بنيادمسكن انقلاب اسلامي</v>
      </c>
      <c r="AB158" s="1" t="str">
        <f>"95/05/17"</f>
        <v>95/05/17</v>
      </c>
      <c r="AC158" s="1" t="str">
        <f>"استان يزد"</f>
        <v>استان يزد</v>
      </c>
      <c r="AD158" s="1" t="str">
        <f>"95/05/18"</f>
        <v>95/05/18</v>
      </c>
      <c r="AE158" s="1" t="str">
        <f t="shared" si="31"/>
        <v>اختتام</v>
      </c>
      <c r="AF158" s="1" t="str">
        <f>""</f>
        <v/>
      </c>
      <c r="AG158" s="1" t="str">
        <f>""</f>
        <v/>
      </c>
      <c r="AH158" s="1" t="str">
        <f>""</f>
        <v/>
      </c>
      <c r="AI158" s="1" t="str">
        <f>""</f>
        <v/>
      </c>
      <c r="AJ158" s="1" t="str">
        <f>""</f>
        <v/>
      </c>
      <c r="AK158" s="1" t="str">
        <f>""</f>
        <v/>
      </c>
    </row>
    <row r="159" spans="1:37" x14ac:dyDescent="0.2">
      <c r="A159" s="1">
        <v>30000</v>
      </c>
      <c r="B159" s="1">
        <v>956200064</v>
      </c>
      <c r="C159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159" s="1">
        <v>6426</v>
      </c>
      <c r="E159" s="1">
        <v>30000</v>
      </c>
      <c r="F159" s="1">
        <v>95</v>
      </c>
      <c r="G159" s="1">
        <v>0</v>
      </c>
      <c r="H159" s="1" t="str">
        <f>"95/05/18"</f>
        <v>95/05/18</v>
      </c>
      <c r="I159" s="1" t="str">
        <f t="shared" si="25"/>
        <v>كيلوگرم</v>
      </c>
      <c r="J159" s="1" t="str">
        <f t="shared" si="22"/>
        <v>0000000076</v>
      </c>
      <c r="K159" s="1" t="str">
        <f t="shared" si="23"/>
        <v>قير 60/70 - فله</v>
      </c>
      <c r="L159" s="1">
        <v>100</v>
      </c>
      <c r="M159" s="1" t="str">
        <f t="shared" si="26"/>
        <v>مخازن قير اصفهان</v>
      </c>
      <c r="N159" s="1">
        <v>9416</v>
      </c>
      <c r="O159" s="1">
        <v>50031479</v>
      </c>
      <c r="P159" s="1" t="str">
        <f>"  راهسازي پوشش راه وحيد"</f>
        <v xml:space="preserve">  راهسازي پوشش راه وحيد</v>
      </c>
      <c r="Q159" s="1">
        <v>62</v>
      </c>
      <c r="R159" s="1" t="str">
        <f>"فروش داخلي - سازمان بنيادمسكن انقلاب اسلامي"</f>
        <v>فروش داخلي - سازمان بنيادمسكن انقلاب اسلامي</v>
      </c>
      <c r="S159" s="1" t="str">
        <f t="shared" si="27"/>
        <v>قرارداد فروش</v>
      </c>
      <c r="T159" s="1" t="str">
        <f t="shared" si="28"/>
        <v>ندارد</v>
      </c>
      <c r="U159" s="1" t="str">
        <f>"اسماعيلي پور امين (1013ج89)"</f>
        <v>اسماعيلي پور امين (1013ج89)</v>
      </c>
      <c r="V159" s="1">
        <v>956200064</v>
      </c>
      <c r="W159" s="1">
        <v>956200064</v>
      </c>
      <c r="X159" s="1" t="str">
        <f>"1395421995"</f>
        <v>1395421995</v>
      </c>
      <c r="Y159" s="1" t="str">
        <f>"95/05/18"</f>
        <v>95/05/18</v>
      </c>
      <c r="Z159" s="1" t="str">
        <f>"19919/د"</f>
        <v>19919/د</v>
      </c>
      <c r="AA159" s="1" t="str">
        <f>"بنيادمسكن انقلاب اسلامي"</f>
        <v>بنيادمسكن انقلاب اسلامي</v>
      </c>
      <c r="AB159" s="1" t="str">
        <f>"95/05/17"</f>
        <v>95/05/17</v>
      </c>
      <c r="AC159" s="1" t="str">
        <f>"استان يزد"</f>
        <v>استان يزد</v>
      </c>
      <c r="AD159" s="1" t="str">
        <f>"95/05/18"</f>
        <v>95/05/18</v>
      </c>
      <c r="AE159" s="1" t="str">
        <f t="shared" si="31"/>
        <v>اختتام</v>
      </c>
      <c r="AF159" s="1" t="str">
        <f>""</f>
        <v/>
      </c>
      <c r="AG159" s="1" t="str">
        <f>""</f>
        <v/>
      </c>
      <c r="AH159" s="1" t="str">
        <f>""</f>
        <v/>
      </c>
      <c r="AI159" s="1" t="str">
        <f>""</f>
        <v/>
      </c>
      <c r="AJ159" s="1" t="str">
        <f>""</f>
        <v/>
      </c>
      <c r="AK159" s="1" t="str">
        <f>""</f>
        <v/>
      </c>
    </row>
    <row r="160" spans="1:37" x14ac:dyDescent="0.2">
      <c r="A160" s="1">
        <v>73000</v>
      </c>
      <c r="B160" s="1">
        <v>952000108</v>
      </c>
      <c r="C160" s="1" t="str">
        <f>"تخليه -اصفهان -فريدن -کارخانه آسفالت شهرداري دامنه"</f>
        <v>تخليه -اصفهان -فريدن -کارخانه آسفالت شهرداري دامنه</v>
      </c>
      <c r="D160" s="1">
        <v>6976</v>
      </c>
      <c r="E160" s="1">
        <v>72020</v>
      </c>
      <c r="F160" s="1">
        <v>95</v>
      </c>
      <c r="G160" s="1">
        <v>980</v>
      </c>
      <c r="H160" s="1" t="str">
        <f>"95/07/06"</f>
        <v>95/07/06</v>
      </c>
      <c r="I160" s="1" t="str">
        <f t="shared" si="25"/>
        <v>كيلوگرم</v>
      </c>
      <c r="J160" s="1" t="str">
        <f t="shared" si="22"/>
        <v>0000000076</v>
      </c>
      <c r="K160" s="1" t="str">
        <f t="shared" si="23"/>
        <v>قير 60/70 - فله</v>
      </c>
      <c r="L160" s="1">
        <v>100</v>
      </c>
      <c r="M160" s="1" t="str">
        <f t="shared" si="26"/>
        <v>مخازن قير اصفهان</v>
      </c>
      <c r="N160" s="1">
        <v>9308</v>
      </c>
      <c r="O160" s="1">
        <v>50031974</v>
      </c>
      <c r="P160" s="1" t="str">
        <f>"  شهرداري دامنه"</f>
        <v xml:space="preserve">  شهرداري دامنه</v>
      </c>
      <c r="Q160" s="1">
        <v>20</v>
      </c>
      <c r="R160" s="1" t="str">
        <f>"فروش داخلي - سازمان شهرداري ها و دهياري هاي كشور"</f>
        <v>فروش داخلي - سازمان شهرداري ها و دهياري هاي كشور</v>
      </c>
      <c r="S160" s="1" t="str">
        <f t="shared" si="27"/>
        <v>قرارداد فروش</v>
      </c>
      <c r="T160" s="1" t="str">
        <f t="shared" si="28"/>
        <v>ندارد</v>
      </c>
      <c r="U160" s="1" t="str">
        <f>"سيفي پور گودرز(1019ج89)"</f>
        <v>سيفي پور گودرز(1019ج89)</v>
      </c>
      <c r="V160" s="1">
        <v>952000108</v>
      </c>
      <c r="W160" s="1">
        <v>952000108</v>
      </c>
      <c r="X160" s="1" t="str">
        <f>"1395433645"</f>
        <v>1395433645</v>
      </c>
      <c r="Y160" s="1" t="str">
        <f>"95/07/06"</f>
        <v>95/07/06</v>
      </c>
      <c r="Z160" s="1" t="str">
        <f>"27846"</f>
        <v>27846</v>
      </c>
      <c r="AA160" s="1" t="str">
        <f>"شهرداريها"</f>
        <v>شهرداريها</v>
      </c>
      <c r="AB160" s="1" t="str">
        <f>"95/06/10"</f>
        <v>95/06/10</v>
      </c>
      <c r="AC160" s="1" t="str">
        <f t="shared" ref="AC160:AC166" si="32">"استان اصفهان"</f>
        <v>استان اصفهان</v>
      </c>
      <c r="AD160" s="1" t="str">
        <f>"95/07/04"</f>
        <v>95/07/04</v>
      </c>
      <c r="AE160" s="1" t="str">
        <f t="shared" si="31"/>
        <v>اختتام</v>
      </c>
      <c r="AF160" s="1" t="str">
        <f>""</f>
        <v/>
      </c>
      <c r="AG160" s="1" t="str">
        <f>""</f>
        <v/>
      </c>
      <c r="AH160" s="1" t="str">
        <f>""</f>
        <v/>
      </c>
      <c r="AI160" s="1" t="str">
        <f>""</f>
        <v/>
      </c>
      <c r="AJ160" s="1" t="str">
        <f>""</f>
        <v/>
      </c>
      <c r="AK160" s="1" t="str">
        <f>""</f>
        <v/>
      </c>
    </row>
    <row r="161" spans="1:37" x14ac:dyDescent="0.2">
      <c r="A161" s="1">
        <v>73000</v>
      </c>
      <c r="B161" s="1">
        <v>952000252</v>
      </c>
      <c r="C161" s="1" t="str">
        <f>"تخليه -اصفهان -فريدن -کارخانه آسفالت شهرداري دامنه"</f>
        <v>تخليه -اصفهان -فريدن -کارخانه آسفالت شهرداري دامنه</v>
      </c>
      <c r="D161" s="1">
        <v>7026</v>
      </c>
      <c r="E161" s="1">
        <v>71280</v>
      </c>
      <c r="F161" s="1">
        <v>95</v>
      </c>
      <c r="G161" s="1">
        <v>1720</v>
      </c>
      <c r="H161" s="1" t="str">
        <f>"95/09/07"</f>
        <v>95/09/07</v>
      </c>
      <c r="I161" s="1" t="str">
        <f t="shared" si="25"/>
        <v>كيلوگرم</v>
      </c>
      <c r="J161" s="1" t="str">
        <f t="shared" si="22"/>
        <v>0000000076</v>
      </c>
      <c r="K161" s="1" t="str">
        <f t="shared" si="23"/>
        <v>قير 60/70 - فله</v>
      </c>
      <c r="L161" s="1">
        <v>100</v>
      </c>
      <c r="M161" s="1" t="str">
        <f t="shared" si="26"/>
        <v>مخازن قير اصفهان</v>
      </c>
      <c r="N161" s="1">
        <v>9308</v>
      </c>
      <c r="O161" s="1">
        <v>50032720</v>
      </c>
      <c r="P161" s="1" t="str">
        <f>"  شهرداري دامنه"</f>
        <v xml:space="preserve">  شهرداري دامنه</v>
      </c>
      <c r="Q161" s="1">
        <v>20</v>
      </c>
      <c r="R161" s="1" t="str">
        <f>"فروش داخلي - سازمان شهرداري ها و دهياري هاي كشور"</f>
        <v>فروش داخلي - سازمان شهرداري ها و دهياري هاي كشور</v>
      </c>
      <c r="S161" s="1" t="str">
        <f t="shared" si="27"/>
        <v>قرارداد فروش</v>
      </c>
      <c r="T161" s="1" t="str">
        <f t="shared" si="28"/>
        <v>ندارد</v>
      </c>
      <c r="U161" s="1" t="str">
        <f>"سيفي پور گودرز(1019ج89)"</f>
        <v>سيفي پور گودرز(1019ج89)</v>
      </c>
      <c r="V161" s="1">
        <v>952000252</v>
      </c>
      <c r="W161" s="1">
        <v>952000252</v>
      </c>
      <c r="X161" s="1" t="str">
        <f>"1395447617"</f>
        <v>1395447617</v>
      </c>
      <c r="Y161" s="1" t="str">
        <f>"95/09/07"</f>
        <v>95/09/07</v>
      </c>
      <c r="Z161" s="1" t="str">
        <f>"42684"</f>
        <v>42684</v>
      </c>
      <c r="AA161" s="1" t="str">
        <f>"شهرداريها"</f>
        <v>شهرداريها</v>
      </c>
      <c r="AB161" s="1" t="str">
        <f>"95/08/29"</f>
        <v>95/08/29</v>
      </c>
      <c r="AC161" s="1" t="str">
        <f t="shared" si="32"/>
        <v>استان اصفهان</v>
      </c>
      <c r="AD161" s="1" t="str">
        <f>"95/09/06"</f>
        <v>95/09/06</v>
      </c>
      <c r="AE161" s="1" t="str">
        <f t="shared" si="31"/>
        <v>اختتام</v>
      </c>
      <c r="AF161" s="1" t="str">
        <f>""</f>
        <v/>
      </c>
      <c r="AG161" s="1" t="str">
        <f>""</f>
        <v/>
      </c>
      <c r="AH161" s="1" t="str">
        <f>""</f>
        <v/>
      </c>
      <c r="AI161" s="1" t="str">
        <f>""</f>
        <v/>
      </c>
      <c r="AJ161" s="1" t="str">
        <f>""</f>
        <v/>
      </c>
      <c r="AK161" s="1" t="str">
        <f>""</f>
        <v/>
      </c>
    </row>
    <row r="162" spans="1:37" x14ac:dyDescent="0.2">
      <c r="A162" s="1">
        <v>345000</v>
      </c>
      <c r="B162" s="1">
        <v>956200165</v>
      </c>
      <c r="C162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162" s="1">
        <v>8861</v>
      </c>
      <c r="E162" s="1">
        <v>344260</v>
      </c>
      <c r="F162" s="1">
        <v>95</v>
      </c>
      <c r="G162" s="1">
        <v>740</v>
      </c>
      <c r="H162" s="1" t="str">
        <f>"95/10/23"</f>
        <v>95/10/23</v>
      </c>
      <c r="I162" s="1" t="str">
        <f t="shared" si="25"/>
        <v>كيلوگرم</v>
      </c>
      <c r="J162" s="1" t="str">
        <f t="shared" si="22"/>
        <v>0000000076</v>
      </c>
      <c r="K162" s="1" t="str">
        <f t="shared" si="23"/>
        <v>قير 60/70 - فله</v>
      </c>
      <c r="L162" s="1">
        <v>100</v>
      </c>
      <c r="M162" s="1" t="str">
        <f t="shared" si="26"/>
        <v>مخازن قير اصفهان</v>
      </c>
      <c r="N162" s="1">
        <v>9043</v>
      </c>
      <c r="O162" s="1">
        <v>50033387</v>
      </c>
      <c r="P162" s="1" t="str">
        <f>"  مهندسي صنعت راه گلپايگان"</f>
        <v xml:space="preserve">  مهندسي صنعت راه گلپايگان</v>
      </c>
      <c r="Q162" s="1">
        <v>62</v>
      </c>
      <c r="R162" s="1" t="str">
        <f>"فروش داخلي - سازمان بنيادمسكن انقلاب اسلامي"</f>
        <v>فروش داخلي - سازمان بنيادمسكن انقلاب اسلامي</v>
      </c>
      <c r="S162" s="1" t="str">
        <f t="shared" si="27"/>
        <v>قرارداد فروش</v>
      </c>
      <c r="T162" s="1" t="str">
        <f t="shared" si="28"/>
        <v>ندارد</v>
      </c>
      <c r="U162" s="1" t="str">
        <f>"شهبازي محمدرضا(1029ج89)"</f>
        <v>شهبازي محمدرضا(1029ج89)</v>
      </c>
      <c r="V162" s="1">
        <v>956200165</v>
      </c>
      <c r="W162" s="1">
        <v>956200165</v>
      </c>
      <c r="X162" s="1" t="str">
        <f>"1395457937"</f>
        <v>1395457937</v>
      </c>
      <c r="Y162" s="1" t="str">
        <f>"95/10/23"</f>
        <v>95/10/23</v>
      </c>
      <c r="Z162" s="1" t="str">
        <f>"44849/د"</f>
        <v>44849/د</v>
      </c>
      <c r="AA162" s="1" t="str">
        <f>"بنيادمسكن انقلاب اسلامي"</f>
        <v>بنيادمسكن انقلاب اسلامي</v>
      </c>
      <c r="AB162" s="1" t="str">
        <f>"95/10/20"</f>
        <v>95/10/20</v>
      </c>
      <c r="AC162" s="1" t="str">
        <f t="shared" si="32"/>
        <v>استان اصفهان</v>
      </c>
      <c r="AD162" s="1" t="str">
        <f>"95/10/22"</f>
        <v>95/10/22</v>
      </c>
      <c r="AE162" s="1" t="str">
        <f t="shared" si="31"/>
        <v>اختتام</v>
      </c>
      <c r="AF162" s="1" t="str">
        <f>""</f>
        <v/>
      </c>
      <c r="AG162" s="1" t="str">
        <f>""</f>
        <v/>
      </c>
      <c r="AH162" s="1" t="str">
        <f>""</f>
        <v/>
      </c>
      <c r="AI162" s="1" t="str">
        <f>""</f>
        <v/>
      </c>
      <c r="AJ162" s="1" t="str">
        <f>""</f>
        <v/>
      </c>
      <c r="AK162" s="1" t="str">
        <f>""</f>
        <v/>
      </c>
    </row>
    <row r="163" spans="1:37" x14ac:dyDescent="0.2">
      <c r="A163" s="1">
        <v>70000</v>
      </c>
      <c r="B163" s="1">
        <v>952000275</v>
      </c>
      <c r="C163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163" s="1">
        <v>7026</v>
      </c>
      <c r="E163" s="1">
        <v>69340</v>
      </c>
      <c r="F163" s="1">
        <v>95</v>
      </c>
      <c r="G163" s="1">
        <v>660</v>
      </c>
      <c r="H163" s="1" t="str">
        <f>"95/09/09"</f>
        <v>95/09/09</v>
      </c>
      <c r="I163" s="1" t="str">
        <f t="shared" si="25"/>
        <v>كيلوگرم</v>
      </c>
      <c r="J163" s="1" t="str">
        <f t="shared" si="22"/>
        <v>0000000076</v>
      </c>
      <c r="K163" s="1" t="str">
        <f t="shared" si="23"/>
        <v>قير 60/70 - فله</v>
      </c>
      <c r="L163" s="1">
        <v>100</v>
      </c>
      <c r="M163" s="1" t="str">
        <f t="shared" si="26"/>
        <v>مخازن قير اصفهان</v>
      </c>
      <c r="N163" s="1">
        <v>9321</v>
      </c>
      <c r="O163" s="1">
        <v>50032750</v>
      </c>
      <c r="P163" s="1" t="str">
        <f>"  شهرداري خالدآباد"</f>
        <v xml:space="preserve">  شهرداري خالدآباد</v>
      </c>
      <c r="Q163" s="1">
        <v>20</v>
      </c>
      <c r="R163" s="1" t="str">
        <f>"فروش داخلي - سازمان شهرداري ها و دهياري هاي كشور"</f>
        <v>فروش داخلي - سازمان شهرداري ها و دهياري هاي كشور</v>
      </c>
      <c r="S163" s="1" t="str">
        <f t="shared" si="27"/>
        <v>قرارداد فروش</v>
      </c>
      <c r="T163" s="1" t="str">
        <f t="shared" si="28"/>
        <v>ندارد</v>
      </c>
      <c r="U163" s="1" t="str">
        <f>"معماريان سعيد(1004ج89)"</f>
        <v>معماريان سعيد(1004ج89)</v>
      </c>
      <c r="V163" s="1">
        <v>952000275</v>
      </c>
      <c r="W163" s="1">
        <v>952000275</v>
      </c>
      <c r="X163" s="1" t="str">
        <f>"1395447768"</f>
        <v>1395447768</v>
      </c>
      <c r="Y163" s="1" t="str">
        <f>"95/09/09"</f>
        <v>95/09/09</v>
      </c>
      <c r="Z163" s="1" t="str">
        <f>"43228"</f>
        <v>43228</v>
      </c>
      <c r="AA163" s="1" t="str">
        <f>"شهرداريها"</f>
        <v>شهرداريها</v>
      </c>
      <c r="AB163" s="1" t="str">
        <f>"95/09/01"</f>
        <v>95/09/01</v>
      </c>
      <c r="AC163" s="1" t="str">
        <f t="shared" si="32"/>
        <v>استان اصفهان</v>
      </c>
      <c r="AD163" s="1" t="str">
        <f>"95/09/07"</f>
        <v>95/09/07</v>
      </c>
      <c r="AE163" s="1" t="str">
        <f t="shared" si="31"/>
        <v>اختتام</v>
      </c>
      <c r="AF163" s="1" t="str">
        <f>""</f>
        <v/>
      </c>
      <c r="AG163" s="1" t="str">
        <f>""</f>
        <v/>
      </c>
      <c r="AH163" s="1" t="str">
        <f>""</f>
        <v/>
      </c>
      <c r="AI163" s="1" t="str">
        <f>""</f>
        <v/>
      </c>
      <c r="AJ163" s="1" t="str">
        <f>""</f>
        <v/>
      </c>
      <c r="AK163" s="1" t="str">
        <f>""</f>
        <v/>
      </c>
    </row>
    <row r="164" spans="1:37" x14ac:dyDescent="0.2">
      <c r="A164" s="1">
        <v>80000</v>
      </c>
      <c r="B164" s="1">
        <v>951100151</v>
      </c>
      <c r="C164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64" s="1">
        <v>7026</v>
      </c>
      <c r="E164" s="1">
        <v>80000</v>
      </c>
      <c r="F164" s="1">
        <v>95</v>
      </c>
      <c r="G164" s="1">
        <v>0</v>
      </c>
      <c r="H164" s="1" t="str">
        <f>"95/09/15"</f>
        <v>95/09/15</v>
      </c>
      <c r="I164" s="1" t="str">
        <f t="shared" si="25"/>
        <v>كيلوگرم</v>
      </c>
      <c r="J164" s="1" t="str">
        <f t="shared" si="22"/>
        <v>0000000076</v>
      </c>
      <c r="K164" s="1" t="str">
        <f t="shared" si="23"/>
        <v>قير 60/70 - فله</v>
      </c>
      <c r="L164" s="1">
        <v>100</v>
      </c>
      <c r="M164" s="1" t="str">
        <f t="shared" si="26"/>
        <v>مخازن قير اصفهان</v>
      </c>
      <c r="N164" s="1">
        <v>9345</v>
      </c>
      <c r="O164" s="1">
        <v>50032855</v>
      </c>
      <c r="P164" s="1" t="str">
        <f>"  ثمين راه صفاهان"</f>
        <v xml:space="preserve">  ثمين راه صفاهان</v>
      </c>
      <c r="Q164" s="1">
        <v>11</v>
      </c>
      <c r="R164" s="1" t="str">
        <f>"فروش داخلي تهران - بورس"</f>
        <v>فروش داخلي تهران - بورس</v>
      </c>
      <c r="S164" s="1" t="str">
        <f t="shared" si="27"/>
        <v>قرارداد فروش</v>
      </c>
      <c r="T164" s="1" t="str">
        <f t="shared" si="28"/>
        <v>ندارد</v>
      </c>
      <c r="U164" s="1" t="str">
        <f>"تعاوني جم گستر (1001 ج 89)"</f>
        <v>تعاوني جم گستر (1001 ج 89)</v>
      </c>
      <c r="V164" s="1">
        <v>951100151</v>
      </c>
      <c r="W164" s="1">
        <v>951100151</v>
      </c>
      <c r="X164" s="1" t="str">
        <f>"1395447766"</f>
        <v>1395447766</v>
      </c>
      <c r="Y164" s="1" t="str">
        <f>"95/09/14"</f>
        <v>95/09/14</v>
      </c>
      <c r="Z164" s="1" t="str">
        <f>"95-34869"</f>
        <v>95-34869</v>
      </c>
      <c r="AA164" s="1" t="str">
        <f>"راه سازي"</f>
        <v>راه سازي</v>
      </c>
      <c r="AB164" s="1" t="str">
        <f>"95/09/14"</f>
        <v>95/09/14</v>
      </c>
      <c r="AC164" s="1" t="str">
        <f t="shared" si="32"/>
        <v>استان اصفهان</v>
      </c>
      <c r="AD164" s="1" t="str">
        <f>"95/09/07"</f>
        <v>95/09/07</v>
      </c>
      <c r="AE164" s="1" t="str">
        <f>"تاييدشده"</f>
        <v>تاييدشده</v>
      </c>
      <c r="AF164" s="1" t="str">
        <f>""</f>
        <v/>
      </c>
      <c r="AG164" s="1" t="str">
        <f>""</f>
        <v/>
      </c>
      <c r="AH164" s="1" t="str">
        <f>""</f>
        <v/>
      </c>
      <c r="AI164" s="1" t="str">
        <f>""</f>
        <v/>
      </c>
      <c r="AJ164" s="1" t="str">
        <f>""</f>
        <v/>
      </c>
      <c r="AK164" s="1" t="str">
        <f>""</f>
        <v/>
      </c>
    </row>
    <row r="165" spans="1:37" x14ac:dyDescent="0.2">
      <c r="A165" s="1">
        <v>66000</v>
      </c>
      <c r="B165" s="1">
        <v>952000284</v>
      </c>
      <c r="C165" s="1" t="str">
        <f>"تخليه - پنج کيلومتري شهرانارک-شرکت فرد سازه سپاهان"</f>
        <v>تخليه - پنج کيلومتري شهرانارک-شرکت فرد سازه سپاهان</v>
      </c>
      <c r="D165" s="1">
        <v>7026</v>
      </c>
      <c r="E165" s="1">
        <v>64820</v>
      </c>
      <c r="F165" s="1">
        <v>95</v>
      </c>
      <c r="G165" s="1">
        <v>1180</v>
      </c>
      <c r="H165" s="1" t="str">
        <f>"95/09/09"</f>
        <v>95/09/09</v>
      </c>
      <c r="I165" s="1" t="str">
        <f t="shared" si="25"/>
        <v>كيلوگرم</v>
      </c>
      <c r="J165" s="1" t="str">
        <f t="shared" si="22"/>
        <v>0000000076</v>
      </c>
      <c r="K165" s="1" t="str">
        <f t="shared" si="23"/>
        <v>قير 60/70 - فله</v>
      </c>
      <c r="L165" s="1">
        <v>100</v>
      </c>
      <c r="M165" s="1" t="str">
        <f t="shared" si="26"/>
        <v>مخازن قير اصفهان</v>
      </c>
      <c r="N165" s="1">
        <v>9521</v>
      </c>
      <c r="O165" s="1">
        <v>50032764</v>
      </c>
      <c r="P165" s="1" t="str">
        <f>"  شهرداري انارك"</f>
        <v xml:space="preserve">  شهرداري انارك</v>
      </c>
      <c r="Q165" s="1">
        <v>20</v>
      </c>
      <c r="R165" s="1" t="str">
        <f>"فروش داخلي - سازمان شهرداري ها و دهياري هاي كشور"</f>
        <v>فروش داخلي - سازمان شهرداري ها و دهياري هاي كشور</v>
      </c>
      <c r="S165" s="1" t="str">
        <f t="shared" si="27"/>
        <v>قرارداد فروش</v>
      </c>
      <c r="T165" s="1" t="str">
        <f t="shared" si="28"/>
        <v>ندارد</v>
      </c>
      <c r="U165" s="1" t="str">
        <f>"علي عابدي ابوالقاسم(1003ج89)"</f>
        <v>علي عابدي ابوالقاسم(1003ج89)</v>
      </c>
      <c r="V165" s="1">
        <v>952000284</v>
      </c>
      <c r="W165" s="1">
        <v>952000284</v>
      </c>
      <c r="X165" s="1" t="str">
        <f>"1395447768"</f>
        <v>1395447768</v>
      </c>
      <c r="Y165" s="1" t="str">
        <f>"95/09/09"</f>
        <v>95/09/09</v>
      </c>
      <c r="Z165" s="1" t="str">
        <f>"43238"</f>
        <v>43238</v>
      </c>
      <c r="AA165" s="1" t="str">
        <f>"شهرداريها"</f>
        <v>شهرداريها</v>
      </c>
      <c r="AB165" s="1" t="str">
        <f>"95/09/01"</f>
        <v>95/09/01</v>
      </c>
      <c r="AC165" s="1" t="str">
        <f t="shared" si="32"/>
        <v>استان اصفهان</v>
      </c>
      <c r="AD165" s="1" t="str">
        <f>"95/09/07"</f>
        <v>95/09/07</v>
      </c>
      <c r="AE165" s="1" t="str">
        <f t="shared" ref="AE165:AE182" si="33">"اختتام"</f>
        <v>اختتام</v>
      </c>
      <c r="AF165" s="1" t="str">
        <f>""</f>
        <v/>
      </c>
      <c r="AG165" s="1" t="str">
        <f>""</f>
        <v/>
      </c>
      <c r="AH165" s="1" t="str">
        <f>""</f>
        <v/>
      </c>
      <c r="AI165" s="1" t="str">
        <f>""</f>
        <v/>
      </c>
      <c r="AJ165" s="1" t="str">
        <f>""</f>
        <v/>
      </c>
      <c r="AK165" s="1" t="str">
        <f>""</f>
        <v/>
      </c>
    </row>
    <row r="166" spans="1:37" x14ac:dyDescent="0.2">
      <c r="A166" s="1">
        <v>196000</v>
      </c>
      <c r="B166" s="1">
        <v>952000301</v>
      </c>
      <c r="C166" s="1" t="str">
        <f>"تخليه -اصفهان جاده سپاهان شهرك صنعتي اشترجان انتهاي خيابان 11شركت ماژين سازه چكاد"</f>
        <v>تخليه -اصفهان جاده سپاهان شهرك صنعتي اشترجان انتهاي خيابان 11شركت ماژين سازه چكاد</v>
      </c>
      <c r="D166" s="1">
        <v>7026</v>
      </c>
      <c r="E166" s="1">
        <v>194860</v>
      </c>
      <c r="F166" s="1">
        <v>95</v>
      </c>
      <c r="G166" s="1">
        <v>1140</v>
      </c>
      <c r="H166" s="1" t="str">
        <f>"95/09/11"</f>
        <v>95/09/11</v>
      </c>
      <c r="I166" s="1" t="str">
        <f t="shared" si="25"/>
        <v>كيلوگرم</v>
      </c>
      <c r="J166" s="1" t="str">
        <f t="shared" si="22"/>
        <v>0000000076</v>
      </c>
      <c r="K166" s="1" t="str">
        <f t="shared" si="23"/>
        <v>قير 60/70 - فله</v>
      </c>
      <c r="L166" s="1">
        <v>100</v>
      </c>
      <c r="M166" s="1" t="str">
        <f t="shared" si="26"/>
        <v>مخازن قير اصفهان</v>
      </c>
      <c r="N166" s="1">
        <v>9523</v>
      </c>
      <c r="O166" s="1">
        <v>50032785</v>
      </c>
      <c r="P166" s="1" t="str">
        <f>"  شهرداري فلاورجان"</f>
        <v xml:space="preserve">  شهرداري فلاورجان</v>
      </c>
      <c r="Q166" s="1">
        <v>20</v>
      </c>
      <c r="R166" s="1" t="str">
        <f>"فروش داخلي - سازمان شهرداري ها و دهياري هاي كشور"</f>
        <v>فروش داخلي - سازمان شهرداري ها و دهياري هاي كشور</v>
      </c>
      <c r="S166" s="1" t="str">
        <f t="shared" si="27"/>
        <v>قرارداد فروش</v>
      </c>
      <c r="T166" s="1" t="str">
        <f t="shared" si="28"/>
        <v>ندارد</v>
      </c>
      <c r="U166" s="1" t="str">
        <f>"سيفي پور عبدالمجيد(1009ج89)"</f>
        <v>سيفي پور عبدالمجيد(1009ج89)</v>
      </c>
      <c r="V166" s="1">
        <v>952000301</v>
      </c>
      <c r="W166" s="1">
        <v>952000301</v>
      </c>
      <c r="X166" s="1" t="str">
        <f>"1395447798"</f>
        <v>1395447798</v>
      </c>
      <c r="Y166" s="1" t="str">
        <f>"95/09/09"</f>
        <v>95/09/09</v>
      </c>
      <c r="Z166" s="1" t="str">
        <f>"43374"</f>
        <v>43374</v>
      </c>
      <c r="AA166" s="1" t="str">
        <f>"شهرداريها"</f>
        <v>شهرداريها</v>
      </c>
      <c r="AB166" s="1" t="str">
        <f>"95/09/02"</f>
        <v>95/09/02</v>
      </c>
      <c r="AC166" s="1" t="str">
        <f t="shared" si="32"/>
        <v>استان اصفهان</v>
      </c>
      <c r="AD166" s="1" t="str">
        <f>"95/09/07"</f>
        <v>95/09/07</v>
      </c>
      <c r="AE166" s="1" t="str">
        <f t="shared" si="33"/>
        <v>اختتام</v>
      </c>
      <c r="AF166" s="1" t="str">
        <f>""</f>
        <v/>
      </c>
      <c r="AG166" s="1" t="str">
        <f>""</f>
        <v/>
      </c>
      <c r="AH166" s="1" t="str">
        <f>""</f>
        <v/>
      </c>
      <c r="AI166" s="1" t="str">
        <f>""</f>
        <v/>
      </c>
      <c r="AJ166" s="1" t="str">
        <f>""</f>
        <v/>
      </c>
      <c r="AK166" s="1" t="str">
        <f>""</f>
        <v/>
      </c>
    </row>
    <row r="167" spans="1:37" x14ac:dyDescent="0.2">
      <c r="A167" s="1">
        <v>440000</v>
      </c>
      <c r="B167" s="1">
        <v>956200392</v>
      </c>
      <c r="C167" s="1" t="str">
        <f>"تخليه - کرمان-کيلومتر 27 جاده سيرجان بندرعباس-کارخانه آسفالت شرکت سيرجان بتن راه"</f>
        <v>تخليه - کرمان-کيلومتر 27 جاده سيرجان بندرعباس-کارخانه آسفالت شرکت سيرجان بتن راه</v>
      </c>
      <c r="D167" s="1">
        <v>8848</v>
      </c>
      <c r="E167" s="1">
        <v>438320</v>
      </c>
      <c r="F167" s="1">
        <v>95</v>
      </c>
      <c r="G167" s="1">
        <v>1680</v>
      </c>
      <c r="H167" s="1" t="str">
        <f>"95/12/25"</f>
        <v>95/12/25</v>
      </c>
      <c r="I167" s="1" t="str">
        <f t="shared" si="25"/>
        <v>كيلوگرم</v>
      </c>
      <c r="J167" s="1" t="str">
        <f t="shared" si="22"/>
        <v>0000000076</v>
      </c>
      <c r="K167" s="1" t="str">
        <f t="shared" si="23"/>
        <v>قير 60/70 - فله</v>
      </c>
      <c r="L167" s="1">
        <v>100</v>
      </c>
      <c r="M167" s="1" t="str">
        <f t="shared" si="26"/>
        <v>مخازن قير اصفهان</v>
      </c>
      <c r="N167" s="1">
        <v>9528</v>
      </c>
      <c r="O167" s="1">
        <v>50034213</v>
      </c>
      <c r="P167" s="1" t="str">
        <f>"  سيرجان بتن راه"</f>
        <v xml:space="preserve">  سيرجان بتن راه</v>
      </c>
      <c r="Q167" s="1">
        <v>62</v>
      </c>
      <c r="R167" s="1" t="str">
        <f>"فروش داخلي - سازمان بنيادمسكن انقلاب اسلامي"</f>
        <v>فروش داخلي - سازمان بنيادمسكن انقلاب اسلامي</v>
      </c>
      <c r="S167" s="1" t="str">
        <f t="shared" si="27"/>
        <v>قرارداد فروش</v>
      </c>
      <c r="T167" s="1" t="str">
        <f t="shared" si="28"/>
        <v>ندارد</v>
      </c>
      <c r="U167" s="1" t="str">
        <f>"پورباقري ترابر (4914036)"</f>
        <v>پورباقري ترابر (4914036)</v>
      </c>
      <c r="V167" s="1">
        <v>956200392</v>
      </c>
      <c r="W167" s="1">
        <v>956200392</v>
      </c>
      <c r="X167" s="1" t="str">
        <f>"1395470885"</f>
        <v>1395470885</v>
      </c>
      <c r="Y167" s="1" t="str">
        <f>"95/12/25"</f>
        <v>95/12/25</v>
      </c>
      <c r="Z167" s="1" t="str">
        <f>"56973/د"</f>
        <v>56973/د</v>
      </c>
      <c r="AA167" s="1" t="str">
        <f>"بنيادمسكن انقلاب اسلامي"</f>
        <v>بنيادمسكن انقلاب اسلامي</v>
      </c>
      <c r="AB167" s="1" t="str">
        <f>"95/12/22"</f>
        <v>95/12/22</v>
      </c>
      <c r="AC167" s="1" t="str">
        <f>"استان كرمان"</f>
        <v>استان كرمان</v>
      </c>
      <c r="AD167" s="1" t="str">
        <f>"95/12/23"</f>
        <v>95/12/23</v>
      </c>
      <c r="AE167" s="1" t="str">
        <f t="shared" si="33"/>
        <v>اختتام</v>
      </c>
      <c r="AF167" s="1" t="str">
        <f>""</f>
        <v/>
      </c>
      <c r="AG167" s="1" t="str">
        <f>""</f>
        <v/>
      </c>
      <c r="AH167" s="1" t="str">
        <f>""</f>
        <v/>
      </c>
      <c r="AI167" s="1" t="str">
        <f>""</f>
        <v/>
      </c>
      <c r="AJ167" s="1" t="str">
        <f>""</f>
        <v/>
      </c>
      <c r="AK167" s="1" t="str">
        <f>""</f>
        <v/>
      </c>
    </row>
    <row r="168" spans="1:37" x14ac:dyDescent="0.2">
      <c r="A168" s="1">
        <v>79000</v>
      </c>
      <c r="B168" s="1">
        <v>952000147</v>
      </c>
      <c r="C168" s="1" t="str">
        <f>"تخليه -يزد-ابركوه -كيلومتر10جاده شيراز-كارخانه آسفالت شهرداري ابركوه"</f>
        <v>تخليه -يزد-ابركوه -كيلومتر10جاده شيراز-كارخانه آسفالت شهرداري ابركوه</v>
      </c>
      <c r="D168" s="1">
        <v>6976</v>
      </c>
      <c r="E168" s="1">
        <v>78380</v>
      </c>
      <c r="F168" s="1">
        <v>95</v>
      </c>
      <c r="G168" s="1">
        <v>620</v>
      </c>
      <c r="H168" s="1" t="str">
        <f>"95/07/14"</f>
        <v>95/07/14</v>
      </c>
      <c r="I168" s="1" t="str">
        <f t="shared" si="25"/>
        <v>كيلوگرم</v>
      </c>
      <c r="J168" s="1" t="str">
        <f t="shared" si="22"/>
        <v>0000000076</v>
      </c>
      <c r="K168" s="1" t="str">
        <f t="shared" si="23"/>
        <v>قير 60/70 - فله</v>
      </c>
      <c r="L168" s="1">
        <v>100</v>
      </c>
      <c r="M168" s="1" t="str">
        <f t="shared" si="26"/>
        <v>مخازن قير اصفهان</v>
      </c>
      <c r="N168" s="1">
        <v>9512</v>
      </c>
      <c r="O168" s="1">
        <v>50032106</v>
      </c>
      <c r="P168" s="1" t="str">
        <f>"  شهرداري مهردشت"</f>
        <v xml:space="preserve">  شهرداري مهردشت</v>
      </c>
      <c r="Q168" s="1">
        <v>20</v>
      </c>
      <c r="R168" s="1" t="str">
        <f>"فروش داخلي - سازمان شهرداري ها و دهياري هاي كشور"</f>
        <v>فروش داخلي - سازمان شهرداري ها و دهياري هاي كشور</v>
      </c>
      <c r="S168" s="1" t="str">
        <f t="shared" si="27"/>
        <v>قرارداد فروش</v>
      </c>
      <c r="T168" s="1" t="str">
        <f t="shared" si="28"/>
        <v>ندارد</v>
      </c>
      <c r="U168" s="1" t="str">
        <f>"قانعي محمدرضا(1011ج89)"</f>
        <v>قانعي محمدرضا(1011ج89)</v>
      </c>
      <c r="V168" s="1">
        <v>952000147</v>
      </c>
      <c r="W168" s="1">
        <v>952000147</v>
      </c>
      <c r="X168" s="1" t="str">
        <f>"1395436486"</f>
        <v>1395436486</v>
      </c>
      <c r="Y168" s="1" t="str">
        <f>"95/07/14"</f>
        <v>95/07/14</v>
      </c>
      <c r="Z168" s="1" t="str">
        <f>"27917"</f>
        <v>27917</v>
      </c>
      <c r="AA168" s="1" t="str">
        <f>"شهرداريها"</f>
        <v>شهرداريها</v>
      </c>
      <c r="AB168" s="1" t="str">
        <f>"95/06/13"</f>
        <v>95/06/13</v>
      </c>
      <c r="AC168" s="1" t="str">
        <f>"استان يزد"</f>
        <v>استان يزد</v>
      </c>
      <c r="AD168" s="1" t="str">
        <f>"95/07/14"</f>
        <v>95/07/14</v>
      </c>
      <c r="AE168" s="1" t="str">
        <f t="shared" si="33"/>
        <v>اختتام</v>
      </c>
      <c r="AF168" s="1" t="str">
        <f>""</f>
        <v/>
      </c>
      <c r="AG168" s="1" t="str">
        <f>""</f>
        <v/>
      </c>
      <c r="AH168" s="1" t="str">
        <f>""</f>
        <v/>
      </c>
      <c r="AI168" s="1" t="str">
        <f>""</f>
        <v/>
      </c>
      <c r="AJ168" s="1" t="str">
        <f>""</f>
        <v/>
      </c>
      <c r="AK168" s="1" t="str">
        <f>""</f>
        <v/>
      </c>
    </row>
    <row r="169" spans="1:37" x14ac:dyDescent="0.2">
      <c r="A169" s="1">
        <v>70000</v>
      </c>
      <c r="B169" s="1">
        <v>951100145</v>
      </c>
      <c r="C169" s="1" t="str">
        <f>"تخليه شهرضا كيلومتر15 جاده سميرم شهرك صنعتي پا تله"</f>
        <v>تخليه شهرضا كيلومتر15 جاده سميرم شهرك صنعتي پا تله</v>
      </c>
      <c r="D169" s="1">
        <v>8973</v>
      </c>
      <c r="E169" s="1">
        <v>69140</v>
      </c>
      <c r="F169" s="1">
        <v>95</v>
      </c>
      <c r="G169" s="1">
        <v>860</v>
      </c>
      <c r="H169" s="1" t="str">
        <f>"95/08/23"</f>
        <v>95/08/23</v>
      </c>
      <c r="I169" s="1" t="str">
        <f t="shared" si="25"/>
        <v>كيلوگرم</v>
      </c>
      <c r="J169" s="1" t="str">
        <f t="shared" si="22"/>
        <v>0000000076</v>
      </c>
      <c r="K169" s="1" t="str">
        <f t="shared" si="23"/>
        <v>قير 60/70 - فله</v>
      </c>
      <c r="L169" s="1">
        <v>100</v>
      </c>
      <c r="M169" s="1" t="str">
        <f t="shared" si="26"/>
        <v>مخازن قير اصفهان</v>
      </c>
      <c r="N169" s="1">
        <v>7053</v>
      </c>
      <c r="O169" s="1">
        <v>50032592</v>
      </c>
      <c r="P169" s="1" t="str">
        <f>"  ايزوگام خوش بام گستر سپاهان"</f>
        <v xml:space="preserve">  ايزوگام خوش بام گستر سپاهان</v>
      </c>
      <c r="Q169" s="1">
        <v>11</v>
      </c>
      <c r="R169" s="1" t="str">
        <f>"فروش داخلي تهران - بورس"</f>
        <v>فروش داخلي تهران - بورس</v>
      </c>
      <c r="S169" s="1" t="str">
        <f t="shared" si="27"/>
        <v>قرارداد فروش</v>
      </c>
      <c r="T169" s="1" t="str">
        <f t="shared" si="28"/>
        <v>ندارد</v>
      </c>
      <c r="U169" s="1" t="str">
        <f>"علي عابدي ابوالقاسم(1003ج89)"</f>
        <v>علي عابدي ابوالقاسم(1003ج89)</v>
      </c>
      <c r="V169" s="1">
        <v>951100145</v>
      </c>
      <c r="W169" s="1">
        <v>951100145</v>
      </c>
      <c r="X169" s="1" t="str">
        <f>"1395443728"</f>
        <v>1395443728</v>
      </c>
      <c r="Y169" s="1" t="str">
        <f>"95/08/22"</f>
        <v>95/08/22</v>
      </c>
      <c r="Z169" s="1" t="str">
        <f>"95-34804"</f>
        <v>95-34804</v>
      </c>
      <c r="AA169" s="1" t="str">
        <f>"راه سازي"</f>
        <v>راه سازي</v>
      </c>
      <c r="AB169" s="1" t="str">
        <f>"95/08/22"</f>
        <v>95/08/22</v>
      </c>
      <c r="AC169" s="1" t="str">
        <f>"استان اصفهان"</f>
        <v>استان اصفهان</v>
      </c>
      <c r="AD169" s="1" t="str">
        <f>"95/08/17"</f>
        <v>95/08/17</v>
      </c>
      <c r="AE169" s="1" t="str">
        <f t="shared" si="33"/>
        <v>اختتام</v>
      </c>
      <c r="AF169" s="1" t="str">
        <f>""</f>
        <v/>
      </c>
      <c r="AG169" s="1" t="str">
        <f>""</f>
        <v/>
      </c>
      <c r="AH169" s="1" t="str">
        <f>""</f>
        <v/>
      </c>
      <c r="AI169" s="1" t="str">
        <f>""</f>
        <v/>
      </c>
      <c r="AJ169" s="1" t="str">
        <f>""</f>
        <v/>
      </c>
      <c r="AK169" s="1" t="str">
        <f>""</f>
        <v/>
      </c>
    </row>
    <row r="170" spans="1:37" x14ac:dyDescent="0.2">
      <c r="A170" s="1">
        <v>674000</v>
      </c>
      <c r="B170" s="1">
        <v>956300001</v>
      </c>
      <c r="C170" s="1" t="str">
        <f>"تخليه -كيلومتر15محوربيرجندزاهدان -بعدارايست بازرسي"</f>
        <v>تخليه -كيلومتر15محوربيرجندزاهدان -بعدارايست بازرسي</v>
      </c>
      <c r="D170" s="1">
        <v>7026</v>
      </c>
      <c r="E170" s="1">
        <v>673520</v>
      </c>
      <c r="F170" s="1">
        <v>95</v>
      </c>
      <c r="G170" s="1">
        <v>480</v>
      </c>
      <c r="H170" s="1" t="str">
        <f>"95/09/21"</f>
        <v>95/09/21</v>
      </c>
      <c r="I170" s="1" t="str">
        <f t="shared" si="25"/>
        <v>كيلوگرم</v>
      </c>
      <c r="J170" s="1" t="str">
        <f t="shared" si="22"/>
        <v>0000000076</v>
      </c>
      <c r="K170" s="1" t="str">
        <f t="shared" si="23"/>
        <v>قير 60/70 - فله</v>
      </c>
      <c r="L170" s="1">
        <v>100</v>
      </c>
      <c r="M170" s="1" t="str">
        <f t="shared" si="26"/>
        <v>مخازن قير اصفهان</v>
      </c>
      <c r="N170" s="1">
        <v>9573</v>
      </c>
      <c r="O170" s="1">
        <v>50032975</v>
      </c>
      <c r="P170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70" s="1">
        <v>63</v>
      </c>
      <c r="R170" s="1" t="str">
        <f>"سازمان نوسازي،توسعه و تجهيز مدارس كشور"</f>
        <v>سازمان نوسازي،توسعه و تجهيز مدارس كشور</v>
      </c>
      <c r="S170" s="1" t="str">
        <f t="shared" si="27"/>
        <v>قرارداد فروش</v>
      </c>
      <c r="T170" s="1" t="str">
        <f t="shared" si="28"/>
        <v>ندارد</v>
      </c>
      <c r="U170" s="1" t="str">
        <f>"بابامحمدي عنايت اله(4844000)"</f>
        <v>بابامحمدي عنايت اله(4844000)</v>
      </c>
      <c r="V170" s="1">
        <v>956300001</v>
      </c>
      <c r="W170" s="1">
        <v>956300001</v>
      </c>
      <c r="X170" s="1" t="str">
        <f>"1395451261"</f>
        <v>1395451261</v>
      </c>
      <c r="Y170" s="1" t="str">
        <f>"95/09/21"</f>
        <v>95/09/21</v>
      </c>
      <c r="Z170" s="1" t="str">
        <f>"3095/19-8659"</f>
        <v>3095/19-8659</v>
      </c>
      <c r="AA170" s="1" t="str">
        <f>"سازمان نوسازي توسعه وتجهيزمدارس كشور"</f>
        <v>سازمان نوسازي توسعه وتجهيزمدارس كشور</v>
      </c>
      <c r="AB170" s="1" t="str">
        <f>"95/09/04"</f>
        <v>95/09/04</v>
      </c>
      <c r="AC170" s="1" t="str">
        <f>"خراسان جنوبي"</f>
        <v>خراسان جنوبي</v>
      </c>
      <c r="AD170" s="1" t="str">
        <f>"95/09/21"</f>
        <v>95/09/21</v>
      </c>
      <c r="AE170" s="1" t="str">
        <f t="shared" si="33"/>
        <v>اختتام</v>
      </c>
      <c r="AF170" s="1" t="str">
        <f>""</f>
        <v/>
      </c>
      <c r="AG170" s="1" t="str">
        <f>""</f>
        <v/>
      </c>
      <c r="AH170" s="1" t="str">
        <f>""</f>
        <v/>
      </c>
      <c r="AI170" s="1" t="str">
        <f>""</f>
        <v/>
      </c>
      <c r="AJ170" s="1" t="str">
        <f>""</f>
        <v/>
      </c>
      <c r="AK170" s="1" t="str">
        <f>""</f>
        <v/>
      </c>
    </row>
    <row r="171" spans="1:37" x14ac:dyDescent="0.2">
      <c r="A171" s="1">
        <v>200000</v>
      </c>
      <c r="B171" s="1">
        <v>951100038</v>
      </c>
      <c r="C171" s="1" t="str">
        <f>"تخليه -اصفهان شهرك صنعتي مورچه خورت فاز 3 انتهاي خيابان پنجم"</f>
        <v>تخليه -اصفهان شهرك صنعتي مورچه خورت فاز 3 انتهاي خيابان پنجم</v>
      </c>
      <c r="D171" s="1">
        <v>5650</v>
      </c>
      <c r="E171" s="1">
        <v>197980</v>
      </c>
      <c r="F171" s="1">
        <v>95</v>
      </c>
      <c r="G171" s="1">
        <v>2020</v>
      </c>
      <c r="H171" s="1" t="str">
        <f>"95/02/15"</f>
        <v>95/02/15</v>
      </c>
      <c r="I171" s="1" t="str">
        <f t="shared" si="25"/>
        <v>كيلوگرم</v>
      </c>
      <c r="J171" s="1" t="str">
        <f t="shared" si="22"/>
        <v>0000000076</v>
      </c>
      <c r="K171" s="1" t="str">
        <f t="shared" si="23"/>
        <v>قير 60/70 - فله</v>
      </c>
      <c r="L171" s="1">
        <v>100</v>
      </c>
      <c r="M171" s="1" t="str">
        <f t="shared" si="26"/>
        <v>مخازن قير اصفهان</v>
      </c>
      <c r="N171" s="1">
        <v>7056</v>
      </c>
      <c r="O171" s="1">
        <v>50030761</v>
      </c>
      <c r="P171" s="1" t="str">
        <f>"  عايق بام سايبان"</f>
        <v xml:space="preserve">  عايق بام سايبان</v>
      </c>
      <c r="Q171" s="1">
        <v>11</v>
      </c>
      <c r="R171" s="1" t="str">
        <f>"فروش داخلي تهران - بورس"</f>
        <v>فروش داخلي تهران - بورس</v>
      </c>
      <c r="S171" s="1" t="str">
        <f t="shared" si="27"/>
        <v>قرارداد فروش</v>
      </c>
      <c r="T171" s="1" t="str">
        <f t="shared" si="28"/>
        <v>ندارد</v>
      </c>
      <c r="U171" s="1" t="str">
        <f>"اسماعيلي پور امين (1013ج89)"</f>
        <v>اسماعيلي پور امين (1013ج89)</v>
      </c>
      <c r="V171" s="1">
        <v>951100038</v>
      </c>
      <c r="W171" s="1">
        <v>951100038</v>
      </c>
      <c r="X171" s="1" t="str">
        <f>"1395401763"</f>
        <v>1395401763</v>
      </c>
      <c r="Y171" s="1" t="str">
        <f>"95/02/14"</f>
        <v>95/02/14</v>
      </c>
      <c r="Z171" s="1" t="str">
        <f>"95-34285"</f>
        <v>95-34285</v>
      </c>
      <c r="AA171" s="1" t="str">
        <f>"راه سازي"</f>
        <v>راه سازي</v>
      </c>
      <c r="AB171" s="1" t="str">
        <f>"95/02/11"</f>
        <v>95/02/11</v>
      </c>
      <c r="AC171" s="1" t="str">
        <f>"استان اصفهان"</f>
        <v>استان اصفهان</v>
      </c>
      <c r="AD171" s="1" t="str">
        <f>"95/02/08"</f>
        <v>95/02/08</v>
      </c>
      <c r="AE171" s="1" t="str">
        <f t="shared" si="33"/>
        <v>اختتام</v>
      </c>
      <c r="AF171" s="1" t="str">
        <f>""</f>
        <v/>
      </c>
      <c r="AG171" s="1" t="str">
        <f>""</f>
        <v/>
      </c>
      <c r="AH171" s="1" t="str">
        <f>""</f>
        <v/>
      </c>
      <c r="AI171" s="1" t="str">
        <f>""</f>
        <v/>
      </c>
      <c r="AJ171" s="1" t="str">
        <f>""</f>
        <v/>
      </c>
      <c r="AK171" s="1" t="str">
        <f>""</f>
        <v/>
      </c>
    </row>
    <row r="172" spans="1:37" x14ac:dyDescent="0.2">
      <c r="A172" s="1">
        <v>150000</v>
      </c>
      <c r="B172" s="1">
        <v>951100101</v>
      </c>
      <c r="C172" s="1" t="str">
        <f>"كيلومتر 12 محور بيرجند به زاهدان كارخانه‌آسفالت شهرداري"</f>
        <v>كيلومتر 12 محور بيرجند به زاهدان كارخانه‌آسفالت شهرداري</v>
      </c>
      <c r="D172" s="1">
        <v>6426</v>
      </c>
      <c r="E172" s="1">
        <v>147580</v>
      </c>
      <c r="F172" s="1">
        <v>95</v>
      </c>
      <c r="G172" s="1">
        <v>2420</v>
      </c>
      <c r="H172" s="1" t="str">
        <f>"95/05/19"</f>
        <v>95/05/19</v>
      </c>
      <c r="I172" s="1" t="str">
        <f t="shared" si="25"/>
        <v>كيلوگرم</v>
      </c>
      <c r="J172" s="1" t="str">
        <f t="shared" si="22"/>
        <v>0000000076</v>
      </c>
      <c r="K172" s="1" t="str">
        <f t="shared" si="23"/>
        <v>قير 60/70 - فله</v>
      </c>
      <c r="L172" s="1">
        <v>100</v>
      </c>
      <c r="M172" s="1" t="str">
        <f t="shared" si="26"/>
        <v>مخازن قير اصفهان</v>
      </c>
      <c r="N172" s="1">
        <v>9573</v>
      </c>
      <c r="O172" s="1">
        <v>50031486</v>
      </c>
      <c r="P172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72" s="1">
        <v>11</v>
      </c>
      <c r="R172" s="1" t="str">
        <f>"فروش داخلي تهران - بورس"</f>
        <v>فروش داخلي تهران - بورس</v>
      </c>
      <c r="S172" s="1" t="str">
        <f t="shared" si="27"/>
        <v>قرارداد فروش</v>
      </c>
      <c r="T172" s="1" t="str">
        <f t="shared" si="28"/>
        <v>ندارد</v>
      </c>
      <c r="U172" s="1" t="str">
        <f>"بابامحمدي عنايت اله(4844000)"</f>
        <v>بابامحمدي عنايت اله(4844000)</v>
      </c>
      <c r="V172" s="1">
        <v>951100101</v>
      </c>
      <c r="W172" s="1">
        <v>951100101</v>
      </c>
      <c r="X172" s="1" t="str">
        <f>"1395421501"</f>
        <v>1395421501</v>
      </c>
      <c r="Y172" s="1" t="str">
        <f>"95/05/18"</f>
        <v>95/05/18</v>
      </c>
      <c r="Z172" s="1" t="str">
        <f>"95-34544"</f>
        <v>95-34544</v>
      </c>
      <c r="AA172" s="1" t="str">
        <f t="shared" ref="AA172:AA182" si="34">"شهرداريها"</f>
        <v>شهرداريها</v>
      </c>
      <c r="AB172" s="1" t="str">
        <f>"95/05/18"</f>
        <v>95/05/18</v>
      </c>
      <c r="AC172" s="1" t="str">
        <f>"خراسان جنوبي"</f>
        <v>خراسان جنوبي</v>
      </c>
      <c r="AD172" s="1" t="str">
        <f>"95/05/16"</f>
        <v>95/05/16</v>
      </c>
      <c r="AE172" s="1" t="str">
        <f t="shared" si="33"/>
        <v>اختتام</v>
      </c>
      <c r="AF172" s="1" t="str">
        <f>""</f>
        <v/>
      </c>
      <c r="AG172" s="1" t="str">
        <f>""</f>
        <v/>
      </c>
      <c r="AH172" s="1" t="str">
        <f>""</f>
        <v/>
      </c>
      <c r="AI172" s="1" t="str">
        <f>""</f>
        <v/>
      </c>
      <c r="AJ172" s="1" t="str">
        <f>""</f>
        <v/>
      </c>
      <c r="AK172" s="1" t="str">
        <f>""</f>
        <v/>
      </c>
    </row>
    <row r="173" spans="1:37" x14ac:dyDescent="0.2">
      <c r="A173" s="1">
        <v>155000</v>
      </c>
      <c r="B173" s="1">
        <v>952000157</v>
      </c>
      <c r="C173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173" s="1">
        <v>6976</v>
      </c>
      <c r="E173" s="1">
        <v>154780</v>
      </c>
      <c r="F173" s="1">
        <v>95</v>
      </c>
      <c r="G173" s="1">
        <v>220</v>
      </c>
      <c r="H173" s="1" t="str">
        <f>"95/07/15"</f>
        <v>95/07/15</v>
      </c>
      <c r="I173" s="1" t="str">
        <f t="shared" si="25"/>
        <v>كيلوگرم</v>
      </c>
      <c r="J173" s="1" t="str">
        <f t="shared" si="22"/>
        <v>0000000076</v>
      </c>
      <c r="K173" s="1" t="str">
        <f t="shared" si="23"/>
        <v>قير 60/70 - فله</v>
      </c>
      <c r="L173" s="1">
        <v>100</v>
      </c>
      <c r="M173" s="1" t="str">
        <f t="shared" si="26"/>
        <v>مخازن قير اصفهان</v>
      </c>
      <c r="N173" s="1">
        <v>9600</v>
      </c>
      <c r="O173" s="1">
        <v>50032117</v>
      </c>
      <c r="P173" s="1" t="str">
        <f>"  شهرداري تفت"</f>
        <v xml:space="preserve">  شهرداري تفت</v>
      </c>
      <c r="Q173" s="1">
        <v>20</v>
      </c>
      <c r="R173" s="1" t="str">
        <f t="shared" ref="R173:R182" si="35">"فروش داخلي - سازمان شهرداري ها و دهياري هاي كشور"</f>
        <v>فروش داخلي - سازمان شهرداري ها و دهياري هاي كشور</v>
      </c>
      <c r="S173" s="1" t="str">
        <f t="shared" si="27"/>
        <v>قرارداد فروش</v>
      </c>
      <c r="T173" s="1" t="str">
        <f t="shared" si="28"/>
        <v>ندارد</v>
      </c>
      <c r="U173" s="1" t="str">
        <f>"قانعي محمدرضا(1011ج89)"</f>
        <v>قانعي محمدرضا(1011ج89)</v>
      </c>
      <c r="V173" s="1">
        <v>952000157</v>
      </c>
      <c r="W173" s="1">
        <v>952000157</v>
      </c>
      <c r="X173" s="1" t="str">
        <f>"1395436486"</f>
        <v>1395436486</v>
      </c>
      <c r="Y173" s="1" t="str">
        <f>"95/07/15"</f>
        <v>95/07/15</v>
      </c>
      <c r="Z173" s="1" t="str">
        <f>"27948"</f>
        <v>27948</v>
      </c>
      <c r="AA173" s="1" t="str">
        <f t="shared" si="34"/>
        <v>شهرداريها</v>
      </c>
      <c r="AB173" s="1" t="str">
        <f>"95/06/13"</f>
        <v>95/06/13</v>
      </c>
      <c r="AC173" s="1" t="str">
        <f>"استان يزد"</f>
        <v>استان يزد</v>
      </c>
      <c r="AD173" s="1" t="str">
        <f>"95/07/14"</f>
        <v>95/07/14</v>
      </c>
      <c r="AE173" s="1" t="str">
        <f t="shared" si="33"/>
        <v>اختتام</v>
      </c>
      <c r="AF173" s="1" t="str">
        <f>""</f>
        <v/>
      </c>
      <c r="AG173" s="1" t="str">
        <f>""</f>
        <v/>
      </c>
      <c r="AH173" s="1" t="str">
        <f>""</f>
        <v/>
      </c>
      <c r="AI173" s="1" t="str">
        <f>""</f>
        <v/>
      </c>
      <c r="AJ173" s="1" t="str">
        <f>""</f>
        <v/>
      </c>
      <c r="AK173" s="1" t="str">
        <f>""</f>
        <v/>
      </c>
    </row>
    <row r="174" spans="1:37" x14ac:dyDescent="0.2">
      <c r="A174" s="1">
        <v>120000</v>
      </c>
      <c r="B174" s="1">
        <v>952000300</v>
      </c>
      <c r="C174" s="1" t="str">
        <f>"تخليه اصفهان جاده بروجن مبركه جاده قاميشلوشركت تك شن"</f>
        <v>تخليه اصفهان جاده بروجن مبركه جاده قاميشلوشركت تك شن</v>
      </c>
      <c r="D174" s="1">
        <v>7026</v>
      </c>
      <c r="E174" s="1">
        <v>118860</v>
      </c>
      <c r="F174" s="1">
        <v>95</v>
      </c>
      <c r="G174" s="1">
        <v>1140</v>
      </c>
      <c r="H174" s="1" t="str">
        <f>"95/09/09"</f>
        <v>95/09/09</v>
      </c>
      <c r="I174" s="1" t="str">
        <f t="shared" si="25"/>
        <v>كيلوگرم</v>
      </c>
      <c r="J174" s="1" t="str">
        <f t="shared" si="22"/>
        <v>0000000076</v>
      </c>
      <c r="K174" s="1" t="str">
        <f t="shared" si="23"/>
        <v>قير 60/70 - فله</v>
      </c>
      <c r="L174" s="1">
        <v>100</v>
      </c>
      <c r="M174" s="1" t="str">
        <f t="shared" si="26"/>
        <v>مخازن قير اصفهان</v>
      </c>
      <c r="N174" s="1">
        <v>9601</v>
      </c>
      <c r="O174" s="1">
        <v>50032784</v>
      </c>
      <c r="P174" s="1" t="str">
        <f>"  شهرداري دهاقان"</f>
        <v xml:space="preserve">  شهرداري دهاقان</v>
      </c>
      <c r="Q174" s="1">
        <v>20</v>
      </c>
      <c r="R174" s="1" t="str">
        <f t="shared" si="35"/>
        <v>فروش داخلي - سازمان شهرداري ها و دهياري هاي كشور</v>
      </c>
      <c r="S174" s="1" t="str">
        <f t="shared" si="27"/>
        <v>قرارداد فروش</v>
      </c>
      <c r="T174" s="1" t="str">
        <f t="shared" si="28"/>
        <v>ندارد</v>
      </c>
      <c r="U174" s="1" t="str">
        <f>"قره باغي مجيد(1871065)"</f>
        <v>قره باغي مجيد(1871065)</v>
      </c>
      <c r="V174" s="1">
        <v>952000300</v>
      </c>
      <c r="W174" s="1">
        <v>952000300</v>
      </c>
      <c r="X174" s="1" t="str">
        <f>"1395447798"</f>
        <v>1395447798</v>
      </c>
      <c r="Y174" s="1" t="str">
        <f>"95/09/09"</f>
        <v>95/09/09</v>
      </c>
      <c r="Z174" s="1" t="str">
        <f>"43373"</f>
        <v>43373</v>
      </c>
      <c r="AA174" s="1" t="str">
        <f t="shared" si="34"/>
        <v>شهرداريها</v>
      </c>
      <c r="AB174" s="1" t="str">
        <f>"95/09/02"</f>
        <v>95/09/02</v>
      </c>
      <c r="AC174" s="1" t="str">
        <f>"استان اصفهان"</f>
        <v>استان اصفهان</v>
      </c>
      <c r="AD174" s="1" t="str">
        <f>"95/09/07"</f>
        <v>95/09/07</v>
      </c>
      <c r="AE174" s="1" t="str">
        <f t="shared" si="33"/>
        <v>اختتام</v>
      </c>
      <c r="AF174" s="1" t="str">
        <f>""</f>
        <v/>
      </c>
      <c r="AG174" s="1" t="str">
        <f>""</f>
        <v/>
      </c>
      <c r="AH174" s="1" t="str">
        <f>""</f>
        <v/>
      </c>
      <c r="AI174" s="1" t="str">
        <f>""</f>
        <v/>
      </c>
      <c r="AJ174" s="1" t="str">
        <f>""</f>
        <v/>
      </c>
      <c r="AK174" s="1" t="str">
        <f>""</f>
        <v/>
      </c>
    </row>
    <row r="175" spans="1:37" x14ac:dyDescent="0.2">
      <c r="A175" s="1">
        <v>114000</v>
      </c>
      <c r="B175" s="1">
        <v>952000125</v>
      </c>
      <c r="C175" s="1" t="str">
        <f>"شهرستان فلاورجان -شهرايمانشهر-روبروي پليس راه -ميدان شهداء"</f>
        <v>شهرستان فلاورجان -شهرايمانشهر-روبروي پليس راه -ميدان شهداء</v>
      </c>
      <c r="D175" s="1">
        <v>6976</v>
      </c>
      <c r="E175" s="1">
        <v>112700</v>
      </c>
      <c r="F175" s="1">
        <v>95</v>
      </c>
      <c r="G175" s="1">
        <v>1300</v>
      </c>
      <c r="H175" s="1" t="str">
        <f>"95/07/11"</f>
        <v>95/07/11</v>
      </c>
      <c r="I175" s="1" t="str">
        <f t="shared" si="25"/>
        <v>كيلوگرم</v>
      </c>
      <c r="J175" s="1" t="str">
        <f t="shared" si="22"/>
        <v>0000000076</v>
      </c>
      <c r="K175" s="1" t="str">
        <f t="shared" si="23"/>
        <v>قير 60/70 - فله</v>
      </c>
      <c r="L175" s="1">
        <v>100</v>
      </c>
      <c r="M175" s="1" t="str">
        <f t="shared" si="26"/>
        <v>مخازن قير اصفهان</v>
      </c>
      <c r="N175" s="1">
        <v>9456</v>
      </c>
      <c r="O175" s="1">
        <v>50032046</v>
      </c>
      <c r="P175" s="1" t="str">
        <f>"  شهرداري ايمانشهر"</f>
        <v xml:space="preserve">  شهرداري ايمانشهر</v>
      </c>
      <c r="Q175" s="1">
        <v>20</v>
      </c>
      <c r="R175" s="1" t="str">
        <f t="shared" si="35"/>
        <v>فروش داخلي - سازمان شهرداري ها و دهياري هاي كشور</v>
      </c>
      <c r="S175" s="1" t="str">
        <f t="shared" si="27"/>
        <v>قرارداد فروش</v>
      </c>
      <c r="T175" s="1" t="str">
        <f t="shared" si="28"/>
        <v>ندارد</v>
      </c>
      <c r="U175" s="1" t="str">
        <f>"سيفي پور عبدالمجيد(1009ج89)"</f>
        <v>سيفي پور عبدالمجيد(1009ج89)</v>
      </c>
      <c r="V175" s="1">
        <v>952000125</v>
      </c>
      <c r="W175" s="1">
        <v>952000125</v>
      </c>
      <c r="X175" s="1" t="str">
        <f>"1395435297"</f>
        <v>1395435297</v>
      </c>
      <c r="Y175" s="1" t="str">
        <f>"95/07/11"</f>
        <v>95/07/11</v>
      </c>
      <c r="Z175" s="1" t="str">
        <f>"27777"</f>
        <v>27777</v>
      </c>
      <c r="AA175" s="1" t="str">
        <f t="shared" si="34"/>
        <v>شهرداريها</v>
      </c>
      <c r="AB175" s="1" t="str">
        <f>"95/06/10"</f>
        <v>95/06/10</v>
      </c>
      <c r="AC175" s="1" t="str">
        <f>"استان اصفهان"</f>
        <v>استان اصفهان</v>
      </c>
      <c r="AD175" s="1" t="str">
        <f>"95/07/11"</f>
        <v>95/07/11</v>
      </c>
      <c r="AE175" s="1" t="str">
        <f t="shared" si="33"/>
        <v>اختتام</v>
      </c>
      <c r="AF175" s="1" t="str">
        <f>""</f>
        <v/>
      </c>
      <c r="AG175" s="1" t="str">
        <f>""</f>
        <v/>
      </c>
      <c r="AH175" s="1" t="str">
        <f>""</f>
        <v/>
      </c>
      <c r="AI175" s="1" t="str">
        <f>""</f>
        <v/>
      </c>
      <c r="AJ175" s="1" t="str">
        <f>""</f>
        <v/>
      </c>
      <c r="AK175" s="1" t="str">
        <f>""</f>
        <v/>
      </c>
    </row>
    <row r="176" spans="1:37" x14ac:dyDescent="0.2">
      <c r="A176" s="1">
        <v>63000</v>
      </c>
      <c r="B176" s="1">
        <v>952000158</v>
      </c>
      <c r="C176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176" s="1">
        <v>6976</v>
      </c>
      <c r="E176" s="1">
        <v>62640</v>
      </c>
      <c r="F176" s="1">
        <v>95</v>
      </c>
      <c r="G176" s="1">
        <v>360</v>
      </c>
      <c r="H176" s="1" t="str">
        <f>"95/07/17"</f>
        <v>95/07/17</v>
      </c>
      <c r="I176" s="1" t="str">
        <f t="shared" si="25"/>
        <v>كيلوگرم</v>
      </c>
      <c r="J176" s="1" t="str">
        <f t="shared" si="22"/>
        <v>0000000076</v>
      </c>
      <c r="K176" s="1" t="str">
        <f t="shared" si="23"/>
        <v>قير 60/70 - فله</v>
      </c>
      <c r="L176" s="1">
        <v>100</v>
      </c>
      <c r="M176" s="1" t="str">
        <f t="shared" si="26"/>
        <v>مخازن قير اصفهان</v>
      </c>
      <c r="N176" s="1">
        <v>9654</v>
      </c>
      <c r="O176" s="1">
        <v>50032127</v>
      </c>
      <c r="P176" s="1" t="str">
        <f>"  شهرداري خضرآباد"</f>
        <v xml:space="preserve">  شهرداري خضرآباد</v>
      </c>
      <c r="Q176" s="1">
        <v>20</v>
      </c>
      <c r="R176" s="1" t="str">
        <f t="shared" si="35"/>
        <v>فروش داخلي - سازمان شهرداري ها و دهياري هاي كشور</v>
      </c>
      <c r="S176" s="1" t="str">
        <f t="shared" si="27"/>
        <v>قرارداد فروش</v>
      </c>
      <c r="T176" s="1" t="str">
        <f t="shared" si="28"/>
        <v>ندارد</v>
      </c>
      <c r="U176" s="1" t="str">
        <f>"قانعي محمدرضا(1011ج89)"</f>
        <v>قانعي محمدرضا(1011ج89)</v>
      </c>
      <c r="V176" s="1">
        <v>952000158</v>
      </c>
      <c r="W176" s="1">
        <v>952000158</v>
      </c>
      <c r="X176" s="1" t="str">
        <f>"1395436741"</f>
        <v>1395436741</v>
      </c>
      <c r="Y176" s="1" t="str">
        <f>"95/07/17"</f>
        <v>95/07/17</v>
      </c>
      <c r="Z176" s="1" t="str">
        <f>"27958"</f>
        <v>27958</v>
      </c>
      <c r="AA176" s="1" t="str">
        <f t="shared" si="34"/>
        <v>شهرداريها</v>
      </c>
      <c r="AB176" s="1" t="str">
        <f>"95/06/13"</f>
        <v>95/06/13</v>
      </c>
      <c r="AC176" s="1" t="str">
        <f>"استان يزد"</f>
        <v>استان يزد</v>
      </c>
      <c r="AD176" s="1" t="str">
        <f>"95/07/17"</f>
        <v>95/07/17</v>
      </c>
      <c r="AE176" s="1" t="str">
        <f t="shared" si="33"/>
        <v>اختتام</v>
      </c>
      <c r="AF176" s="1" t="str">
        <f>""</f>
        <v/>
      </c>
      <c r="AG176" s="1" t="str">
        <f>""</f>
        <v/>
      </c>
      <c r="AH176" s="1" t="str">
        <f>""</f>
        <v/>
      </c>
      <c r="AI176" s="1" t="str">
        <f>""</f>
        <v/>
      </c>
      <c r="AJ176" s="1" t="str">
        <f>""</f>
        <v/>
      </c>
      <c r="AK176" s="1" t="str">
        <f>""</f>
        <v/>
      </c>
    </row>
    <row r="177" spans="1:37" x14ac:dyDescent="0.2">
      <c r="A177" s="1">
        <v>70000</v>
      </c>
      <c r="B177" s="1">
        <v>952000159</v>
      </c>
      <c r="C177" s="1" t="str">
        <f>"تخليه -يزد-چم -كارخانه آسفالت سازمان همياري"</f>
        <v>تخليه -يزد-چم -كارخانه آسفالت سازمان همياري</v>
      </c>
      <c r="D177" s="1">
        <v>6976</v>
      </c>
      <c r="E177" s="1">
        <v>68460</v>
      </c>
      <c r="F177" s="1">
        <v>95</v>
      </c>
      <c r="G177" s="1">
        <v>1540</v>
      </c>
      <c r="H177" s="1" t="str">
        <f>"95/07/17"</f>
        <v>95/07/17</v>
      </c>
      <c r="I177" s="1" t="str">
        <f t="shared" si="25"/>
        <v>كيلوگرم</v>
      </c>
      <c r="J177" s="1" t="str">
        <f t="shared" si="22"/>
        <v>0000000076</v>
      </c>
      <c r="K177" s="1" t="str">
        <f t="shared" si="23"/>
        <v>قير 60/70 - فله</v>
      </c>
      <c r="L177" s="1">
        <v>100</v>
      </c>
      <c r="M177" s="1" t="str">
        <f t="shared" si="26"/>
        <v>مخازن قير اصفهان</v>
      </c>
      <c r="N177" s="1">
        <v>9655</v>
      </c>
      <c r="O177" s="1">
        <v>50032131</v>
      </c>
      <c r="P177" s="1" t="str">
        <f>"  شهرداري نير"</f>
        <v xml:space="preserve">  شهرداري نير</v>
      </c>
      <c r="Q177" s="1">
        <v>20</v>
      </c>
      <c r="R177" s="1" t="str">
        <f t="shared" si="35"/>
        <v>فروش داخلي - سازمان شهرداري ها و دهياري هاي كشور</v>
      </c>
      <c r="S177" s="1" t="str">
        <f t="shared" si="27"/>
        <v>قرارداد فروش</v>
      </c>
      <c r="T177" s="1" t="str">
        <f t="shared" si="28"/>
        <v>ندارد</v>
      </c>
      <c r="U177" s="1" t="str">
        <f>"قانعي محمدرضا(1011ج89)"</f>
        <v>قانعي محمدرضا(1011ج89)</v>
      </c>
      <c r="V177" s="1">
        <v>952000159</v>
      </c>
      <c r="W177" s="1">
        <v>952000159</v>
      </c>
      <c r="X177" s="1" t="str">
        <f>"1395436741"</f>
        <v>1395436741</v>
      </c>
      <c r="Y177" s="1" t="str">
        <f>"95/07/17"</f>
        <v>95/07/17</v>
      </c>
      <c r="Z177" s="1" t="str">
        <f>"27918"</f>
        <v>27918</v>
      </c>
      <c r="AA177" s="1" t="str">
        <f t="shared" si="34"/>
        <v>شهرداريها</v>
      </c>
      <c r="AB177" s="1" t="str">
        <f>"95/06/13"</f>
        <v>95/06/13</v>
      </c>
      <c r="AC177" s="1" t="str">
        <f>"استان يزد"</f>
        <v>استان يزد</v>
      </c>
      <c r="AD177" s="1" t="str">
        <f>"95/07/17"</f>
        <v>95/07/17</v>
      </c>
      <c r="AE177" s="1" t="str">
        <f t="shared" si="33"/>
        <v>اختتام</v>
      </c>
      <c r="AF177" s="1" t="str">
        <f>""</f>
        <v/>
      </c>
      <c r="AG177" s="1" t="str">
        <f>""</f>
        <v/>
      </c>
      <c r="AH177" s="1" t="str">
        <f>""</f>
        <v/>
      </c>
      <c r="AI177" s="1" t="str">
        <f>""</f>
        <v/>
      </c>
      <c r="AJ177" s="1" t="str">
        <f>""</f>
        <v/>
      </c>
      <c r="AK177" s="1" t="str">
        <f>""</f>
        <v/>
      </c>
    </row>
    <row r="178" spans="1:37" x14ac:dyDescent="0.2">
      <c r="A178" s="1">
        <v>65000</v>
      </c>
      <c r="B178" s="1">
        <v>952000181</v>
      </c>
      <c r="C178" s="1" t="str">
        <f>"تخليه : قم -شهرجعفريه -جاده طغرودکارخانه آسفالت مهرگازران"</f>
        <v>تخليه : قم -شهرجعفريه -جاده طغرودکارخانه آسفالت مهرگازران</v>
      </c>
      <c r="D178" s="1">
        <v>8023</v>
      </c>
      <c r="E178" s="1">
        <v>64100</v>
      </c>
      <c r="F178" s="1">
        <v>95</v>
      </c>
      <c r="G178" s="1">
        <v>900</v>
      </c>
      <c r="H178" s="1" t="str">
        <f>"95/08/10"</f>
        <v>95/08/10</v>
      </c>
      <c r="I178" s="1" t="str">
        <f t="shared" si="25"/>
        <v>كيلوگرم</v>
      </c>
      <c r="J178" s="1" t="str">
        <f t="shared" si="22"/>
        <v>0000000076</v>
      </c>
      <c r="K178" s="1" t="str">
        <f t="shared" si="23"/>
        <v>قير 60/70 - فله</v>
      </c>
      <c r="L178" s="1">
        <v>100</v>
      </c>
      <c r="M178" s="1" t="str">
        <f t="shared" si="26"/>
        <v>مخازن قير اصفهان</v>
      </c>
      <c r="N178" s="1">
        <v>9508</v>
      </c>
      <c r="O178" s="1">
        <v>50032449</v>
      </c>
      <c r="P178" s="1" t="str">
        <f>"  شهرداري سلفچگان"</f>
        <v xml:space="preserve">  شهرداري سلفچگان</v>
      </c>
      <c r="Q178" s="1">
        <v>20</v>
      </c>
      <c r="R178" s="1" t="str">
        <f t="shared" si="35"/>
        <v>فروش داخلي - سازمان شهرداري ها و دهياري هاي كشور</v>
      </c>
      <c r="S178" s="1" t="str">
        <f t="shared" si="27"/>
        <v>قرارداد فروش</v>
      </c>
      <c r="T178" s="1" t="str">
        <f t="shared" si="28"/>
        <v>ندارد</v>
      </c>
      <c r="U178" s="1" t="str">
        <f>"اميري علي(2842011)"</f>
        <v>اميري علي(2842011)</v>
      </c>
      <c r="V178" s="1">
        <v>952000181</v>
      </c>
      <c r="W178" s="1">
        <v>952000181</v>
      </c>
      <c r="X178" s="1" t="str">
        <f>"1395441430"</f>
        <v>1395441430</v>
      </c>
      <c r="Y178" s="1" t="str">
        <f>"95/08/10"</f>
        <v>95/08/10</v>
      </c>
      <c r="Z178" s="1" t="str">
        <f>"34985"</f>
        <v>34985</v>
      </c>
      <c r="AA178" s="1" t="str">
        <f t="shared" si="34"/>
        <v>شهرداريها</v>
      </c>
      <c r="AB178" s="1" t="str">
        <f>"95/07/18"</f>
        <v>95/07/18</v>
      </c>
      <c r="AC178" s="1" t="str">
        <f>"قم"</f>
        <v>قم</v>
      </c>
      <c r="AD178" s="1" t="str">
        <f>"95/08/09"</f>
        <v>95/08/09</v>
      </c>
      <c r="AE178" s="1" t="str">
        <f t="shared" si="33"/>
        <v>اختتام</v>
      </c>
      <c r="AF178" s="1" t="str">
        <f>""</f>
        <v/>
      </c>
      <c r="AG178" s="1" t="str">
        <f>""</f>
        <v/>
      </c>
      <c r="AH178" s="1" t="str">
        <f>""</f>
        <v/>
      </c>
      <c r="AI178" s="1" t="str">
        <f>""</f>
        <v/>
      </c>
      <c r="AJ178" s="1" t="str">
        <f>""</f>
        <v/>
      </c>
      <c r="AK178" s="1" t="str">
        <f>""</f>
        <v/>
      </c>
    </row>
    <row r="179" spans="1:37" x14ac:dyDescent="0.2">
      <c r="A179" s="1">
        <v>156000</v>
      </c>
      <c r="B179" s="1">
        <v>952000262</v>
      </c>
      <c r="C179" s="1" t="str">
        <f>"تخليه -اصفهان منطقه صنعتي اشترجان -انتهاي خ 11شركت راه آژند"</f>
        <v>تخليه -اصفهان منطقه صنعتي اشترجان -انتهاي خ 11شركت راه آژند</v>
      </c>
      <c r="D179" s="1">
        <v>7026</v>
      </c>
      <c r="E179" s="1">
        <v>154820</v>
      </c>
      <c r="F179" s="1">
        <v>95</v>
      </c>
      <c r="G179" s="1">
        <v>1180</v>
      </c>
      <c r="H179" s="1" t="str">
        <f>"95/09/09"</f>
        <v>95/09/09</v>
      </c>
      <c r="I179" s="1" t="str">
        <f t="shared" si="25"/>
        <v>كيلوگرم</v>
      </c>
      <c r="J179" s="1" t="str">
        <f t="shared" si="22"/>
        <v>0000000076</v>
      </c>
      <c r="K179" s="1" t="str">
        <f t="shared" si="23"/>
        <v>قير 60/70 - فله</v>
      </c>
      <c r="L179" s="1">
        <v>100</v>
      </c>
      <c r="M179" s="1" t="str">
        <f t="shared" si="26"/>
        <v>مخازن قير اصفهان</v>
      </c>
      <c r="N179" s="1">
        <v>9532</v>
      </c>
      <c r="O179" s="1">
        <v>50032735</v>
      </c>
      <c r="P179" s="1" t="str">
        <f>"  شهرداري قهدريجان"</f>
        <v xml:space="preserve">  شهرداري قهدريجان</v>
      </c>
      <c r="Q179" s="1">
        <v>20</v>
      </c>
      <c r="R179" s="1" t="str">
        <f t="shared" si="35"/>
        <v>فروش داخلي - سازمان شهرداري ها و دهياري هاي كشور</v>
      </c>
      <c r="S179" s="1" t="str">
        <f t="shared" si="27"/>
        <v>قرارداد فروش</v>
      </c>
      <c r="T179" s="1" t="str">
        <f t="shared" si="28"/>
        <v>ندارد</v>
      </c>
      <c r="U179" s="1" t="str">
        <f>"سيفي پور عبدالمجيد(1009ج89)"</f>
        <v>سيفي پور عبدالمجيد(1009ج89)</v>
      </c>
      <c r="V179" s="1">
        <v>952000262</v>
      </c>
      <c r="W179" s="1">
        <v>952000262</v>
      </c>
      <c r="X179" s="1" t="str">
        <f>"1395447768"</f>
        <v>1395447768</v>
      </c>
      <c r="Y179" s="1" t="str">
        <f>"95/09/09"</f>
        <v>95/09/09</v>
      </c>
      <c r="Z179" s="1" t="str">
        <f>"43205"</f>
        <v>43205</v>
      </c>
      <c r="AA179" s="1" t="str">
        <f t="shared" si="34"/>
        <v>شهرداريها</v>
      </c>
      <c r="AB179" s="1" t="str">
        <f>"95/09/01"</f>
        <v>95/09/01</v>
      </c>
      <c r="AC179" s="1" t="str">
        <f>"استان اصفهان"</f>
        <v>استان اصفهان</v>
      </c>
      <c r="AD179" s="1" t="str">
        <f>"95/09/07"</f>
        <v>95/09/07</v>
      </c>
      <c r="AE179" s="1" t="str">
        <f t="shared" si="33"/>
        <v>اختتام</v>
      </c>
      <c r="AF179" s="1" t="str">
        <f>""</f>
        <v/>
      </c>
      <c r="AG179" s="1" t="str">
        <f>""</f>
        <v/>
      </c>
      <c r="AH179" s="1" t="str">
        <f>""</f>
        <v/>
      </c>
      <c r="AI179" s="1" t="str">
        <f>""</f>
        <v/>
      </c>
      <c r="AJ179" s="1" t="str">
        <f>""</f>
        <v/>
      </c>
      <c r="AK179" s="1" t="str">
        <f>""</f>
        <v/>
      </c>
    </row>
    <row r="180" spans="1:37" x14ac:dyDescent="0.2">
      <c r="A180" s="1">
        <v>100000</v>
      </c>
      <c r="B180" s="1">
        <v>952000085</v>
      </c>
      <c r="C180" s="1" t="str">
        <f>"تخليه - اصفهان - زرين شهر - کيلومتر 5 زرين شهر-شرکت زرين سپاهان"</f>
        <v>تخليه - اصفهان - زرين شهر - کيلومتر 5 زرين شهر-شرکت زرين سپاهان</v>
      </c>
      <c r="D180" s="1">
        <v>6876</v>
      </c>
      <c r="E180" s="1">
        <v>99480</v>
      </c>
      <c r="F180" s="1">
        <v>95</v>
      </c>
      <c r="G180" s="1">
        <v>520</v>
      </c>
      <c r="H180" s="1" t="str">
        <f>"95/06/23"</f>
        <v>95/06/23</v>
      </c>
      <c r="I180" s="1" t="str">
        <f t="shared" si="25"/>
        <v>كيلوگرم</v>
      </c>
      <c r="J180" s="1" t="str">
        <f t="shared" ref="J180:J243" si="36">"0000000076"</f>
        <v>0000000076</v>
      </c>
      <c r="K180" s="1" t="str">
        <f t="shared" ref="K180:K243" si="37">"قير 60/70 - فله"</f>
        <v>قير 60/70 - فله</v>
      </c>
      <c r="L180" s="1">
        <v>100</v>
      </c>
      <c r="M180" s="1" t="str">
        <f t="shared" si="26"/>
        <v>مخازن قير اصفهان</v>
      </c>
      <c r="N180" s="1">
        <v>9536</v>
      </c>
      <c r="O180" s="1">
        <v>50031850</v>
      </c>
      <c r="P180" s="1" t="str">
        <f>"  شهرداري بهاران"</f>
        <v xml:space="preserve">  شهرداري بهاران</v>
      </c>
      <c r="Q180" s="1">
        <v>20</v>
      </c>
      <c r="R180" s="1" t="str">
        <f t="shared" si="35"/>
        <v>فروش داخلي - سازمان شهرداري ها و دهياري هاي كشور</v>
      </c>
      <c r="S180" s="1" t="str">
        <f t="shared" si="27"/>
        <v>قرارداد فروش</v>
      </c>
      <c r="T180" s="1" t="str">
        <f t="shared" si="28"/>
        <v>ندارد</v>
      </c>
      <c r="U180" s="1" t="str">
        <f>"مرادي نجاتعلي(1020ج89)"</f>
        <v>مرادي نجاتعلي(1020ج89)</v>
      </c>
      <c r="V180" s="1">
        <v>952000085</v>
      </c>
      <c r="W180" s="1">
        <v>952000085</v>
      </c>
      <c r="X180" s="1" t="str">
        <f>"1395430748"</f>
        <v>1395430748</v>
      </c>
      <c r="Y180" s="1" t="str">
        <f>"95/06/23"</f>
        <v>95/06/23</v>
      </c>
      <c r="Z180" s="1" t="str">
        <f>"25683"</f>
        <v>25683</v>
      </c>
      <c r="AA180" s="1" t="str">
        <f t="shared" si="34"/>
        <v>شهرداريها</v>
      </c>
      <c r="AB180" s="1" t="str">
        <f>"95/06/02"</f>
        <v>95/06/02</v>
      </c>
      <c r="AC180" s="1" t="str">
        <f>"استان اصفهان"</f>
        <v>استان اصفهان</v>
      </c>
      <c r="AD180" s="1" t="str">
        <f>"95/06/21"</f>
        <v>95/06/21</v>
      </c>
      <c r="AE180" s="1" t="str">
        <f t="shared" si="33"/>
        <v>اختتام</v>
      </c>
      <c r="AF180" s="1" t="str">
        <f>""</f>
        <v/>
      </c>
      <c r="AG180" s="1" t="str">
        <f>""</f>
        <v/>
      </c>
      <c r="AH180" s="1" t="str">
        <f>""</f>
        <v/>
      </c>
      <c r="AI180" s="1" t="str">
        <f>""</f>
        <v/>
      </c>
      <c r="AJ180" s="1" t="str">
        <f>""</f>
        <v/>
      </c>
      <c r="AK180" s="1" t="str">
        <f>""</f>
        <v/>
      </c>
    </row>
    <row r="181" spans="1:37" x14ac:dyDescent="0.2">
      <c r="A181" s="1">
        <v>105000</v>
      </c>
      <c r="B181" s="1">
        <v>952000298</v>
      </c>
      <c r="C181" s="1" t="str">
        <f>"تخليه -اصفهان -جاده سيمان سپاهان -منطقه صنعتي اشترجان -راه آژند"</f>
        <v>تخليه -اصفهان -جاده سيمان سپاهان -منطقه صنعتي اشترجان -راه آژند</v>
      </c>
      <c r="D181" s="1">
        <v>7026</v>
      </c>
      <c r="E181" s="1">
        <v>103400</v>
      </c>
      <c r="F181" s="1">
        <v>95</v>
      </c>
      <c r="G181" s="1">
        <v>1600</v>
      </c>
      <c r="H181" s="1" t="str">
        <f>"95/09/09"</f>
        <v>95/09/09</v>
      </c>
      <c r="I181" s="1" t="str">
        <f t="shared" si="25"/>
        <v>كيلوگرم</v>
      </c>
      <c r="J181" s="1" t="str">
        <f t="shared" si="36"/>
        <v>0000000076</v>
      </c>
      <c r="K181" s="1" t="str">
        <f t="shared" si="37"/>
        <v>قير 60/70 - فله</v>
      </c>
      <c r="L181" s="1">
        <v>100</v>
      </c>
      <c r="M181" s="1" t="str">
        <f t="shared" si="26"/>
        <v>مخازن قير اصفهان</v>
      </c>
      <c r="N181" s="1">
        <v>9537</v>
      </c>
      <c r="O181" s="1">
        <v>50032780</v>
      </c>
      <c r="P181" s="1" t="str">
        <f>"  شهرداري پيربكران"</f>
        <v xml:space="preserve">  شهرداري پيربكران</v>
      </c>
      <c r="Q181" s="1">
        <v>20</v>
      </c>
      <c r="R181" s="1" t="str">
        <f t="shared" si="35"/>
        <v>فروش داخلي - سازمان شهرداري ها و دهياري هاي كشور</v>
      </c>
      <c r="S181" s="1" t="str">
        <f t="shared" si="27"/>
        <v>قرارداد فروش</v>
      </c>
      <c r="T181" s="1" t="str">
        <f t="shared" si="28"/>
        <v>ندارد</v>
      </c>
      <c r="U181" s="1" t="str">
        <f>"سيفي پور عبدالمجيد(1009ج89)"</f>
        <v>سيفي پور عبدالمجيد(1009ج89)</v>
      </c>
      <c r="V181" s="1">
        <v>952000298</v>
      </c>
      <c r="W181" s="1">
        <v>952000298</v>
      </c>
      <c r="X181" s="1" t="str">
        <f>"1395447798"</f>
        <v>1395447798</v>
      </c>
      <c r="Y181" s="1" t="str">
        <f>"95/09/09"</f>
        <v>95/09/09</v>
      </c>
      <c r="Z181" s="1" t="str">
        <f>"43290"</f>
        <v>43290</v>
      </c>
      <c r="AA181" s="1" t="str">
        <f t="shared" si="34"/>
        <v>شهرداريها</v>
      </c>
      <c r="AB181" s="1" t="str">
        <f>"95/09/02"</f>
        <v>95/09/02</v>
      </c>
      <c r="AC181" s="1" t="str">
        <f>"استان اصفهان"</f>
        <v>استان اصفهان</v>
      </c>
      <c r="AD181" s="1" t="str">
        <f>"95/09/07"</f>
        <v>95/09/07</v>
      </c>
      <c r="AE181" s="1" t="str">
        <f t="shared" si="33"/>
        <v>اختتام</v>
      </c>
      <c r="AF181" s="1" t="str">
        <f>""</f>
        <v/>
      </c>
      <c r="AG181" s="1" t="str">
        <f>""</f>
        <v/>
      </c>
      <c r="AH181" s="1" t="str">
        <f>""</f>
        <v/>
      </c>
      <c r="AI181" s="1" t="str">
        <f>""</f>
        <v/>
      </c>
      <c r="AJ181" s="1" t="str">
        <f>""</f>
        <v/>
      </c>
      <c r="AK181" s="1" t="str">
        <f>""</f>
        <v/>
      </c>
    </row>
    <row r="182" spans="1:37" x14ac:dyDescent="0.2">
      <c r="A182" s="1">
        <v>106000</v>
      </c>
      <c r="B182" s="1">
        <v>952000163</v>
      </c>
      <c r="C182" s="1" t="str">
        <f>"تخليه -يزدكيلومتر20جاده يزدطبس شركت زاويه ساز"</f>
        <v>تخليه -يزدكيلومتر20جاده يزدطبس شركت زاويه ساز</v>
      </c>
      <c r="D182" s="1">
        <v>6976</v>
      </c>
      <c r="E182" s="1">
        <v>105240</v>
      </c>
      <c r="F182" s="1">
        <v>95</v>
      </c>
      <c r="G182" s="1">
        <v>760</v>
      </c>
      <c r="H182" s="1" t="str">
        <f>"95/07/18"</f>
        <v>95/07/18</v>
      </c>
      <c r="I182" s="1" t="str">
        <f t="shared" si="25"/>
        <v>كيلوگرم</v>
      </c>
      <c r="J182" s="1" t="str">
        <f t="shared" si="36"/>
        <v>0000000076</v>
      </c>
      <c r="K182" s="1" t="str">
        <f t="shared" si="37"/>
        <v>قير 60/70 - فله</v>
      </c>
      <c r="L182" s="1">
        <v>100</v>
      </c>
      <c r="M182" s="1" t="str">
        <f t="shared" si="26"/>
        <v>مخازن قير اصفهان</v>
      </c>
      <c r="N182" s="1">
        <v>9789</v>
      </c>
      <c r="O182" s="1">
        <v>50032160</v>
      </c>
      <c r="P182" s="1" t="str">
        <f>"  شهرداري زارچ"</f>
        <v xml:space="preserve">  شهرداري زارچ</v>
      </c>
      <c r="Q182" s="1">
        <v>20</v>
      </c>
      <c r="R182" s="1" t="str">
        <f t="shared" si="35"/>
        <v>فروش داخلي - سازمان شهرداري ها و دهياري هاي كشور</v>
      </c>
      <c r="S182" s="1" t="str">
        <f t="shared" si="27"/>
        <v>قرارداد فروش</v>
      </c>
      <c r="T182" s="1" t="str">
        <f t="shared" si="28"/>
        <v>ندارد</v>
      </c>
      <c r="U182" s="1" t="str">
        <f>"قانعي محمدرضا(1011ج89)"</f>
        <v>قانعي محمدرضا(1011ج89)</v>
      </c>
      <c r="V182" s="1">
        <v>952000163</v>
      </c>
      <c r="W182" s="1">
        <v>952000163</v>
      </c>
      <c r="X182" s="1" t="str">
        <f>"1395436852"</f>
        <v>1395436852</v>
      </c>
      <c r="Y182" s="1" t="str">
        <f>"95/07/18"</f>
        <v>95/07/18</v>
      </c>
      <c r="Z182" s="1" t="str">
        <f>"27959"</f>
        <v>27959</v>
      </c>
      <c r="AA182" s="1" t="str">
        <f t="shared" si="34"/>
        <v>شهرداريها</v>
      </c>
      <c r="AB182" s="1" t="str">
        <f>"95/06/13"</f>
        <v>95/06/13</v>
      </c>
      <c r="AC182" s="1" t="str">
        <f>"استان يزد"</f>
        <v>استان يزد</v>
      </c>
      <c r="AD182" s="1" t="str">
        <f>"95/07/18"</f>
        <v>95/07/18</v>
      </c>
      <c r="AE182" s="1" t="str">
        <f t="shared" si="33"/>
        <v>اختتام</v>
      </c>
      <c r="AF182" s="1" t="str">
        <f>""</f>
        <v/>
      </c>
      <c r="AG182" s="1" t="str">
        <f>""</f>
        <v/>
      </c>
      <c r="AH182" s="1" t="str">
        <f>""</f>
        <v/>
      </c>
      <c r="AI182" s="1" t="str">
        <f>""</f>
        <v/>
      </c>
      <c r="AJ182" s="1" t="str">
        <f>""</f>
        <v/>
      </c>
      <c r="AK182" s="1" t="str">
        <f>""</f>
        <v/>
      </c>
    </row>
    <row r="183" spans="1:37" x14ac:dyDescent="0.2">
      <c r="A183" s="1">
        <v>16000</v>
      </c>
      <c r="B183" s="1">
        <v>951100168</v>
      </c>
      <c r="C183" s="1" t="str">
        <f>"تخليه -اصفهان جاده دولت آباد خيابان اكباتان"</f>
        <v>تخليه -اصفهان جاده دولت آباد خيابان اكباتان</v>
      </c>
      <c r="D183" s="1">
        <v>8861</v>
      </c>
      <c r="E183" s="1">
        <v>16000</v>
      </c>
      <c r="F183" s="1">
        <v>95</v>
      </c>
      <c r="G183" s="1">
        <v>0</v>
      </c>
      <c r="H183" s="1" t="str">
        <f>"95/10/07"</f>
        <v>95/10/07</v>
      </c>
      <c r="I183" s="1" t="str">
        <f t="shared" si="25"/>
        <v>كيلوگرم</v>
      </c>
      <c r="J183" s="1" t="str">
        <f t="shared" si="36"/>
        <v>0000000076</v>
      </c>
      <c r="K183" s="1" t="str">
        <f t="shared" si="37"/>
        <v>قير 60/70 - فله</v>
      </c>
      <c r="L183" s="1">
        <v>100</v>
      </c>
      <c r="M183" s="1" t="str">
        <f t="shared" si="26"/>
        <v>مخازن قير اصفهان</v>
      </c>
      <c r="N183" s="1">
        <v>7078</v>
      </c>
      <c r="O183" s="1">
        <v>50033188</v>
      </c>
      <c r="P183" s="1" t="str">
        <f>"  آينده شيمي اصفهان"</f>
        <v xml:space="preserve">  آينده شيمي اصفهان</v>
      </c>
      <c r="Q183" s="1">
        <v>11</v>
      </c>
      <c r="R183" s="1" t="str">
        <f>"فروش داخلي تهران - بورس"</f>
        <v>فروش داخلي تهران - بورس</v>
      </c>
      <c r="S183" s="1" t="str">
        <f t="shared" si="27"/>
        <v>قرارداد فروش</v>
      </c>
      <c r="T183" s="1" t="str">
        <f t="shared" si="28"/>
        <v>ندارد</v>
      </c>
      <c r="U183" s="1" t="str">
        <f>"تعاوني جم گستر (1001 ج 89)"</f>
        <v>تعاوني جم گستر (1001 ج 89)</v>
      </c>
      <c r="V183" s="1">
        <v>951100168</v>
      </c>
      <c r="W183" s="1">
        <v>951100168</v>
      </c>
      <c r="X183" s="1" t="str">
        <f>"1395454582"</f>
        <v>1395454582</v>
      </c>
      <c r="Y183" s="1" t="str">
        <f>"95/10/07"</f>
        <v>95/10/07</v>
      </c>
      <c r="Z183" s="1" t="str">
        <f>"95/120"</f>
        <v>95/120</v>
      </c>
      <c r="AA183" s="1" t="str">
        <f>"عايق كاران"</f>
        <v>عايق كاران</v>
      </c>
      <c r="AB183" s="1" t="str">
        <f>"95/10/05"</f>
        <v>95/10/05</v>
      </c>
      <c r="AC183" s="1" t="str">
        <f>"استان اصفهان"</f>
        <v>استان اصفهان</v>
      </c>
      <c r="AD183" s="1" t="str">
        <f>"95/10/06"</f>
        <v>95/10/06</v>
      </c>
      <c r="AE183" s="1" t="str">
        <f>"تاييدشده"</f>
        <v>تاييدشده</v>
      </c>
      <c r="AF183" s="1" t="str">
        <f>""</f>
        <v/>
      </c>
      <c r="AG183" s="1" t="str">
        <f>""</f>
        <v/>
      </c>
      <c r="AH183" s="1" t="str">
        <f>""</f>
        <v/>
      </c>
      <c r="AI183" s="1" t="str">
        <f>""</f>
        <v/>
      </c>
      <c r="AJ183" s="1" t="str">
        <f>""</f>
        <v/>
      </c>
      <c r="AK183" s="1" t="str">
        <f>""</f>
        <v/>
      </c>
    </row>
    <row r="184" spans="1:37" x14ac:dyDescent="0.2">
      <c r="A184" s="1">
        <v>148000</v>
      </c>
      <c r="B184" s="1">
        <v>956200089</v>
      </c>
      <c r="C184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184" s="1">
        <v>6976</v>
      </c>
      <c r="E184" s="1">
        <v>147740</v>
      </c>
      <c r="F184" s="1">
        <v>95</v>
      </c>
      <c r="G184" s="1">
        <v>260</v>
      </c>
      <c r="H184" s="1" t="str">
        <f>"95/07/25"</f>
        <v>95/07/25</v>
      </c>
      <c r="I184" s="1" t="str">
        <f t="shared" si="25"/>
        <v>كيلوگرم</v>
      </c>
      <c r="J184" s="1" t="str">
        <f t="shared" si="36"/>
        <v>0000000076</v>
      </c>
      <c r="K184" s="1" t="str">
        <f t="shared" si="37"/>
        <v>قير 60/70 - فله</v>
      </c>
      <c r="L184" s="1">
        <v>100</v>
      </c>
      <c r="M184" s="1" t="str">
        <f t="shared" si="26"/>
        <v>مخازن قير اصفهان</v>
      </c>
      <c r="N184" s="1">
        <v>9296</v>
      </c>
      <c r="O184" s="1">
        <v>50032192</v>
      </c>
      <c r="P184" s="1" t="str">
        <f>"  ايلام راه بان"</f>
        <v xml:space="preserve">  ايلام راه بان</v>
      </c>
      <c r="Q184" s="1">
        <v>62</v>
      </c>
      <c r="R184" s="1" t="str">
        <f>"فروش داخلي - سازمان بنيادمسكن انقلاب اسلامي"</f>
        <v>فروش داخلي - سازمان بنيادمسكن انقلاب اسلامي</v>
      </c>
      <c r="S184" s="1" t="str">
        <f t="shared" si="27"/>
        <v>قرارداد فروش</v>
      </c>
      <c r="T184" s="1" t="str">
        <f t="shared" si="28"/>
        <v>ندارد</v>
      </c>
      <c r="U184" s="1" t="str">
        <f>"عظيمي محمد(2842015)"</f>
        <v>عظيمي محمد(2842015)</v>
      </c>
      <c r="V184" s="1">
        <v>956200089</v>
      </c>
      <c r="W184" s="1">
        <v>956200089</v>
      </c>
      <c r="X184" s="1" t="str">
        <f>"1395438129"</f>
        <v>1395438129</v>
      </c>
      <c r="Y184" s="1" t="str">
        <f>"95/07/25"</f>
        <v>95/07/25</v>
      </c>
      <c r="Z184" s="1" t="str">
        <f>"30270/د"</f>
        <v>30270/د</v>
      </c>
      <c r="AA184" s="1" t="str">
        <f>"بنيادمسكن انقلاب اسلامي"</f>
        <v>بنيادمسكن انقلاب اسلامي</v>
      </c>
      <c r="AB184" s="1" t="str">
        <f>"95/07/19"</f>
        <v>95/07/19</v>
      </c>
      <c r="AC184" s="1" t="str">
        <f>"استان ايلام"</f>
        <v>استان ايلام</v>
      </c>
      <c r="AD184" s="1" t="str">
        <f>"95/07/25"</f>
        <v>95/07/25</v>
      </c>
      <c r="AE184" s="1" t="str">
        <f>"اختتام"</f>
        <v>اختتام</v>
      </c>
      <c r="AF184" s="1" t="str">
        <f>""</f>
        <v/>
      </c>
      <c r="AG184" s="1" t="str">
        <f>""</f>
        <v/>
      </c>
      <c r="AH184" s="1" t="str">
        <f>""</f>
        <v/>
      </c>
      <c r="AI184" s="1" t="str">
        <f>""</f>
        <v/>
      </c>
      <c r="AJ184" s="1" t="str">
        <f>""</f>
        <v/>
      </c>
      <c r="AK184" s="1" t="str">
        <f>""</f>
        <v/>
      </c>
    </row>
    <row r="185" spans="1:37" x14ac:dyDescent="0.2">
      <c r="A185" s="1">
        <v>100000</v>
      </c>
      <c r="B185" s="1">
        <v>951100039</v>
      </c>
      <c r="C185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85" s="1">
        <v>5650</v>
      </c>
      <c r="E185" s="1">
        <v>100000</v>
      </c>
      <c r="F185" s="1">
        <v>95</v>
      </c>
      <c r="G185" s="1">
        <v>0</v>
      </c>
      <c r="H185" s="1" t="str">
        <f>"95/02/15"</f>
        <v>95/02/15</v>
      </c>
      <c r="I185" s="1" t="str">
        <f t="shared" si="25"/>
        <v>كيلوگرم</v>
      </c>
      <c r="J185" s="1" t="str">
        <f t="shared" si="36"/>
        <v>0000000076</v>
      </c>
      <c r="K185" s="1" t="str">
        <f t="shared" si="37"/>
        <v>قير 60/70 - فله</v>
      </c>
      <c r="L185" s="1">
        <v>100</v>
      </c>
      <c r="M185" s="1" t="str">
        <f t="shared" si="26"/>
        <v>مخازن قير اصفهان</v>
      </c>
      <c r="N185" s="1">
        <v>9938</v>
      </c>
      <c r="O185" s="1">
        <v>50030763</v>
      </c>
      <c r="P185" s="1" t="str">
        <f>"  سازمان عمران شهرداري زاهدان"</f>
        <v xml:space="preserve">  سازمان عمران شهرداري زاهدان</v>
      </c>
      <c r="Q185" s="1">
        <v>11</v>
      </c>
      <c r="R185" s="1" t="str">
        <f>"فروش داخلي تهران - بورس"</f>
        <v>فروش داخلي تهران - بورس</v>
      </c>
      <c r="S185" s="1" t="str">
        <f t="shared" si="27"/>
        <v>قرارداد فروش</v>
      </c>
      <c r="T185" s="1" t="str">
        <f t="shared" si="28"/>
        <v>ندارد</v>
      </c>
      <c r="U185" s="1" t="str">
        <f>"ميرحسيني سيناترابر سيدمحمد(4854031)"</f>
        <v>ميرحسيني سيناترابر سيدمحمد(4854031)</v>
      </c>
      <c r="V185" s="1">
        <v>951100039</v>
      </c>
      <c r="W185" s="1">
        <v>951100039</v>
      </c>
      <c r="X185" s="1" t="str">
        <f>"1395401941"</f>
        <v>1395401941</v>
      </c>
      <c r="Y185" s="1" t="str">
        <f>"95/02/15"</f>
        <v>95/02/15</v>
      </c>
      <c r="Z185" s="1" t="str">
        <f>"95-34316"</f>
        <v>95-34316</v>
      </c>
      <c r="AA185" s="1" t="str">
        <f t="shared" ref="AA185:AA191" si="38">"شهرداريها"</f>
        <v>شهرداريها</v>
      </c>
      <c r="AB185" s="1" t="str">
        <f>"95/02/14"</f>
        <v>95/02/14</v>
      </c>
      <c r="AC185" s="1" t="str">
        <f>"استان سيستان بلوچستان"</f>
        <v>استان سيستان بلوچستان</v>
      </c>
      <c r="AD185" s="1" t="str">
        <f>"95/02/11"</f>
        <v>95/02/11</v>
      </c>
      <c r="AE185" s="1" t="str">
        <f>"اختتام"</f>
        <v>اختتام</v>
      </c>
      <c r="AF185" s="1" t="str">
        <f>""</f>
        <v/>
      </c>
      <c r="AG185" s="1" t="str">
        <f>""</f>
        <v/>
      </c>
      <c r="AH185" s="1" t="str">
        <f>""</f>
        <v/>
      </c>
      <c r="AI185" s="1" t="str">
        <f>""</f>
        <v/>
      </c>
      <c r="AJ185" s="1" t="str">
        <f>""</f>
        <v/>
      </c>
      <c r="AK185" s="1" t="str">
        <f>""</f>
        <v/>
      </c>
    </row>
    <row r="186" spans="1:37" x14ac:dyDescent="0.2">
      <c r="A186" s="1">
        <v>300000</v>
      </c>
      <c r="B186" s="1">
        <v>951100069</v>
      </c>
      <c r="C186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86" s="1">
        <v>5750</v>
      </c>
      <c r="E186" s="1">
        <v>300000</v>
      </c>
      <c r="F186" s="1">
        <v>95</v>
      </c>
      <c r="G186" s="1">
        <v>0</v>
      </c>
      <c r="H186" s="1" t="str">
        <f>"95/03/25"</f>
        <v>95/03/25</v>
      </c>
      <c r="I186" s="1" t="str">
        <f t="shared" si="25"/>
        <v>كيلوگرم</v>
      </c>
      <c r="J186" s="1" t="str">
        <f t="shared" si="36"/>
        <v>0000000076</v>
      </c>
      <c r="K186" s="1" t="str">
        <f t="shared" si="37"/>
        <v>قير 60/70 - فله</v>
      </c>
      <c r="L186" s="1">
        <v>100</v>
      </c>
      <c r="M186" s="1" t="str">
        <f t="shared" si="26"/>
        <v>مخازن قير اصفهان</v>
      </c>
      <c r="N186" s="1">
        <v>9938</v>
      </c>
      <c r="O186" s="1">
        <v>50031034</v>
      </c>
      <c r="P186" s="1" t="str">
        <f>"  سازمان عمران شهرداري زاهدان"</f>
        <v xml:space="preserve">  سازمان عمران شهرداري زاهدان</v>
      </c>
      <c r="Q186" s="1">
        <v>11</v>
      </c>
      <c r="R186" s="1" t="str">
        <f>"فروش داخلي تهران - بورس"</f>
        <v>فروش داخلي تهران - بورس</v>
      </c>
      <c r="S186" s="1" t="str">
        <f t="shared" si="27"/>
        <v>قرارداد فروش</v>
      </c>
      <c r="T186" s="1" t="str">
        <f t="shared" si="28"/>
        <v>ندارد</v>
      </c>
      <c r="U186" s="1" t="str">
        <f>"ميرحسيني سيناترابر سيدمحمد(4854031)"</f>
        <v>ميرحسيني سيناترابر سيدمحمد(4854031)</v>
      </c>
      <c r="V186" s="1">
        <v>951100069</v>
      </c>
      <c r="W186" s="1">
        <v>951100069</v>
      </c>
      <c r="X186" s="1" t="str">
        <f>"1395408767"</f>
        <v>1395408767</v>
      </c>
      <c r="Y186" s="1" t="str">
        <f>"95/03/24"</f>
        <v>95/03/24</v>
      </c>
      <c r="Z186" s="1" t="str">
        <f>"95-34490"</f>
        <v>95-34490</v>
      </c>
      <c r="AA186" s="1" t="str">
        <f t="shared" si="38"/>
        <v>شهرداريها</v>
      </c>
      <c r="AB186" s="1" t="str">
        <f>"95/03/24"</f>
        <v>95/03/24</v>
      </c>
      <c r="AC186" s="1" t="str">
        <f>"استان سيستان بلوچستان"</f>
        <v>استان سيستان بلوچستان</v>
      </c>
      <c r="AD186" s="1" t="str">
        <f>"95/03/22"</f>
        <v>95/03/22</v>
      </c>
      <c r="AE186" s="1" t="str">
        <f>"اختتام"</f>
        <v>اختتام</v>
      </c>
      <c r="AF186" s="1" t="str">
        <f>""</f>
        <v/>
      </c>
      <c r="AG186" s="1" t="str">
        <f>""</f>
        <v/>
      </c>
      <c r="AH186" s="1" t="str">
        <f>""</f>
        <v/>
      </c>
      <c r="AI186" s="1" t="str">
        <f>""</f>
        <v/>
      </c>
      <c r="AJ186" s="1" t="str">
        <f>""</f>
        <v/>
      </c>
      <c r="AK186" s="1" t="str">
        <f>""</f>
        <v/>
      </c>
    </row>
    <row r="187" spans="1:37" x14ac:dyDescent="0.2">
      <c r="A187" s="1">
        <v>25000</v>
      </c>
      <c r="B187" s="1">
        <v>951100173</v>
      </c>
      <c r="C187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87" s="1">
        <v>8861</v>
      </c>
      <c r="E187" s="1">
        <v>25000</v>
      </c>
      <c r="F187" s="1">
        <v>95</v>
      </c>
      <c r="G187" s="1">
        <v>0</v>
      </c>
      <c r="H187" s="1" t="str">
        <f>"95/10/14"</f>
        <v>95/10/14</v>
      </c>
      <c r="I187" s="1" t="str">
        <f t="shared" si="25"/>
        <v>كيلوگرم</v>
      </c>
      <c r="J187" s="1" t="str">
        <f t="shared" si="36"/>
        <v>0000000076</v>
      </c>
      <c r="K187" s="1" t="str">
        <f t="shared" si="37"/>
        <v>قير 60/70 - فله</v>
      </c>
      <c r="L187" s="1">
        <v>100</v>
      </c>
      <c r="M187" s="1" t="str">
        <f t="shared" si="26"/>
        <v>مخازن قير اصفهان</v>
      </c>
      <c r="N187" s="1">
        <v>9938</v>
      </c>
      <c r="O187" s="1">
        <v>50033287</v>
      </c>
      <c r="P187" s="1" t="str">
        <f>"  سازمان عمران شهرداري زاهدان"</f>
        <v xml:space="preserve">  سازمان عمران شهرداري زاهدان</v>
      </c>
      <c r="Q187" s="1">
        <v>11</v>
      </c>
      <c r="R187" s="1" t="str">
        <f>"فروش داخلي تهران - بورس"</f>
        <v>فروش داخلي تهران - بورس</v>
      </c>
      <c r="S187" s="1" t="str">
        <f t="shared" si="27"/>
        <v>قرارداد فروش</v>
      </c>
      <c r="T187" s="1" t="str">
        <f t="shared" si="28"/>
        <v>ندارد</v>
      </c>
      <c r="U187" s="1" t="str">
        <f>"ميرحسيني سيناترابر سيدمحمد(4854031)"</f>
        <v>ميرحسيني سيناترابر سيدمحمد(4854031)</v>
      </c>
      <c r="V187" s="1">
        <v>951100173</v>
      </c>
      <c r="W187" s="1">
        <v>951100173</v>
      </c>
      <c r="X187" s="1" t="str">
        <f>"1395456105"</f>
        <v>1395456105</v>
      </c>
      <c r="Y187" s="1" t="str">
        <f>"95/10/13"</f>
        <v>95/10/13</v>
      </c>
      <c r="Z187" s="1" t="str">
        <f>"1395ع /س -4922"</f>
        <v>1395ع /س -4922</v>
      </c>
      <c r="AA187" s="1" t="str">
        <f t="shared" si="38"/>
        <v>شهرداريها</v>
      </c>
      <c r="AB187" s="1" t="str">
        <f>"95/10/09"</f>
        <v>95/10/09</v>
      </c>
      <c r="AC187" s="1" t="str">
        <f>"استان سيستان بلوچستان"</f>
        <v>استان سيستان بلوچستان</v>
      </c>
      <c r="AD187" s="1" t="str">
        <f>"95/10/11"</f>
        <v>95/10/11</v>
      </c>
      <c r="AE187" s="1" t="str">
        <f>"تاييدشده"</f>
        <v>تاييدشده</v>
      </c>
      <c r="AF187" s="1" t="str">
        <f>""</f>
        <v/>
      </c>
      <c r="AG187" s="1" t="str">
        <f>""</f>
        <v/>
      </c>
      <c r="AH187" s="1" t="str">
        <f>""</f>
        <v/>
      </c>
      <c r="AI187" s="1" t="str">
        <f>""</f>
        <v/>
      </c>
      <c r="AJ187" s="1" t="str">
        <f>""</f>
        <v/>
      </c>
      <c r="AK187" s="1" t="str">
        <f>""</f>
        <v/>
      </c>
    </row>
    <row r="188" spans="1:37" x14ac:dyDescent="0.2">
      <c r="A188" s="1">
        <v>149000</v>
      </c>
      <c r="B188" s="1">
        <v>951100177</v>
      </c>
      <c r="C188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88" s="1">
        <v>9361</v>
      </c>
      <c r="E188" s="1">
        <v>149000</v>
      </c>
      <c r="F188" s="1">
        <v>95</v>
      </c>
      <c r="G188" s="1">
        <v>0</v>
      </c>
      <c r="H188" s="1" t="str">
        <f>"95/11/10"</f>
        <v>95/11/10</v>
      </c>
      <c r="I188" s="1" t="str">
        <f t="shared" si="25"/>
        <v>كيلوگرم</v>
      </c>
      <c r="J188" s="1" t="str">
        <f t="shared" si="36"/>
        <v>0000000076</v>
      </c>
      <c r="K188" s="1" t="str">
        <f t="shared" si="37"/>
        <v>قير 60/70 - فله</v>
      </c>
      <c r="L188" s="1">
        <v>100</v>
      </c>
      <c r="M188" s="1" t="str">
        <f t="shared" si="26"/>
        <v>مخازن قير اصفهان</v>
      </c>
      <c r="N188" s="1">
        <v>9938</v>
      </c>
      <c r="O188" s="1">
        <v>50033558</v>
      </c>
      <c r="P188" s="1" t="str">
        <f>"  سازمان عمران شهرداري زاهدان"</f>
        <v xml:space="preserve">  سازمان عمران شهرداري زاهدان</v>
      </c>
      <c r="Q188" s="1">
        <v>11</v>
      </c>
      <c r="R188" s="1" t="str">
        <f>"فروش داخلي تهران - بورس"</f>
        <v>فروش داخلي تهران - بورس</v>
      </c>
      <c r="S188" s="1" t="str">
        <f t="shared" si="27"/>
        <v>قرارداد فروش</v>
      </c>
      <c r="T188" s="1" t="str">
        <f t="shared" si="28"/>
        <v>ندارد</v>
      </c>
      <c r="U188" s="1" t="str">
        <f>"ميرحسيني سيناترابر سيدمحمد(4854031)"</f>
        <v>ميرحسيني سيناترابر سيدمحمد(4854031)</v>
      </c>
      <c r="V188" s="1">
        <v>951100177</v>
      </c>
      <c r="W188" s="1">
        <v>951100177</v>
      </c>
      <c r="X188" s="1" t="str">
        <f>"1395461197"</f>
        <v>1395461197</v>
      </c>
      <c r="Y188" s="1" t="str">
        <f>"95/11/09"</f>
        <v>95/11/09</v>
      </c>
      <c r="Z188" s="1" t="str">
        <f>"95-35138"</f>
        <v>95-35138</v>
      </c>
      <c r="AA188" s="1" t="str">
        <f t="shared" si="38"/>
        <v>شهرداريها</v>
      </c>
      <c r="AB188" s="1" t="str">
        <f>"95/11/09"</f>
        <v>95/11/09</v>
      </c>
      <c r="AC188" s="1" t="str">
        <f>"استان سيستان بلوچستان"</f>
        <v>استان سيستان بلوچستان</v>
      </c>
      <c r="AD188" s="1" t="str">
        <f>"95/11/06"</f>
        <v>95/11/06</v>
      </c>
      <c r="AE188" s="1" t="str">
        <f>"تاييدشده"</f>
        <v>تاييدشده</v>
      </c>
      <c r="AF188" s="1" t="str">
        <f>""</f>
        <v/>
      </c>
      <c r="AG188" s="1" t="str">
        <f>""</f>
        <v/>
      </c>
      <c r="AH188" s="1" t="str">
        <f>""</f>
        <v/>
      </c>
      <c r="AI188" s="1" t="str">
        <f>""</f>
        <v/>
      </c>
      <c r="AJ188" s="1" t="str">
        <f>""</f>
        <v/>
      </c>
      <c r="AK188" s="1" t="str">
        <f>""</f>
        <v/>
      </c>
    </row>
    <row r="189" spans="1:37" x14ac:dyDescent="0.2">
      <c r="A189" s="1">
        <v>1677000</v>
      </c>
      <c r="B189" s="1">
        <v>951100146</v>
      </c>
      <c r="C189" s="1" t="str">
        <f>"تخليه -يزد15كيلومتري جاده خضرآبادكارخانه آسفالت سازمان عمران ونوسازي شهرداري يزد"</f>
        <v>تخليه -يزد15كيلومتري جاده خضرآبادكارخانه آسفالت سازمان عمران ونوسازي شهرداري يزد</v>
      </c>
      <c r="D189" s="1">
        <v>8023</v>
      </c>
      <c r="E189" s="1">
        <v>1672840</v>
      </c>
      <c r="F189" s="1">
        <v>95</v>
      </c>
      <c r="G189" s="1">
        <v>4160</v>
      </c>
      <c r="H189" s="1" t="str">
        <f>"95/08/29"</f>
        <v>95/08/29</v>
      </c>
      <c r="I189" s="1" t="str">
        <f t="shared" si="25"/>
        <v>كيلوگرم</v>
      </c>
      <c r="J189" s="1" t="str">
        <f t="shared" si="36"/>
        <v>0000000076</v>
      </c>
      <c r="K189" s="1" t="str">
        <f t="shared" si="37"/>
        <v>قير 60/70 - فله</v>
      </c>
      <c r="L189" s="1">
        <v>100</v>
      </c>
      <c r="M189" s="1" t="str">
        <f t="shared" si="26"/>
        <v>مخازن قير اصفهان</v>
      </c>
      <c r="N189" s="1">
        <v>10012</v>
      </c>
      <c r="O189" s="1">
        <v>50032639</v>
      </c>
      <c r="P189" s="1" t="str">
        <f>"  شهرداري يزد"</f>
        <v xml:space="preserve">  شهرداري يزد</v>
      </c>
      <c r="Q189" s="1">
        <v>11</v>
      </c>
      <c r="R189" s="1" t="str">
        <f>"فروش داخلي تهران - بورس"</f>
        <v>فروش داخلي تهران - بورس</v>
      </c>
      <c r="S189" s="1" t="str">
        <f t="shared" si="27"/>
        <v>قرارداد فروش</v>
      </c>
      <c r="T189" s="1" t="str">
        <f t="shared" si="28"/>
        <v>ندارد</v>
      </c>
      <c r="U189" s="1" t="str">
        <f>"غلام نجفي سيامك‌‌‌‌‌‌(1881082)"</f>
        <v>غلام نجفي سيامك‌‌‌‌‌‌(1881082)</v>
      </c>
      <c r="V189" s="1">
        <v>951100146</v>
      </c>
      <c r="W189" s="1">
        <v>951100146</v>
      </c>
      <c r="X189" s="1" t="str">
        <f>"1395446276"</f>
        <v>1395446276</v>
      </c>
      <c r="Y189" s="1" t="str">
        <f>"95/08/29"</f>
        <v>95/08/29</v>
      </c>
      <c r="Z189" s="1" t="str">
        <f>"950040494"</f>
        <v>950040494</v>
      </c>
      <c r="AA189" s="1" t="str">
        <f t="shared" si="38"/>
        <v>شهرداريها</v>
      </c>
      <c r="AB189" s="1" t="str">
        <f>"95/08/22"</f>
        <v>95/08/22</v>
      </c>
      <c r="AC189" s="1" t="str">
        <f>"استان يزد"</f>
        <v>استان يزد</v>
      </c>
      <c r="AD189" s="1" t="str">
        <f>"95/08/29"</f>
        <v>95/08/29</v>
      </c>
      <c r="AE189" s="1" t="str">
        <f>"اختتام"</f>
        <v>اختتام</v>
      </c>
      <c r="AF189" s="1" t="str">
        <f>""</f>
        <v/>
      </c>
      <c r="AG189" s="1" t="str">
        <f>""</f>
        <v/>
      </c>
      <c r="AH189" s="1" t="str">
        <f>""</f>
        <v/>
      </c>
      <c r="AI189" s="1" t="str">
        <f>""</f>
        <v/>
      </c>
      <c r="AJ189" s="1" t="str">
        <f>""</f>
        <v/>
      </c>
      <c r="AK189" s="1" t="str">
        <f>""</f>
        <v/>
      </c>
    </row>
    <row r="190" spans="1:37" x14ac:dyDescent="0.2">
      <c r="A190" s="1">
        <v>114000</v>
      </c>
      <c r="B190" s="1">
        <v>952000283</v>
      </c>
      <c r="C190" s="1" t="str">
        <f>"تخليه - اصفهان- کيلومتر 7 جاده فولادشهر- نجف آباد تنگه جوزدان -روبروي مسکن فولاد شهر"</f>
        <v>تخليه - اصفهان- کيلومتر 7 جاده فولادشهر- نجف آباد تنگه جوزدان -روبروي مسکن فولاد شهر</v>
      </c>
      <c r="D190" s="1">
        <v>7026</v>
      </c>
      <c r="E190" s="1">
        <v>112840</v>
      </c>
      <c r="F190" s="1">
        <v>95</v>
      </c>
      <c r="G190" s="1">
        <v>1160</v>
      </c>
      <c r="H190" s="1" t="str">
        <f>"95/09/09"</f>
        <v>95/09/09</v>
      </c>
      <c r="I190" s="1" t="str">
        <f t="shared" si="25"/>
        <v>كيلوگرم</v>
      </c>
      <c r="J190" s="1" t="str">
        <f t="shared" si="36"/>
        <v>0000000076</v>
      </c>
      <c r="K190" s="1" t="str">
        <f t="shared" si="37"/>
        <v>قير 60/70 - فله</v>
      </c>
      <c r="L190" s="1">
        <v>100</v>
      </c>
      <c r="M190" s="1" t="str">
        <f t="shared" si="26"/>
        <v>مخازن قير اصفهان</v>
      </c>
      <c r="N190" s="1">
        <v>9456</v>
      </c>
      <c r="O190" s="1">
        <v>50032763</v>
      </c>
      <c r="P190" s="1" t="str">
        <f>"  شهرداري ايمانشهر"</f>
        <v xml:space="preserve">  شهرداري ايمانشهر</v>
      </c>
      <c r="Q190" s="1">
        <v>20</v>
      </c>
      <c r="R190" s="1" t="str">
        <f>"فروش داخلي - سازمان شهرداري ها و دهياري هاي كشور"</f>
        <v>فروش داخلي - سازمان شهرداري ها و دهياري هاي كشور</v>
      </c>
      <c r="S190" s="1" t="str">
        <f t="shared" si="27"/>
        <v>قرارداد فروش</v>
      </c>
      <c r="T190" s="1" t="str">
        <f t="shared" si="28"/>
        <v>ندارد</v>
      </c>
      <c r="U190" s="1" t="str">
        <f>"سيفي پور عبدالمجيد(1009ج89)"</f>
        <v>سيفي پور عبدالمجيد(1009ج89)</v>
      </c>
      <c r="V190" s="1">
        <v>952000283</v>
      </c>
      <c r="W190" s="1">
        <v>952000283</v>
      </c>
      <c r="X190" s="1" t="str">
        <f>"1395447768"</f>
        <v>1395447768</v>
      </c>
      <c r="Y190" s="1" t="str">
        <f>"95/09/09"</f>
        <v>95/09/09</v>
      </c>
      <c r="Z190" s="1" t="str">
        <f>"43237"</f>
        <v>43237</v>
      </c>
      <c r="AA190" s="1" t="str">
        <f t="shared" si="38"/>
        <v>شهرداريها</v>
      </c>
      <c r="AB190" s="1" t="str">
        <f>"95/09/01"</f>
        <v>95/09/01</v>
      </c>
      <c r="AC190" s="1" t="str">
        <f>"استان اصفهان"</f>
        <v>استان اصفهان</v>
      </c>
      <c r="AD190" s="1" t="str">
        <f>"95/09/07"</f>
        <v>95/09/07</v>
      </c>
      <c r="AE190" s="1" t="str">
        <f>"اختتام"</f>
        <v>اختتام</v>
      </c>
      <c r="AF190" s="1" t="str">
        <f>""</f>
        <v/>
      </c>
      <c r="AG190" s="1" t="str">
        <f>""</f>
        <v/>
      </c>
      <c r="AH190" s="1" t="str">
        <f>""</f>
        <v/>
      </c>
      <c r="AI190" s="1" t="str">
        <f>""</f>
        <v/>
      </c>
      <c r="AJ190" s="1" t="str">
        <f>""</f>
        <v/>
      </c>
      <c r="AK190" s="1" t="str">
        <f>""</f>
        <v/>
      </c>
    </row>
    <row r="191" spans="1:37" x14ac:dyDescent="0.2">
      <c r="A191" s="1">
        <v>600000</v>
      </c>
      <c r="B191" s="1">
        <v>951100186</v>
      </c>
      <c r="C191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91" s="1">
        <v>9361</v>
      </c>
      <c r="E191" s="1">
        <v>600000</v>
      </c>
      <c r="F191" s="1">
        <v>95</v>
      </c>
      <c r="G191" s="1">
        <v>0</v>
      </c>
      <c r="H191" s="1" t="str">
        <f>"95/11/27"</f>
        <v>95/11/27</v>
      </c>
      <c r="I191" s="1" t="str">
        <f t="shared" si="25"/>
        <v>كيلوگرم</v>
      </c>
      <c r="J191" s="1" t="str">
        <f t="shared" si="36"/>
        <v>0000000076</v>
      </c>
      <c r="K191" s="1" t="str">
        <f t="shared" si="37"/>
        <v>قير 60/70 - فله</v>
      </c>
      <c r="L191" s="1">
        <v>100</v>
      </c>
      <c r="M191" s="1" t="str">
        <f t="shared" si="26"/>
        <v>مخازن قير اصفهان</v>
      </c>
      <c r="N191" s="1">
        <v>9938</v>
      </c>
      <c r="O191" s="1">
        <v>50033772</v>
      </c>
      <c r="P191" s="1" t="str">
        <f>"  سازمان عمران شهرداري زاهدان"</f>
        <v xml:space="preserve">  سازمان عمران شهرداري زاهدان</v>
      </c>
      <c r="Q191" s="1">
        <v>11</v>
      </c>
      <c r="R191" s="1" t="str">
        <f>"فروش داخلي تهران - بورس"</f>
        <v>فروش داخلي تهران - بورس</v>
      </c>
      <c r="S191" s="1" t="str">
        <f t="shared" si="27"/>
        <v>قرارداد فروش</v>
      </c>
      <c r="T191" s="1" t="str">
        <f t="shared" si="28"/>
        <v>ندارد</v>
      </c>
      <c r="U191" s="1" t="str">
        <f>"ميرحسيني سيناترابر سيدمحمد(4854031)"</f>
        <v>ميرحسيني سيناترابر سيدمحمد(4854031)</v>
      </c>
      <c r="V191" s="1">
        <v>951100186</v>
      </c>
      <c r="W191" s="1">
        <v>951100186</v>
      </c>
      <c r="X191" s="1" t="str">
        <f>"1395465000"</f>
        <v>1395465000</v>
      </c>
      <c r="Y191" s="1" t="str">
        <f>"95/11/26"</f>
        <v>95/11/26</v>
      </c>
      <c r="Z191" s="1" t="str">
        <f>"1395-ع /س -5708"</f>
        <v>1395-ع /س -5708</v>
      </c>
      <c r="AA191" s="1" t="str">
        <f t="shared" si="38"/>
        <v>شهرداريها</v>
      </c>
      <c r="AB191" s="1" t="str">
        <f>"95/11/13"</f>
        <v>95/11/13</v>
      </c>
      <c r="AC191" s="1" t="str">
        <f>"استان سيستان بلوچستان"</f>
        <v>استان سيستان بلوچستان</v>
      </c>
      <c r="AD191" s="1" t="str">
        <f>"95/11/25"</f>
        <v>95/11/25</v>
      </c>
      <c r="AE191" s="1" t="str">
        <f>"تاييدشده"</f>
        <v>تاييدشده</v>
      </c>
      <c r="AF191" s="1" t="str">
        <f>""</f>
        <v/>
      </c>
      <c r="AG191" s="1" t="str">
        <f>""</f>
        <v/>
      </c>
      <c r="AH191" s="1" t="str">
        <f>""</f>
        <v/>
      </c>
      <c r="AI191" s="1" t="str">
        <f>""</f>
        <v/>
      </c>
      <c r="AJ191" s="1" t="str">
        <f>""</f>
        <v/>
      </c>
      <c r="AK191" s="1" t="str">
        <f>""</f>
        <v/>
      </c>
    </row>
    <row r="192" spans="1:37" x14ac:dyDescent="0.2">
      <c r="A192" s="1">
        <v>362000</v>
      </c>
      <c r="B192" s="1">
        <v>956200107</v>
      </c>
      <c r="C192" s="1" t="str">
        <f>"تخليه -ايلام -دهلران-سه راهي موسيان -پشت نيروي انتظامي -شركت نصرراه معين"</f>
        <v>تخليه -ايلام -دهلران-سه راهي موسيان -پشت نيروي انتظامي -شركت نصرراه معين</v>
      </c>
      <c r="D192" s="1">
        <v>7026</v>
      </c>
      <c r="E192" s="1">
        <v>361220</v>
      </c>
      <c r="F192" s="1">
        <v>95</v>
      </c>
      <c r="G192" s="1">
        <v>780</v>
      </c>
      <c r="H192" s="1" t="str">
        <f>"95/09/21"</f>
        <v>95/09/21</v>
      </c>
      <c r="I192" s="1" t="str">
        <f t="shared" si="25"/>
        <v>كيلوگرم</v>
      </c>
      <c r="J192" s="1" t="str">
        <f t="shared" si="36"/>
        <v>0000000076</v>
      </c>
      <c r="K192" s="1" t="str">
        <f t="shared" si="37"/>
        <v>قير 60/70 - فله</v>
      </c>
      <c r="L192" s="1">
        <v>100</v>
      </c>
      <c r="M192" s="1" t="str">
        <f t="shared" si="26"/>
        <v>مخازن قير اصفهان</v>
      </c>
      <c r="N192" s="1">
        <v>9958</v>
      </c>
      <c r="O192" s="1">
        <v>50032980</v>
      </c>
      <c r="P192" s="1" t="str">
        <f>"  نصر راه معين"</f>
        <v xml:space="preserve">  نصر راه معين</v>
      </c>
      <c r="Q192" s="1">
        <v>62</v>
      </c>
      <c r="R192" s="1" t="str">
        <f>"فروش داخلي - سازمان بنيادمسكن انقلاب اسلامي"</f>
        <v>فروش داخلي - سازمان بنيادمسكن انقلاب اسلامي</v>
      </c>
      <c r="S192" s="1" t="str">
        <f t="shared" si="27"/>
        <v>قرارداد فروش</v>
      </c>
      <c r="T192" s="1" t="str">
        <f t="shared" si="28"/>
        <v>ندارد</v>
      </c>
      <c r="U192" s="1" t="str">
        <f>"عظيمي محمد(2842015)"</f>
        <v>عظيمي محمد(2842015)</v>
      </c>
      <c r="V192" s="1">
        <v>956200107</v>
      </c>
      <c r="W192" s="1">
        <v>956200107</v>
      </c>
      <c r="X192" s="1" t="str">
        <f>"1395451281"</f>
        <v>1395451281</v>
      </c>
      <c r="Y192" s="1" t="str">
        <f>"95/09/21"</f>
        <v>95/09/21</v>
      </c>
      <c r="Z192" s="1" t="str">
        <f>"39492/د"</f>
        <v>39492/د</v>
      </c>
      <c r="AA192" s="1" t="str">
        <f>"بنيادمسكن انقلاب اسلامي"</f>
        <v>بنيادمسكن انقلاب اسلامي</v>
      </c>
      <c r="AB192" s="1" t="str">
        <f>"95/09/20"</f>
        <v>95/09/20</v>
      </c>
      <c r="AC192" s="1" t="str">
        <f>"استان ايلام"</f>
        <v>استان ايلام</v>
      </c>
      <c r="AD192" s="1" t="str">
        <f>"95/09/21"</f>
        <v>95/09/21</v>
      </c>
      <c r="AE192" s="1" t="str">
        <f t="shared" ref="AE192:AE206" si="39">"اختتام"</f>
        <v>اختتام</v>
      </c>
      <c r="AF192" s="1" t="str">
        <f>""</f>
        <v/>
      </c>
      <c r="AG192" s="1" t="str">
        <f>""</f>
        <v/>
      </c>
      <c r="AH192" s="1" t="str">
        <f>""</f>
        <v/>
      </c>
      <c r="AI192" s="1" t="str">
        <f>""</f>
        <v/>
      </c>
      <c r="AJ192" s="1" t="str">
        <f>""</f>
        <v/>
      </c>
      <c r="AK192" s="1" t="str">
        <f>""</f>
        <v/>
      </c>
    </row>
    <row r="193" spans="1:37" x14ac:dyDescent="0.2">
      <c r="A193" s="1">
        <v>103000</v>
      </c>
      <c r="B193" s="1">
        <v>956200058</v>
      </c>
      <c r="C193" s="1" t="str">
        <f>"تخليه-کيلومتر 20جاده يزد -بافق"</f>
        <v>تخليه-کيلومتر 20جاده يزد -بافق</v>
      </c>
      <c r="D193" s="1">
        <v>5950</v>
      </c>
      <c r="E193" s="1">
        <v>102000</v>
      </c>
      <c r="F193" s="1">
        <v>95</v>
      </c>
      <c r="G193" s="1">
        <v>1000</v>
      </c>
      <c r="H193" s="1" t="str">
        <f>"95/04/27"</f>
        <v>95/04/27</v>
      </c>
      <c r="I193" s="1" t="str">
        <f t="shared" si="25"/>
        <v>كيلوگرم</v>
      </c>
      <c r="J193" s="1" t="str">
        <f t="shared" si="36"/>
        <v>0000000076</v>
      </c>
      <c r="K193" s="1" t="str">
        <f t="shared" si="37"/>
        <v>قير 60/70 - فله</v>
      </c>
      <c r="L193" s="1">
        <v>100</v>
      </c>
      <c r="M193" s="1" t="str">
        <f t="shared" si="26"/>
        <v>مخازن قير اصفهان</v>
      </c>
      <c r="N193" s="1">
        <v>10033</v>
      </c>
      <c r="O193" s="1">
        <v>50031292</v>
      </c>
      <c r="P193" s="1" t="str">
        <f>"  راهسازي مشكين راه كوير"</f>
        <v xml:space="preserve">  راهسازي مشكين راه كوير</v>
      </c>
      <c r="Q193" s="1">
        <v>62</v>
      </c>
      <c r="R193" s="1" t="str">
        <f>"فروش داخلي - سازمان بنيادمسكن انقلاب اسلامي"</f>
        <v>فروش داخلي - سازمان بنيادمسكن انقلاب اسلامي</v>
      </c>
      <c r="S193" s="1" t="str">
        <f t="shared" si="27"/>
        <v>قرارداد فروش</v>
      </c>
      <c r="T193" s="1" t="str">
        <f t="shared" si="28"/>
        <v>ندارد</v>
      </c>
      <c r="U193" s="1" t="str">
        <f>"عزيزي صفر(1006ج 89)"</f>
        <v>عزيزي صفر(1006ج 89)</v>
      </c>
      <c r="V193" s="1">
        <v>956200058</v>
      </c>
      <c r="W193" s="1">
        <v>956200058</v>
      </c>
      <c r="X193" s="1" t="str">
        <f>"1395415790"</f>
        <v>1395415790</v>
      </c>
      <c r="Y193" s="1" t="str">
        <f>"95/04/27"</f>
        <v>95/04/27</v>
      </c>
      <c r="Z193" s="1" t="str">
        <f>"16462/د"</f>
        <v>16462/د</v>
      </c>
      <c r="AA193" s="1" t="str">
        <f>"بنيادمسكن انقلاب اسلامي"</f>
        <v>بنيادمسكن انقلاب اسلامي</v>
      </c>
      <c r="AB193" s="1" t="str">
        <f>"95/04/26"</f>
        <v>95/04/26</v>
      </c>
      <c r="AC193" s="1" t="str">
        <f>"استان يزد"</f>
        <v>استان يزد</v>
      </c>
      <c r="AD193" s="1" t="str">
        <f>"95/04/26"</f>
        <v>95/04/26</v>
      </c>
      <c r="AE193" s="1" t="str">
        <f t="shared" si="39"/>
        <v>اختتام</v>
      </c>
      <c r="AF193" s="1" t="str">
        <f>""</f>
        <v/>
      </c>
      <c r="AG193" s="1" t="str">
        <f>""</f>
        <v/>
      </c>
      <c r="AH193" s="1" t="str">
        <f>""</f>
        <v/>
      </c>
      <c r="AI193" s="1" t="str">
        <f>""</f>
        <v/>
      </c>
      <c r="AJ193" s="1" t="str">
        <f>""</f>
        <v/>
      </c>
      <c r="AK193" s="1" t="str">
        <f>""</f>
        <v/>
      </c>
    </row>
    <row r="194" spans="1:37" x14ac:dyDescent="0.2">
      <c r="A194" s="1">
        <v>72000</v>
      </c>
      <c r="B194" s="1">
        <v>952000280</v>
      </c>
      <c r="C194" s="1" t="str">
        <f>"تخليه - اصفهان - کارخانه آسفالت حسن آباد -کارخانه ثمين راه صفاهان"</f>
        <v>تخليه - اصفهان - کارخانه آسفالت حسن آباد -کارخانه ثمين راه صفاهان</v>
      </c>
      <c r="D194" s="1">
        <v>7026</v>
      </c>
      <c r="E194" s="1">
        <v>70960</v>
      </c>
      <c r="F194" s="1">
        <v>95</v>
      </c>
      <c r="G194" s="1">
        <v>1040</v>
      </c>
      <c r="H194" s="1" t="str">
        <f>"95/09/09"</f>
        <v>95/09/09</v>
      </c>
      <c r="I194" s="1" t="str">
        <f t="shared" ref="I194:I257" si="40">"كيلوگرم"</f>
        <v>كيلوگرم</v>
      </c>
      <c r="J194" s="1" t="str">
        <f t="shared" si="36"/>
        <v>0000000076</v>
      </c>
      <c r="K194" s="1" t="str">
        <f t="shared" si="37"/>
        <v>قير 60/70 - فله</v>
      </c>
      <c r="L194" s="1">
        <v>100</v>
      </c>
      <c r="M194" s="1" t="str">
        <f t="shared" ref="M194:M257" si="41">"مخازن قير اصفهان"</f>
        <v>مخازن قير اصفهان</v>
      </c>
      <c r="N194" s="1">
        <v>10030</v>
      </c>
      <c r="O194" s="1">
        <v>50032759</v>
      </c>
      <c r="P194" s="1" t="str">
        <f>"  شهرداري تودشك"</f>
        <v xml:space="preserve">  شهرداري تودشك</v>
      </c>
      <c r="Q194" s="1">
        <v>20</v>
      </c>
      <c r="R194" s="1" t="str">
        <f>"فروش داخلي - سازمان شهرداري ها و دهياري هاي كشور"</f>
        <v>فروش داخلي - سازمان شهرداري ها و دهياري هاي كشور</v>
      </c>
      <c r="S194" s="1" t="str">
        <f t="shared" ref="S194:S257" si="42">"قرارداد فروش"</f>
        <v>قرارداد فروش</v>
      </c>
      <c r="T194" s="1" t="str">
        <f t="shared" ref="T194:T257" si="43">"ندارد"</f>
        <v>ندارد</v>
      </c>
      <c r="U194" s="1" t="str">
        <f>"شهبازي محمدرضا(1029ج89)"</f>
        <v>شهبازي محمدرضا(1029ج89)</v>
      </c>
      <c r="V194" s="1">
        <v>952000280</v>
      </c>
      <c r="W194" s="1">
        <v>952000280</v>
      </c>
      <c r="X194" s="1" t="str">
        <f>"1395447768"</f>
        <v>1395447768</v>
      </c>
      <c r="Y194" s="1" t="str">
        <f>"95/09/09"</f>
        <v>95/09/09</v>
      </c>
      <c r="Z194" s="1" t="str">
        <f>"43233"</f>
        <v>43233</v>
      </c>
      <c r="AA194" s="1" t="str">
        <f>"شهرداريها"</f>
        <v>شهرداريها</v>
      </c>
      <c r="AB194" s="1" t="str">
        <f>"95/09/01"</f>
        <v>95/09/01</v>
      </c>
      <c r="AC194" s="1" t="str">
        <f>"استان اصفهان"</f>
        <v>استان اصفهان</v>
      </c>
      <c r="AD194" s="1" t="str">
        <f>"95/09/07"</f>
        <v>95/09/07</v>
      </c>
      <c r="AE194" s="1" t="str">
        <f t="shared" si="39"/>
        <v>اختتام</v>
      </c>
      <c r="AF194" s="1" t="str">
        <f>""</f>
        <v/>
      </c>
      <c r="AG194" s="1" t="str">
        <f>""</f>
        <v/>
      </c>
      <c r="AH194" s="1" t="str">
        <f>""</f>
        <v/>
      </c>
      <c r="AI194" s="1" t="str">
        <f>""</f>
        <v/>
      </c>
      <c r="AJ194" s="1" t="str">
        <f>""</f>
        <v/>
      </c>
      <c r="AK194" s="1" t="str">
        <f>""</f>
        <v/>
      </c>
    </row>
    <row r="195" spans="1:37" x14ac:dyDescent="0.2">
      <c r="A195" s="1">
        <v>103000</v>
      </c>
      <c r="B195" s="1">
        <v>956200142</v>
      </c>
      <c r="C195" s="1" t="str">
        <f>"تخليه-کيلومتر 20جاده يزد -بافق"</f>
        <v>تخليه-کيلومتر 20جاده يزد -بافق</v>
      </c>
      <c r="D195" s="1">
        <v>8861</v>
      </c>
      <c r="E195" s="1">
        <v>102040</v>
      </c>
      <c r="F195" s="1">
        <v>95</v>
      </c>
      <c r="G195" s="1">
        <v>960</v>
      </c>
      <c r="H195" s="1" t="str">
        <f>"95/10/14"</f>
        <v>95/10/14</v>
      </c>
      <c r="I195" s="1" t="str">
        <f t="shared" si="40"/>
        <v>كيلوگرم</v>
      </c>
      <c r="J195" s="1" t="str">
        <f t="shared" si="36"/>
        <v>0000000076</v>
      </c>
      <c r="K195" s="1" t="str">
        <f t="shared" si="37"/>
        <v>قير 60/70 - فله</v>
      </c>
      <c r="L195" s="1">
        <v>100</v>
      </c>
      <c r="M195" s="1" t="str">
        <f t="shared" si="41"/>
        <v>مخازن قير اصفهان</v>
      </c>
      <c r="N195" s="1">
        <v>10033</v>
      </c>
      <c r="O195" s="1">
        <v>50033283</v>
      </c>
      <c r="P195" s="1" t="str">
        <f>"  راهسازي مشكين راه كوير"</f>
        <v xml:space="preserve">  راهسازي مشكين راه كوير</v>
      </c>
      <c r="Q195" s="1">
        <v>62</v>
      </c>
      <c r="R195" s="1" t="str">
        <f>"فروش داخلي - سازمان بنيادمسكن انقلاب اسلامي"</f>
        <v>فروش داخلي - سازمان بنيادمسكن انقلاب اسلامي</v>
      </c>
      <c r="S195" s="1" t="str">
        <f t="shared" si="42"/>
        <v>قرارداد فروش</v>
      </c>
      <c r="T195" s="1" t="str">
        <f t="shared" si="43"/>
        <v>ندارد</v>
      </c>
      <c r="U195" s="1" t="str">
        <f>"عزيزي صفر(1006ج 89)"</f>
        <v>عزيزي صفر(1006ج 89)</v>
      </c>
      <c r="V195" s="1">
        <v>956200142</v>
      </c>
      <c r="W195" s="1">
        <v>956200142</v>
      </c>
      <c r="X195" s="1" t="str">
        <f>"1395456365"</f>
        <v>1395456365</v>
      </c>
      <c r="Y195" s="1" t="str">
        <f>"95/10/14"</f>
        <v>95/10/14</v>
      </c>
      <c r="Z195" s="1" t="str">
        <f>"43329/د"</f>
        <v>43329/د</v>
      </c>
      <c r="AA195" s="1" t="str">
        <f>"بنيادمسكن انقلاب اسلامي"</f>
        <v>بنيادمسكن انقلاب اسلامي</v>
      </c>
      <c r="AB195" s="1" t="str">
        <f>"95/10/12"</f>
        <v>95/10/12</v>
      </c>
      <c r="AC195" s="1" t="str">
        <f>"استان يزد"</f>
        <v>استان يزد</v>
      </c>
      <c r="AD195" s="1" t="str">
        <f>"95/10/13"</f>
        <v>95/10/13</v>
      </c>
      <c r="AE195" s="1" t="str">
        <f t="shared" si="39"/>
        <v>اختتام</v>
      </c>
      <c r="AF195" s="1" t="str">
        <f>""</f>
        <v/>
      </c>
      <c r="AG195" s="1" t="str">
        <f>""</f>
        <v/>
      </c>
      <c r="AH195" s="1" t="str">
        <f>""</f>
        <v/>
      </c>
      <c r="AI195" s="1" t="str">
        <f>""</f>
        <v/>
      </c>
      <c r="AJ195" s="1" t="str">
        <f>""</f>
        <v/>
      </c>
      <c r="AK195" s="1" t="str">
        <f>""</f>
        <v/>
      </c>
    </row>
    <row r="196" spans="1:37" x14ac:dyDescent="0.2">
      <c r="A196" s="1">
        <v>104000</v>
      </c>
      <c r="B196" s="1">
        <v>952000161</v>
      </c>
      <c r="C196" s="1" t="str">
        <f>"تخليه - اصفهان - جاده اصفهان مبارکه جنب صنايع هفت تير کارخانه آسفالت مبارکه"</f>
        <v>تخليه - اصفهان - جاده اصفهان مبارکه جنب صنايع هفت تير کارخانه آسفالت مبارکه</v>
      </c>
      <c r="D196" s="1">
        <v>6976</v>
      </c>
      <c r="E196" s="1">
        <v>103360</v>
      </c>
      <c r="F196" s="1">
        <v>95</v>
      </c>
      <c r="G196" s="1">
        <v>640</v>
      </c>
      <c r="H196" s="1" t="str">
        <f>"95/07/18"</f>
        <v>95/07/18</v>
      </c>
      <c r="I196" s="1" t="str">
        <f t="shared" si="40"/>
        <v>كيلوگرم</v>
      </c>
      <c r="J196" s="1" t="str">
        <f t="shared" si="36"/>
        <v>0000000076</v>
      </c>
      <c r="K196" s="1" t="str">
        <f t="shared" si="37"/>
        <v>قير 60/70 - فله</v>
      </c>
      <c r="L196" s="1">
        <v>100</v>
      </c>
      <c r="M196" s="1" t="str">
        <f t="shared" si="41"/>
        <v>مخازن قير اصفهان</v>
      </c>
      <c r="N196" s="1">
        <v>9537</v>
      </c>
      <c r="O196" s="1">
        <v>50032143</v>
      </c>
      <c r="P196" s="1" t="str">
        <f>"  شهرداري پيربكران"</f>
        <v xml:space="preserve">  شهرداري پيربكران</v>
      </c>
      <c r="Q196" s="1">
        <v>20</v>
      </c>
      <c r="R196" s="1" t="str">
        <f>"فروش داخلي - سازمان شهرداري ها و دهياري هاي كشور"</f>
        <v>فروش داخلي - سازمان شهرداري ها و دهياري هاي كشور</v>
      </c>
      <c r="S196" s="1" t="str">
        <f t="shared" si="42"/>
        <v>قرارداد فروش</v>
      </c>
      <c r="T196" s="1" t="str">
        <f t="shared" si="43"/>
        <v>ندارد</v>
      </c>
      <c r="U196" s="1" t="str">
        <f>"شهبازي محمدرضا(1029ج89)"</f>
        <v>شهبازي محمدرضا(1029ج89)</v>
      </c>
      <c r="V196" s="1">
        <v>952000161</v>
      </c>
      <c r="W196" s="1">
        <v>952000161</v>
      </c>
      <c r="X196" s="1" t="str">
        <f>"1395436741"</f>
        <v>1395436741</v>
      </c>
      <c r="Y196" s="1" t="str">
        <f>"95/07/18"</f>
        <v>95/07/18</v>
      </c>
      <c r="Z196" s="1" t="str">
        <f>"27747"</f>
        <v>27747</v>
      </c>
      <c r="AA196" s="1" t="str">
        <f t="shared" ref="AA196:AA203" si="44">"شهرداريها"</f>
        <v>شهرداريها</v>
      </c>
      <c r="AB196" s="1" t="str">
        <f>"95/06/10"</f>
        <v>95/06/10</v>
      </c>
      <c r="AC196" s="1" t="str">
        <f>"استان اصفهان"</f>
        <v>استان اصفهان</v>
      </c>
      <c r="AD196" s="1" t="str">
        <f>"95/07/17"</f>
        <v>95/07/17</v>
      </c>
      <c r="AE196" s="1" t="str">
        <f t="shared" si="39"/>
        <v>اختتام</v>
      </c>
      <c r="AF196" s="1" t="str">
        <f>""</f>
        <v/>
      </c>
      <c r="AG196" s="1" t="str">
        <f>""</f>
        <v/>
      </c>
      <c r="AH196" s="1" t="str">
        <f>""</f>
        <v/>
      </c>
      <c r="AI196" s="1" t="str">
        <f>""</f>
        <v/>
      </c>
      <c r="AJ196" s="1" t="str">
        <f>""</f>
        <v/>
      </c>
      <c r="AK196" s="1" t="str">
        <f>""</f>
        <v/>
      </c>
    </row>
    <row r="197" spans="1:37" x14ac:dyDescent="0.2">
      <c r="A197" s="1">
        <v>69000</v>
      </c>
      <c r="B197" s="1">
        <v>952000286</v>
      </c>
      <c r="C197" s="1" t="str">
        <f>"تخليه -اصفهان -جرقويه سفلي-سه راه محمدآباد-كارخانه آسفالت رضا عباسيان"</f>
        <v>تخليه -اصفهان -جرقويه سفلي-سه راه محمدآباد-كارخانه آسفالت رضا عباسيان</v>
      </c>
      <c r="D197" s="1">
        <v>7026</v>
      </c>
      <c r="E197" s="1">
        <v>68160</v>
      </c>
      <c r="F197" s="1">
        <v>95</v>
      </c>
      <c r="G197" s="1">
        <v>840</v>
      </c>
      <c r="H197" s="1" t="str">
        <f>"95/09/09"</f>
        <v>95/09/09</v>
      </c>
      <c r="I197" s="1" t="str">
        <f t="shared" si="40"/>
        <v>كيلوگرم</v>
      </c>
      <c r="J197" s="1" t="str">
        <f t="shared" si="36"/>
        <v>0000000076</v>
      </c>
      <c r="K197" s="1" t="str">
        <f t="shared" si="37"/>
        <v>قير 60/70 - فله</v>
      </c>
      <c r="L197" s="1">
        <v>100</v>
      </c>
      <c r="M197" s="1" t="str">
        <f t="shared" si="41"/>
        <v>مخازن قير اصفهان</v>
      </c>
      <c r="N197" s="1">
        <v>10047</v>
      </c>
      <c r="O197" s="1">
        <v>50032766</v>
      </c>
      <c r="P197" s="1" t="str">
        <f>"  شهرداري اژيه"</f>
        <v xml:space="preserve">  شهرداري اژيه</v>
      </c>
      <c r="Q197" s="1">
        <v>20</v>
      </c>
      <c r="R197" s="1" t="str">
        <f>"فروش داخلي - سازمان شهرداري ها و دهياري هاي كشور"</f>
        <v>فروش داخلي - سازمان شهرداري ها و دهياري هاي كشور</v>
      </c>
      <c r="S197" s="1" t="str">
        <f t="shared" si="42"/>
        <v>قرارداد فروش</v>
      </c>
      <c r="T197" s="1" t="str">
        <f t="shared" si="43"/>
        <v>ندارد</v>
      </c>
      <c r="U197" s="1" t="str">
        <f>"علي عابدي ابوالقاسم(1003ج89)"</f>
        <v>علي عابدي ابوالقاسم(1003ج89)</v>
      </c>
      <c r="V197" s="1">
        <v>952000286</v>
      </c>
      <c r="W197" s="1">
        <v>952000286</v>
      </c>
      <c r="X197" s="1" t="str">
        <f>"1395447768"</f>
        <v>1395447768</v>
      </c>
      <c r="Y197" s="1" t="str">
        <f>"95/09/09"</f>
        <v>95/09/09</v>
      </c>
      <c r="Z197" s="1" t="str">
        <f>"43240"</f>
        <v>43240</v>
      </c>
      <c r="AA197" s="1" t="str">
        <f t="shared" si="44"/>
        <v>شهرداريها</v>
      </c>
      <c r="AB197" s="1" t="str">
        <f>"95/09/01"</f>
        <v>95/09/01</v>
      </c>
      <c r="AC197" s="1" t="str">
        <f>"استان اصفهان"</f>
        <v>استان اصفهان</v>
      </c>
      <c r="AD197" s="1" t="str">
        <f>"95/09/07"</f>
        <v>95/09/07</v>
      </c>
      <c r="AE197" s="1" t="str">
        <f t="shared" si="39"/>
        <v>اختتام</v>
      </c>
      <c r="AF197" s="1" t="str">
        <f>""</f>
        <v/>
      </c>
      <c r="AG197" s="1" t="str">
        <f>""</f>
        <v/>
      </c>
      <c r="AH197" s="1" t="str">
        <f>""</f>
        <v/>
      </c>
      <c r="AI197" s="1" t="str">
        <f>""</f>
        <v/>
      </c>
      <c r="AJ197" s="1" t="str">
        <f>""</f>
        <v/>
      </c>
      <c r="AK197" s="1" t="str">
        <f>""</f>
        <v/>
      </c>
    </row>
    <row r="198" spans="1:37" x14ac:dyDescent="0.2">
      <c r="A198" s="1">
        <v>107000</v>
      </c>
      <c r="B198" s="1">
        <v>952000100</v>
      </c>
      <c r="C198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198" s="1">
        <v>6976</v>
      </c>
      <c r="E198" s="1">
        <v>106360</v>
      </c>
      <c r="F198" s="1">
        <v>95</v>
      </c>
      <c r="G198" s="1">
        <v>640</v>
      </c>
      <c r="H198" s="1" t="str">
        <f>"95/07/05"</f>
        <v>95/07/05</v>
      </c>
      <c r="I198" s="1" t="str">
        <f t="shared" si="40"/>
        <v>كيلوگرم</v>
      </c>
      <c r="J198" s="1" t="str">
        <f t="shared" si="36"/>
        <v>0000000076</v>
      </c>
      <c r="K198" s="1" t="str">
        <f t="shared" si="37"/>
        <v>قير 60/70 - فله</v>
      </c>
      <c r="L198" s="1">
        <v>100</v>
      </c>
      <c r="M198" s="1" t="str">
        <f t="shared" si="41"/>
        <v>مخازن قير اصفهان</v>
      </c>
      <c r="N198" s="1">
        <v>7129</v>
      </c>
      <c r="O198" s="1">
        <v>50031960</v>
      </c>
      <c r="P198" s="1" t="str">
        <f>"  شهرداري نطنز"</f>
        <v xml:space="preserve">  شهرداري نطنز</v>
      </c>
      <c r="Q198" s="1">
        <v>20</v>
      </c>
      <c r="R198" s="1" t="str">
        <f>"فروش داخلي - سازمان شهرداري ها و دهياري هاي كشور"</f>
        <v>فروش داخلي - سازمان شهرداري ها و دهياري هاي كشور</v>
      </c>
      <c r="S198" s="1" t="str">
        <f t="shared" si="42"/>
        <v>قرارداد فروش</v>
      </c>
      <c r="T198" s="1" t="str">
        <f t="shared" si="43"/>
        <v>ندارد</v>
      </c>
      <c r="U198" s="1" t="str">
        <f>"معماريان سعيد(1004ج89)"</f>
        <v>معماريان سعيد(1004ج89)</v>
      </c>
      <c r="V198" s="1">
        <v>952000100</v>
      </c>
      <c r="W198" s="1">
        <v>952000100</v>
      </c>
      <c r="X198" s="1" t="str">
        <f>"1395433645"</f>
        <v>1395433645</v>
      </c>
      <c r="Y198" s="1" t="str">
        <f>"95/07/05"</f>
        <v>95/07/05</v>
      </c>
      <c r="Z198" s="1" t="str">
        <f>"27734"</f>
        <v>27734</v>
      </c>
      <c r="AA198" s="1" t="str">
        <f t="shared" si="44"/>
        <v>شهرداريها</v>
      </c>
      <c r="AB198" s="1" t="str">
        <f>"95/06/10"</f>
        <v>95/06/10</v>
      </c>
      <c r="AC198" s="1" t="str">
        <f>"استان اصفهان"</f>
        <v>استان اصفهان</v>
      </c>
      <c r="AD198" s="1" t="str">
        <f>"95/07/04"</f>
        <v>95/07/04</v>
      </c>
      <c r="AE198" s="1" t="str">
        <f t="shared" si="39"/>
        <v>اختتام</v>
      </c>
      <c r="AF198" s="1" t="str">
        <f>""</f>
        <v/>
      </c>
      <c r="AG198" s="1" t="str">
        <f>""</f>
        <v/>
      </c>
      <c r="AH198" s="1" t="str">
        <f>""</f>
        <v/>
      </c>
      <c r="AI198" s="1" t="str">
        <f>""</f>
        <v/>
      </c>
      <c r="AJ198" s="1" t="str">
        <f>""</f>
        <v/>
      </c>
      <c r="AK198" s="1" t="str">
        <f>""</f>
        <v/>
      </c>
    </row>
    <row r="199" spans="1:37" x14ac:dyDescent="0.2">
      <c r="A199" s="1">
        <v>175000</v>
      </c>
      <c r="B199" s="1">
        <v>951100093</v>
      </c>
      <c r="C199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99" s="1">
        <v>6426</v>
      </c>
      <c r="E199" s="1">
        <v>163600</v>
      </c>
      <c r="F199" s="1">
        <v>95</v>
      </c>
      <c r="G199" s="1">
        <v>11400</v>
      </c>
      <c r="H199" s="1" t="str">
        <f>"95/05/12"</f>
        <v>95/05/12</v>
      </c>
      <c r="I199" s="1" t="str">
        <f t="shared" si="40"/>
        <v>كيلوگرم</v>
      </c>
      <c r="J199" s="1" t="str">
        <f t="shared" si="36"/>
        <v>0000000076</v>
      </c>
      <c r="K199" s="1" t="str">
        <f t="shared" si="37"/>
        <v>قير 60/70 - فله</v>
      </c>
      <c r="L199" s="1">
        <v>100</v>
      </c>
      <c r="M199" s="1" t="str">
        <f t="shared" si="41"/>
        <v>مخازن قير اصفهان</v>
      </c>
      <c r="N199" s="1">
        <v>9938</v>
      </c>
      <c r="O199" s="1">
        <v>50031402</v>
      </c>
      <c r="P199" s="1" t="str">
        <f>"  سازمان عمران شهرداري زاهدان"</f>
        <v xml:space="preserve">  سازمان عمران شهرداري زاهدان</v>
      </c>
      <c r="Q199" s="1">
        <v>11</v>
      </c>
      <c r="R199" s="1" t="str">
        <f>"فروش داخلي تهران - بورس"</f>
        <v>فروش داخلي تهران - بورس</v>
      </c>
      <c r="S199" s="1" t="str">
        <f t="shared" si="42"/>
        <v>قرارداد فروش</v>
      </c>
      <c r="T199" s="1" t="str">
        <f t="shared" si="43"/>
        <v>ندارد</v>
      </c>
      <c r="U199" s="1" t="str">
        <f>"ميرحسيني سيناترابر سيدمحمد(4854031)"</f>
        <v>ميرحسيني سيناترابر سيدمحمد(4854031)</v>
      </c>
      <c r="V199" s="1">
        <v>951100093</v>
      </c>
      <c r="W199" s="1">
        <v>951100093</v>
      </c>
      <c r="X199" s="1" t="str">
        <f>"1395419173"</f>
        <v>1395419173</v>
      </c>
      <c r="Y199" s="1" t="str">
        <f>"95/05/11"</f>
        <v>95/05/11</v>
      </c>
      <c r="Z199" s="1" t="str">
        <f>"95-34625"</f>
        <v>95-34625</v>
      </c>
      <c r="AA199" s="1" t="str">
        <f t="shared" si="44"/>
        <v>شهرداريها</v>
      </c>
      <c r="AB199" s="1" t="str">
        <f>"95/05/11"</f>
        <v>95/05/11</v>
      </c>
      <c r="AC199" s="1" t="str">
        <f>"استان سيستان بلوچستان"</f>
        <v>استان سيستان بلوچستان</v>
      </c>
      <c r="AD199" s="1" t="str">
        <f>"95/05/06"</f>
        <v>95/05/06</v>
      </c>
      <c r="AE199" s="1" t="str">
        <f t="shared" si="39"/>
        <v>اختتام</v>
      </c>
      <c r="AF199" s="1" t="str">
        <f>""</f>
        <v/>
      </c>
      <c r="AG199" s="1" t="str">
        <f>""</f>
        <v/>
      </c>
      <c r="AH199" s="1" t="str">
        <f>""</f>
        <v/>
      </c>
      <c r="AI199" s="1" t="str">
        <f>""</f>
        <v/>
      </c>
      <c r="AJ199" s="1" t="str">
        <f>""</f>
        <v/>
      </c>
      <c r="AK199" s="1" t="str">
        <f>""</f>
        <v/>
      </c>
    </row>
    <row r="200" spans="1:37" x14ac:dyDescent="0.2">
      <c r="A200" s="1">
        <v>200000</v>
      </c>
      <c r="B200" s="1">
        <v>951100129</v>
      </c>
      <c r="C200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200" s="1">
        <v>6976</v>
      </c>
      <c r="E200" s="1">
        <v>195080</v>
      </c>
      <c r="F200" s="1">
        <v>95</v>
      </c>
      <c r="G200" s="1">
        <v>4920</v>
      </c>
      <c r="H200" s="1" t="str">
        <f>"95/07/19"</f>
        <v>95/07/19</v>
      </c>
      <c r="I200" s="1" t="str">
        <f t="shared" si="40"/>
        <v>كيلوگرم</v>
      </c>
      <c r="J200" s="1" t="str">
        <f t="shared" si="36"/>
        <v>0000000076</v>
      </c>
      <c r="K200" s="1" t="str">
        <f t="shared" si="37"/>
        <v>قير 60/70 - فله</v>
      </c>
      <c r="L200" s="1">
        <v>100</v>
      </c>
      <c r="M200" s="1" t="str">
        <f t="shared" si="41"/>
        <v>مخازن قير اصفهان</v>
      </c>
      <c r="N200" s="1">
        <v>9938</v>
      </c>
      <c r="O200" s="1">
        <v>50032164</v>
      </c>
      <c r="P200" s="1" t="str">
        <f>"  سازمان عمران شهرداري زاهدان"</f>
        <v xml:space="preserve">  سازمان عمران شهرداري زاهدان</v>
      </c>
      <c r="Q200" s="1">
        <v>11</v>
      </c>
      <c r="R200" s="1" t="str">
        <f>"فروش داخلي تهران - بورس"</f>
        <v>فروش داخلي تهران - بورس</v>
      </c>
      <c r="S200" s="1" t="str">
        <f t="shared" si="42"/>
        <v>قرارداد فروش</v>
      </c>
      <c r="T200" s="1" t="str">
        <f t="shared" si="43"/>
        <v>ندارد</v>
      </c>
      <c r="U200" s="1" t="str">
        <f>"ميرحسيني سيناترابر سيدمحمد(4854031)"</f>
        <v>ميرحسيني سيناترابر سيدمحمد(4854031)</v>
      </c>
      <c r="V200" s="1">
        <v>951100129</v>
      </c>
      <c r="W200" s="1">
        <v>951100129</v>
      </c>
      <c r="X200" s="1" t="str">
        <f>"1395436769"</f>
        <v>1395436769</v>
      </c>
      <c r="Y200" s="1" t="str">
        <f>"95/07/18"</f>
        <v>95/07/18</v>
      </c>
      <c r="Z200" s="1" t="str">
        <f>"95-34706"</f>
        <v>95-34706</v>
      </c>
      <c r="AA200" s="1" t="str">
        <f t="shared" si="44"/>
        <v>شهرداريها</v>
      </c>
      <c r="AB200" s="1" t="str">
        <f>"95/07/18"</f>
        <v>95/07/18</v>
      </c>
      <c r="AC200" s="1" t="str">
        <f>"استان سيستان بلوچستان"</f>
        <v>استان سيستان بلوچستان</v>
      </c>
      <c r="AD200" s="1" t="str">
        <f>"95/07/17"</f>
        <v>95/07/17</v>
      </c>
      <c r="AE200" s="1" t="str">
        <f t="shared" si="39"/>
        <v>اختتام</v>
      </c>
      <c r="AF200" s="1" t="str">
        <f>""</f>
        <v/>
      </c>
      <c r="AG200" s="1" t="str">
        <f>""</f>
        <v/>
      </c>
      <c r="AH200" s="1" t="str">
        <f>""</f>
        <v/>
      </c>
      <c r="AI200" s="1" t="str">
        <f>""</f>
        <v/>
      </c>
      <c r="AJ200" s="1" t="str">
        <f>""</f>
        <v/>
      </c>
      <c r="AK200" s="1" t="str">
        <f>""</f>
        <v/>
      </c>
    </row>
    <row r="201" spans="1:37" x14ac:dyDescent="0.2">
      <c r="A201" s="1">
        <v>75000</v>
      </c>
      <c r="B201" s="1">
        <v>952000038</v>
      </c>
      <c r="C201" s="1" t="str">
        <f>"تخليه -اصفهان گردنه زينل كارخانه كاشمر"</f>
        <v>تخليه -اصفهان گردنه زينل كارخانه كاشمر</v>
      </c>
      <c r="D201" s="1">
        <v>6876</v>
      </c>
      <c r="E201" s="1">
        <v>74820</v>
      </c>
      <c r="F201" s="1">
        <v>95</v>
      </c>
      <c r="G201" s="1">
        <v>180</v>
      </c>
      <c r="H201" s="1" t="str">
        <f>"95/06/07"</f>
        <v>95/06/07</v>
      </c>
      <c r="I201" s="1" t="str">
        <f t="shared" si="40"/>
        <v>كيلوگرم</v>
      </c>
      <c r="J201" s="1" t="str">
        <f t="shared" si="36"/>
        <v>0000000076</v>
      </c>
      <c r="K201" s="1" t="str">
        <f t="shared" si="37"/>
        <v>قير 60/70 - فله</v>
      </c>
      <c r="L201" s="1">
        <v>100</v>
      </c>
      <c r="M201" s="1" t="str">
        <f t="shared" si="41"/>
        <v>مخازن قير اصفهان</v>
      </c>
      <c r="N201" s="1">
        <v>10060</v>
      </c>
      <c r="O201" s="1">
        <v>50031675</v>
      </c>
      <c r="P201" s="1" t="str">
        <f>"  شهرداري قهجاورستان"</f>
        <v xml:space="preserve">  شهرداري قهجاورستان</v>
      </c>
      <c r="Q201" s="1">
        <v>20</v>
      </c>
      <c r="R201" s="1" t="str">
        <f>"فروش داخلي - سازمان شهرداري ها و دهياري هاي كشور"</f>
        <v>فروش داخلي - سازمان شهرداري ها و دهياري هاي كشور</v>
      </c>
      <c r="S201" s="1" t="str">
        <f t="shared" si="42"/>
        <v>قرارداد فروش</v>
      </c>
      <c r="T201" s="1" t="str">
        <f t="shared" si="43"/>
        <v>ندارد</v>
      </c>
      <c r="U201" s="1" t="str">
        <f>"معماريان حميد(1032ج89)"</f>
        <v>معماريان حميد(1032ج89)</v>
      </c>
      <c r="V201" s="1">
        <v>952000038</v>
      </c>
      <c r="W201" s="1">
        <v>952000038</v>
      </c>
      <c r="X201" s="1" t="str">
        <f>"1395426944"</f>
        <v>1395426944</v>
      </c>
      <c r="Y201" s="1" t="str">
        <f>"95/06/07"</f>
        <v>95/06/07</v>
      </c>
      <c r="Z201" s="1" t="str">
        <f>"24501"</f>
        <v>24501</v>
      </c>
      <c r="AA201" s="1" t="str">
        <f t="shared" si="44"/>
        <v>شهرداريها</v>
      </c>
      <c r="AB201" s="1" t="str">
        <f>"95/05/30"</f>
        <v>95/05/30</v>
      </c>
      <c r="AC201" s="1" t="str">
        <f>"استان اصفهان"</f>
        <v>استان اصفهان</v>
      </c>
      <c r="AD201" s="1" t="str">
        <f>"95/06/06"</f>
        <v>95/06/06</v>
      </c>
      <c r="AE201" s="1" t="str">
        <f t="shared" si="39"/>
        <v>اختتام</v>
      </c>
      <c r="AF201" s="1" t="str">
        <f>""</f>
        <v/>
      </c>
      <c r="AG201" s="1" t="str">
        <f>""</f>
        <v/>
      </c>
      <c r="AH201" s="1" t="str">
        <f>""</f>
        <v/>
      </c>
      <c r="AI201" s="1" t="str">
        <f>""</f>
        <v/>
      </c>
      <c r="AJ201" s="1" t="str">
        <f>""</f>
        <v/>
      </c>
      <c r="AK201" s="1" t="str">
        <f>""</f>
        <v/>
      </c>
    </row>
    <row r="202" spans="1:37" x14ac:dyDescent="0.2">
      <c r="A202" s="1">
        <v>73000</v>
      </c>
      <c r="B202" s="1">
        <v>952000266</v>
      </c>
      <c r="C202" s="1" t="str">
        <f>"تخليه - اصفهان - شهرک صنعتي مبارکه-جنب پلي اکريل کارخانه آسفالت غفراني شرکت محکم بناسازان"</f>
        <v>تخليه - اصفهان - شهرک صنعتي مبارکه-جنب پلي اکريل کارخانه آسفالت غفراني شرکت محکم بناسازان</v>
      </c>
      <c r="D202" s="1">
        <v>7026</v>
      </c>
      <c r="E202" s="1">
        <v>72480</v>
      </c>
      <c r="F202" s="1">
        <v>95</v>
      </c>
      <c r="G202" s="1">
        <v>520</v>
      </c>
      <c r="H202" s="1" t="str">
        <f>"95/09/09"</f>
        <v>95/09/09</v>
      </c>
      <c r="I202" s="1" t="str">
        <f t="shared" si="40"/>
        <v>كيلوگرم</v>
      </c>
      <c r="J202" s="1" t="str">
        <f t="shared" si="36"/>
        <v>0000000076</v>
      </c>
      <c r="K202" s="1" t="str">
        <f t="shared" si="37"/>
        <v>قير 60/70 - فله</v>
      </c>
      <c r="L202" s="1">
        <v>100</v>
      </c>
      <c r="M202" s="1" t="str">
        <f t="shared" si="41"/>
        <v>مخازن قير اصفهان</v>
      </c>
      <c r="N202" s="1">
        <v>10065</v>
      </c>
      <c r="O202" s="1">
        <v>50032739</v>
      </c>
      <c r="P202" s="1" t="str">
        <f>"  شهرداري عسگران"</f>
        <v xml:space="preserve">  شهرداري عسگران</v>
      </c>
      <c r="Q202" s="1">
        <v>20</v>
      </c>
      <c r="R202" s="1" t="str">
        <f>"فروش داخلي - سازمان شهرداري ها و دهياري هاي كشور"</f>
        <v>فروش داخلي - سازمان شهرداري ها و دهياري هاي كشور</v>
      </c>
      <c r="S202" s="1" t="str">
        <f t="shared" si="42"/>
        <v>قرارداد فروش</v>
      </c>
      <c r="T202" s="1" t="str">
        <f t="shared" si="43"/>
        <v>ندارد</v>
      </c>
      <c r="U202" s="1" t="str">
        <f>"ريسماني حسن(1007ج89)"</f>
        <v>ريسماني حسن(1007ج89)</v>
      </c>
      <c r="V202" s="1">
        <v>952000266</v>
      </c>
      <c r="W202" s="1">
        <v>952000266</v>
      </c>
      <c r="X202" s="1" t="str">
        <f>"1395447768"</f>
        <v>1395447768</v>
      </c>
      <c r="Y202" s="1" t="str">
        <f>"95/09/09"</f>
        <v>95/09/09</v>
      </c>
      <c r="Z202" s="1" t="str">
        <f>"43212"</f>
        <v>43212</v>
      </c>
      <c r="AA202" s="1" t="str">
        <f t="shared" si="44"/>
        <v>شهرداريها</v>
      </c>
      <c r="AB202" s="1" t="str">
        <f>"95/09/01"</f>
        <v>95/09/01</v>
      </c>
      <c r="AC202" s="1" t="str">
        <f>"استان اصفهان"</f>
        <v>استان اصفهان</v>
      </c>
      <c r="AD202" s="1" t="str">
        <f>"95/09/07"</f>
        <v>95/09/07</v>
      </c>
      <c r="AE202" s="1" t="str">
        <f t="shared" si="39"/>
        <v>اختتام</v>
      </c>
      <c r="AF202" s="1" t="str">
        <f>""</f>
        <v/>
      </c>
      <c r="AG202" s="1" t="str">
        <f>""</f>
        <v/>
      </c>
      <c r="AH202" s="1" t="str">
        <f>""</f>
        <v/>
      </c>
      <c r="AI202" s="1" t="str">
        <f>""</f>
        <v/>
      </c>
      <c r="AJ202" s="1" t="str">
        <f>""</f>
        <v/>
      </c>
      <c r="AK202" s="1" t="str">
        <f>""</f>
        <v/>
      </c>
    </row>
    <row r="203" spans="1:37" x14ac:dyDescent="0.2">
      <c r="A203" s="1">
        <v>79000</v>
      </c>
      <c r="B203" s="1">
        <v>952000314</v>
      </c>
      <c r="C203" s="1" t="str">
        <f>"تخليه -اصفهان -كاشان كيلومتر17جاده قمصر-شركت بتن آسفالت مهر"</f>
        <v>تخليه -اصفهان -كاشان كيلومتر17جاده قمصر-شركت بتن آسفالت مهر</v>
      </c>
      <c r="D203" s="1">
        <v>9361</v>
      </c>
      <c r="E203" s="1">
        <v>78380</v>
      </c>
      <c r="F203" s="1">
        <v>95</v>
      </c>
      <c r="G203" s="1">
        <v>620</v>
      </c>
      <c r="H203" s="1" t="str">
        <f>"95/11/23"</f>
        <v>95/11/23</v>
      </c>
      <c r="I203" s="1" t="str">
        <f t="shared" si="40"/>
        <v>كيلوگرم</v>
      </c>
      <c r="J203" s="1" t="str">
        <f t="shared" si="36"/>
        <v>0000000076</v>
      </c>
      <c r="K203" s="1" t="str">
        <f t="shared" si="37"/>
        <v>قير 60/70 - فله</v>
      </c>
      <c r="L203" s="1">
        <v>100</v>
      </c>
      <c r="M203" s="1" t="str">
        <f t="shared" si="41"/>
        <v>مخازن قير اصفهان</v>
      </c>
      <c r="N203" s="1">
        <v>10084</v>
      </c>
      <c r="O203" s="1">
        <v>50033671</v>
      </c>
      <c r="P203" s="1" t="str">
        <f>"  شهرداري نوش آباد"</f>
        <v xml:space="preserve">  شهرداري نوش آباد</v>
      </c>
      <c r="Q203" s="1">
        <v>20</v>
      </c>
      <c r="R203" s="1" t="str">
        <f>"فروش داخلي - سازمان شهرداري ها و دهياري هاي كشور"</f>
        <v>فروش داخلي - سازمان شهرداري ها و دهياري هاي كشور</v>
      </c>
      <c r="S203" s="1" t="str">
        <f t="shared" si="42"/>
        <v>قرارداد فروش</v>
      </c>
      <c r="T203" s="1" t="str">
        <f t="shared" si="43"/>
        <v>ندارد</v>
      </c>
      <c r="U203" s="1" t="str">
        <f>"شهبازي محمدرضا(1029ج89)"</f>
        <v>شهبازي محمدرضا(1029ج89)</v>
      </c>
      <c r="V203" s="1">
        <v>952000314</v>
      </c>
      <c r="W203" s="1">
        <v>952000314</v>
      </c>
      <c r="X203" s="1" t="str">
        <f>"1395464401"</f>
        <v>1395464401</v>
      </c>
      <c r="Y203" s="1" t="str">
        <f>"95/11/23"</f>
        <v>95/11/23</v>
      </c>
      <c r="Z203" s="1" t="str">
        <f>"43471"</f>
        <v>43471</v>
      </c>
      <c r="AA203" s="1" t="str">
        <f t="shared" si="44"/>
        <v>شهرداريها</v>
      </c>
      <c r="AB203" s="1" t="str">
        <f>"95/09/02"</f>
        <v>95/09/02</v>
      </c>
      <c r="AC203" s="1" t="str">
        <f>"استان اصفهان"</f>
        <v>استان اصفهان</v>
      </c>
      <c r="AD203" s="1" t="str">
        <f>"95/11/23"</f>
        <v>95/11/23</v>
      </c>
      <c r="AE203" s="1" t="str">
        <f t="shared" si="39"/>
        <v>اختتام</v>
      </c>
      <c r="AF203" s="1" t="str">
        <f>""</f>
        <v/>
      </c>
      <c r="AG203" s="1" t="str">
        <f>""</f>
        <v/>
      </c>
      <c r="AH203" s="1" t="str">
        <f>""</f>
        <v/>
      </c>
      <c r="AI203" s="1" t="str">
        <f>""</f>
        <v/>
      </c>
      <c r="AJ203" s="1" t="str">
        <f>""</f>
        <v/>
      </c>
      <c r="AK203" s="1" t="str">
        <f>""</f>
        <v/>
      </c>
    </row>
    <row r="204" spans="1:37" x14ac:dyDescent="0.2">
      <c r="A204" s="1">
        <v>90000</v>
      </c>
      <c r="B204" s="1">
        <v>956200038</v>
      </c>
      <c r="C204" s="1" t="str">
        <f>"تخليه -يزد-خاتم -كيلومتر2جاده سياهوئيه - کارخانه آسفالت بسترسازان کوير"</f>
        <v>تخليه -يزد-خاتم -كيلومتر2جاده سياهوئيه - کارخانه آسفالت بسترسازان کوير</v>
      </c>
      <c r="D204" s="1">
        <v>5950</v>
      </c>
      <c r="E204" s="1">
        <v>89140</v>
      </c>
      <c r="F204" s="1">
        <v>95</v>
      </c>
      <c r="G204" s="1">
        <v>860</v>
      </c>
      <c r="H204" s="1" t="str">
        <f>"95/04/05"</f>
        <v>95/04/05</v>
      </c>
      <c r="I204" s="1" t="str">
        <f t="shared" si="40"/>
        <v>كيلوگرم</v>
      </c>
      <c r="J204" s="1" t="str">
        <f t="shared" si="36"/>
        <v>0000000076</v>
      </c>
      <c r="K204" s="1" t="str">
        <f t="shared" si="37"/>
        <v>قير 60/70 - فله</v>
      </c>
      <c r="L204" s="1">
        <v>100</v>
      </c>
      <c r="M204" s="1" t="str">
        <f t="shared" si="41"/>
        <v>مخازن قير اصفهان</v>
      </c>
      <c r="N204" s="1">
        <v>10088</v>
      </c>
      <c r="O204" s="1">
        <v>50031096</v>
      </c>
      <c r="P204" s="1" t="str">
        <f>"  عمراني بسترسازان كوير"</f>
        <v xml:space="preserve">  عمراني بسترسازان كوير</v>
      </c>
      <c r="Q204" s="1">
        <v>62</v>
      </c>
      <c r="R204" s="1" t="str">
        <f>"فروش داخلي - سازمان بنيادمسكن انقلاب اسلامي"</f>
        <v>فروش داخلي - سازمان بنيادمسكن انقلاب اسلامي</v>
      </c>
      <c r="S204" s="1" t="str">
        <f t="shared" si="42"/>
        <v>قرارداد فروش</v>
      </c>
      <c r="T204" s="1" t="str">
        <f t="shared" si="43"/>
        <v>ندارد</v>
      </c>
      <c r="U204" s="1" t="str">
        <f>"قانعي محمدرضا(1011ج89)"</f>
        <v>قانعي محمدرضا(1011ج89)</v>
      </c>
      <c r="V204" s="1">
        <v>956200038</v>
      </c>
      <c r="W204" s="1">
        <v>956200038</v>
      </c>
      <c r="X204" s="1" t="str">
        <f>"1395411205"</f>
        <v>1395411205</v>
      </c>
      <c r="Y204" s="1" t="str">
        <f>"95/04/05"</f>
        <v>95/04/05</v>
      </c>
      <c r="Z204" s="1" t="str">
        <f>"12844/د"</f>
        <v>12844/د</v>
      </c>
      <c r="AA204" s="1" t="str">
        <f>"بنيادمسكن انقلاب اسلامي"</f>
        <v>بنيادمسكن انقلاب اسلامي</v>
      </c>
      <c r="AB204" s="1" t="str">
        <f>"95/04/01"</f>
        <v>95/04/01</v>
      </c>
      <c r="AC204" s="1" t="str">
        <f>"استان يزد"</f>
        <v>استان يزد</v>
      </c>
      <c r="AD204" s="1" t="str">
        <f>"95/04/05"</f>
        <v>95/04/05</v>
      </c>
      <c r="AE204" s="1" t="str">
        <f t="shared" si="39"/>
        <v>اختتام</v>
      </c>
      <c r="AF204" s="1" t="str">
        <f>""</f>
        <v/>
      </c>
      <c r="AG204" s="1" t="str">
        <f>""</f>
        <v/>
      </c>
      <c r="AH204" s="1" t="str">
        <f>""</f>
        <v/>
      </c>
      <c r="AI204" s="1" t="str">
        <f>""</f>
        <v/>
      </c>
      <c r="AJ204" s="1" t="str">
        <f>""</f>
        <v/>
      </c>
      <c r="AK204" s="1" t="str">
        <f>""</f>
        <v/>
      </c>
    </row>
    <row r="205" spans="1:37" x14ac:dyDescent="0.2">
      <c r="A205" s="1">
        <v>72000</v>
      </c>
      <c r="B205" s="1">
        <v>952000118</v>
      </c>
      <c r="C205" s="1" t="str">
        <f>"تخليه -اصفهان -كاشان -كيلومتر20محوركاشان -قم -درم"</f>
        <v>تخليه -اصفهان -كاشان -كيلومتر20محوركاشان -قم -درم</v>
      </c>
      <c r="D205" s="1">
        <v>6976</v>
      </c>
      <c r="E205" s="1">
        <v>71440</v>
      </c>
      <c r="F205" s="1">
        <v>95</v>
      </c>
      <c r="G205" s="1">
        <v>560</v>
      </c>
      <c r="H205" s="1" t="str">
        <f>"95/07/08"</f>
        <v>95/07/08</v>
      </c>
      <c r="I205" s="1" t="str">
        <f t="shared" si="40"/>
        <v>كيلوگرم</v>
      </c>
      <c r="J205" s="1" t="str">
        <f t="shared" si="36"/>
        <v>0000000076</v>
      </c>
      <c r="K205" s="1" t="str">
        <f t="shared" si="37"/>
        <v>قير 60/70 - فله</v>
      </c>
      <c r="L205" s="1">
        <v>100</v>
      </c>
      <c r="M205" s="1" t="str">
        <f t="shared" si="41"/>
        <v>مخازن قير اصفهان</v>
      </c>
      <c r="N205" s="1">
        <v>10083</v>
      </c>
      <c r="O205" s="1">
        <v>50032029</v>
      </c>
      <c r="P205" s="1" t="str">
        <f>"  شهرداري مشكات"</f>
        <v xml:space="preserve">  شهرداري مشكات</v>
      </c>
      <c r="Q205" s="1">
        <v>20</v>
      </c>
      <c r="R205" s="1" t="str">
        <f>"فروش داخلي - سازمان شهرداري ها و دهياري هاي كشور"</f>
        <v>فروش داخلي - سازمان شهرداري ها و دهياري هاي كشور</v>
      </c>
      <c r="S205" s="1" t="str">
        <f t="shared" si="42"/>
        <v>قرارداد فروش</v>
      </c>
      <c r="T205" s="1" t="str">
        <f t="shared" si="43"/>
        <v>ندارد</v>
      </c>
      <c r="U205" s="1" t="str">
        <f>"كبيري رحمت اله(1024ج89)"</f>
        <v>كبيري رحمت اله(1024ج89)</v>
      </c>
      <c r="V205" s="1">
        <v>952000118</v>
      </c>
      <c r="W205" s="1">
        <v>952000118</v>
      </c>
      <c r="X205" s="1" t="str">
        <f>"1395434881"</f>
        <v>1395434881</v>
      </c>
      <c r="Y205" s="1" t="str">
        <f>"95/07/08"</f>
        <v>95/07/08</v>
      </c>
      <c r="Z205" s="1" t="str">
        <f>"27678"</f>
        <v>27678</v>
      </c>
      <c r="AA205" s="1" t="str">
        <f t="shared" ref="AA205:AA214" si="45">"شهرداريها"</f>
        <v>شهرداريها</v>
      </c>
      <c r="AB205" s="1" t="str">
        <f>"95/06/10"</f>
        <v>95/06/10</v>
      </c>
      <c r="AC205" s="1" t="str">
        <f>"استان اصفهان"</f>
        <v>استان اصفهان</v>
      </c>
      <c r="AD205" s="1" t="str">
        <f>"95/07/07"</f>
        <v>95/07/07</v>
      </c>
      <c r="AE205" s="1" t="str">
        <f t="shared" si="39"/>
        <v>اختتام</v>
      </c>
      <c r="AF205" s="1" t="str">
        <f>""</f>
        <v/>
      </c>
      <c r="AG205" s="1" t="str">
        <f>""</f>
        <v/>
      </c>
      <c r="AH205" s="1" t="str">
        <f>""</f>
        <v/>
      </c>
      <c r="AI205" s="1" t="str">
        <f>""</f>
        <v/>
      </c>
      <c r="AJ205" s="1" t="str">
        <f>""</f>
        <v/>
      </c>
      <c r="AK205" s="1" t="str">
        <f>""</f>
        <v/>
      </c>
    </row>
    <row r="206" spans="1:37" x14ac:dyDescent="0.2">
      <c r="A206" s="1">
        <v>73000</v>
      </c>
      <c r="B206" s="1">
        <v>952000294</v>
      </c>
      <c r="C206" s="1" t="str">
        <f>"تخليه -اصفهان -كاشان -كيلومتر20محوركاشان -قم -درم"</f>
        <v>تخليه -اصفهان -كاشان -كيلومتر20محوركاشان -قم -درم</v>
      </c>
      <c r="D206" s="1">
        <v>7026</v>
      </c>
      <c r="E206" s="1">
        <v>71800</v>
      </c>
      <c r="F206" s="1">
        <v>95</v>
      </c>
      <c r="G206" s="1">
        <v>1200</v>
      </c>
      <c r="H206" s="1" t="str">
        <f>"95/09/09"</f>
        <v>95/09/09</v>
      </c>
      <c r="I206" s="1" t="str">
        <f t="shared" si="40"/>
        <v>كيلوگرم</v>
      </c>
      <c r="J206" s="1" t="str">
        <f t="shared" si="36"/>
        <v>0000000076</v>
      </c>
      <c r="K206" s="1" t="str">
        <f t="shared" si="37"/>
        <v>قير 60/70 - فله</v>
      </c>
      <c r="L206" s="1">
        <v>100</v>
      </c>
      <c r="M206" s="1" t="str">
        <f t="shared" si="41"/>
        <v>مخازن قير اصفهان</v>
      </c>
      <c r="N206" s="1">
        <v>10083</v>
      </c>
      <c r="O206" s="1">
        <v>50032775</v>
      </c>
      <c r="P206" s="1" t="str">
        <f>"  شهرداري مشكات"</f>
        <v xml:space="preserve">  شهرداري مشكات</v>
      </c>
      <c r="Q206" s="1">
        <v>20</v>
      </c>
      <c r="R206" s="1" t="str">
        <f>"فروش داخلي - سازمان شهرداري ها و دهياري هاي كشور"</f>
        <v>فروش داخلي - سازمان شهرداري ها و دهياري هاي كشور</v>
      </c>
      <c r="S206" s="1" t="str">
        <f t="shared" si="42"/>
        <v>قرارداد فروش</v>
      </c>
      <c r="T206" s="1" t="str">
        <f t="shared" si="43"/>
        <v>ندارد</v>
      </c>
      <c r="U206" s="1" t="str">
        <f>"كبيري رحمت اله(1024ج89)"</f>
        <v>كبيري رحمت اله(1024ج89)</v>
      </c>
      <c r="V206" s="1">
        <v>952000294</v>
      </c>
      <c r="W206" s="1">
        <v>952000294</v>
      </c>
      <c r="X206" s="1" t="str">
        <f>"1395447798"</f>
        <v>1395447798</v>
      </c>
      <c r="Y206" s="1" t="str">
        <f>"95/09/09"</f>
        <v>95/09/09</v>
      </c>
      <c r="Z206" s="1" t="str">
        <f>"43283"</f>
        <v>43283</v>
      </c>
      <c r="AA206" s="1" t="str">
        <f t="shared" si="45"/>
        <v>شهرداريها</v>
      </c>
      <c r="AB206" s="1" t="str">
        <f>"95/09/02"</f>
        <v>95/09/02</v>
      </c>
      <c r="AC206" s="1" t="str">
        <f>"استان اصفهان"</f>
        <v>استان اصفهان</v>
      </c>
      <c r="AD206" s="1" t="str">
        <f>"95/09/07"</f>
        <v>95/09/07</v>
      </c>
      <c r="AE206" s="1" t="str">
        <f t="shared" si="39"/>
        <v>اختتام</v>
      </c>
      <c r="AF206" s="1" t="str">
        <f>""</f>
        <v/>
      </c>
      <c r="AG206" s="1" t="str">
        <f>""</f>
        <v/>
      </c>
      <c r="AH206" s="1" t="str">
        <f>""</f>
        <v/>
      </c>
      <c r="AI206" s="1" t="str">
        <f>""</f>
        <v/>
      </c>
      <c r="AJ206" s="1" t="str">
        <f>""</f>
        <v/>
      </c>
      <c r="AK206" s="1" t="str">
        <f>""</f>
        <v/>
      </c>
    </row>
    <row r="207" spans="1:37" x14ac:dyDescent="0.2">
      <c r="A207" s="1">
        <v>1000000</v>
      </c>
      <c r="B207" s="1">
        <v>951100027</v>
      </c>
      <c r="C207" s="1" t="str">
        <f>"تخليه -يزد15كيلومتري جاده خضرآبادكارخانه آسفالت سازمان عمران ونوسازي شهرداري يزد"</f>
        <v>تخليه -يزد15كيلومتري جاده خضرآبادكارخانه آسفالت سازمان عمران ونوسازي شهرداري يزد</v>
      </c>
      <c r="D207" s="1">
        <v>5650</v>
      </c>
      <c r="E207" s="1">
        <v>1000000</v>
      </c>
      <c r="F207" s="1">
        <v>95</v>
      </c>
      <c r="G207" s="1">
        <v>0</v>
      </c>
      <c r="H207" s="1" t="str">
        <f>"95/02/07"</f>
        <v>95/02/07</v>
      </c>
      <c r="I207" s="1" t="str">
        <f t="shared" si="40"/>
        <v>كيلوگرم</v>
      </c>
      <c r="J207" s="1" t="str">
        <f t="shared" si="36"/>
        <v>0000000076</v>
      </c>
      <c r="K207" s="1" t="str">
        <f t="shared" si="37"/>
        <v>قير 60/70 - فله</v>
      </c>
      <c r="L207" s="1">
        <v>100</v>
      </c>
      <c r="M207" s="1" t="str">
        <f t="shared" si="41"/>
        <v>مخازن قير اصفهان</v>
      </c>
      <c r="N207" s="1">
        <v>10012</v>
      </c>
      <c r="O207" s="1">
        <v>50030639</v>
      </c>
      <c r="P207" s="1" t="str">
        <f>"  شهرداري يزد"</f>
        <v xml:space="preserve">  شهرداري يزد</v>
      </c>
      <c r="Q207" s="1">
        <v>11</v>
      </c>
      <c r="R207" s="1" t="str">
        <f>"فروش داخلي تهران - بورس"</f>
        <v>فروش داخلي تهران - بورس</v>
      </c>
      <c r="S207" s="1" t="str">
        <f t="shared" si="42"/>
        <v>قرارداد فروش</v>
      </c>
      <c r="T207" s="1" t="str">
        <f t="shared" si="43"/>
        <v>ندارد</v>
      </c>
      <c r="U207" s="1" t="str">
        <f>"غلام نجفي سيامك‌‌‌‌‌‌(1881082)"</f>
        <v>غلام نجفي سيامك‌‌‌‌‌‌(1881082)</v>
      </c>
      <c r="V207" s="1">
        <v>951100027</v>
      </c>
      <c r="W207" s="1">
        <v>951100027</v>
      </c>
      <c r="X207" s="1" t="str">
        <f>"1395401396"</f>
        <v>1395401396</v>
      </c>
      <c r="Y207" s="1" t="str">
        <f>"95/02/07"</f>
        <v>95/02/07</v>
      </c>
      <c r="Z207" s="1" t="str">
        <f>"950005192"</f>
        <v>950005192</v>
      </c>
      <c r="AA207" s="1" t="str">
        <f t="shared" si="45"/>
        <v>شهرداريها</v>
      </c>
      <c r="AB207" s="1" t="str">
        <f>"95/02/06"</f>
        <v>95/02/06</v>
      </c>
      <c r="AC207" s="1" t="str">
        <f>"استان يزد"</f>
        <v>استان يزد</v>
      </c>
      <c r="AD207" s="1" t="str">
        <f>"95/02/07"</f>
        <v>95/02/07</v>
      </c>
      <c r="AE207" s="1" t="str">
        <f>"تاييدشده"</f>
        <v>تاييدشده</v>
      </c>
      <c r="AF207" s="1" t="str">
        <f>""</f>
        <v/>
      </c>
      <c r="AG207" s="1" t="str">
        <f>""</f>
        <v/>
      </c>
      <c r="AH207" s="1" t="str">
        <f>""</f>
        <v/>
      </c>
      <c r="AI207" s="1" t="str">
        <f>""</f>
        <v/>
      </c>
      <c r="AJ207" s="1" t="str">
        <f>""</f>
        <v/>
      </c>
      <c r="AK207" s="1" t="str">
        <f>""</f>
        <v/>
      </c>
    </row>
    <row r="208" spans="1:37" x14ac:dyDescent="0.2">
      <c r="A208" s="1">
        <v>70000</v>
      </c>
      <c r="B208" s="1">
        <v>952000276</v>
      </c>
      <c r="C208" s="1" t="str">
        <f>"تخليه -اصفهان كيلومتر5جاده كارخانه آسفالت ثمين راه صفاهان"</f>
        <v>تخليه -اصفهان كيلومتر5جاده كارخانه آسفالت ثمين راه صفاهان</v>
      </c>
      <c r="D208" s="1">
        <v>7026</v>
      </c>
      <c r="E208" s="1">
        <v>68800</v>
      </c>
      <c r="F208" s="1">
        <v>95</v>
      </c>
      <c r="G208" s="1">
        <v>1200</v>
      </c>
      <c r="H208" s="1" t="str">
        <f>"95/09/09"</f>
        <v>95/09/09</v>
      </c>
      <c r="I208" s="1" t="str">
        <f t="shared" si="40"/>
        <v>كيلوگرم</v>
      </c>
      <c r="J208" s="1" t="str">
        <f t="shared" si="36"/>
        <v>0000000076</v>
      </c>
      <c r="K208" s="1" t="str">
        <f t="shared" si="37"/>
        <v>قير 60/70 - فله</v>
      </c>
      <c r="L208" s="1">
        <v>100</v>
      </c>
      <c r="M208" s="1" t="str">
        <f t="shared" si="41"/>
        <v>مخازن قير اصفهان</v>
      </c>
      <c r="N208" s="1">
        <v>10042</v>
      </c>
      <c r="O208" s="1">
        <v>50032751</v>
      </c>
      <c r="P208" s="1" t="str">
        <f>"  شهرداري حسن آباد"</f>
        <v xml:space="preserve">  شهرداري حسن آباد</v>
      </c>
      <c r="Q208" s="1">
        <v>20</v>
      </c>
      <c r="R208" s="1" t="str">
        <f t="shared" ref="R208:R213" si="46">"فروش داخلي - سازمان شهرداري ها و دهياري هاي كشور"</f>
        <v>فروش داخلي - سازمان شهرداري ها و دهياري هاي كشور</v>
      </c>
      <c r="S208" s="1" t="str">
        <f t="shared" si="42"/>
        <v>قرارداد فروش</v>
      </c>
      <c r="T208" s="1" t="str">
        <f t="shared" si="43"/>
        <v>ندارد</v>
      </c>
      <c r="U208" s="1" t="str">
        <f>"شهبازي محمدرضا(1029ج89)"</f>
        <v>شهبازي محمدرضا(1029ج89)</v>
      </c>
      <c r="V208" s="1">
        <v>952000276</v>
      </c>
      <c r="W208" s="1">
        <v>952000276</v>
      </c>
      <c r="X208" s="1" t="str">
        <f>"1395447768"</f>
        <v>1395447768</v>
      </c>
      <c r="Y208" s="1" t="str">
        <f>"95/09/09"</f>
        <v>95/09/09</v>
      </c>
      <c r="Z208" s="1" t="str">
        <f>"43229"</f>
        <v>43229</v>
      </c>
      <c r="AA208" s="1" t="str">
        <f t="shared" si="45"/>
        <v>شهرداريها</v>
      </c>
      <c r="AB208" s="1" t="str">
        <f>"95/09/01"</f>
        <v>95/09/01</v>
      </c>
      <c r="AC208" s="1" t="str">
        <f t="shared" ref="AC208:AC213" si="47">"استان اصفهان"</f>
        <v>استان اصفهان</v>
      </c>
      <c r="AD208" s="1" t="str">
        <f>"95/09/07"</f>
        <v>95/09/07</v>
      </c>
      <c r="AE208" s="1" t="str">
        <f t="shared" ref="AE208:AE222" si="48">"اختتام"</f>
        <v>اختتام</v>
      </c>
      <c r="AF208" s="1" t="str">
        <f>""</f>
        <v/>
      </c>
      <c r="AG208" s="1" t="str">
        <f>""</f>
        <v/>
      </c>
      <c r="AH208" s="1" t="str">
        <f>""</f>
        <v/>
      </c>
      <c r="AI208" s="1" t="str">
        <f>""</f>
        <v/>
      </c>
      <c r="AJ208" s="1" t="str">
        <f>""</f>
        <v/>
      </c>
      <c r="AK208" s="1" t="str">
        <f>""</f>
        <v/>
      </c>
    </row>
    <row r="209" spans="1:37" x14ac:dyDescent="0.2">
      <c r="A209" s="1">
        <v>150000</v>
      </c>
      <c r="B209" s="1">
        <v>952000140</v>
      </c>
      <c r="C209" s="1" t="str">
        <f>"تخليه - اصفهان- نائين -کيلومتر 70 جاده انارک -فردسازه سپاهان"</f>
        <v>تخليه - اصفهان- نائين -کيلومتر 70 جاده انارک -فردسازه سپاهان</v>
      </c>
      <c r="D209" s="1">
        <v>6976</v>
      </c>
      <c r="E209" s="1">
        <v>149120</v>
      </c>
      <c r="F209" s="1">
        <v>95</v>
      </c>
      <c r="G209" s="1">
        <v>880</v>
      </c>
      <c r="H209" s="1" t="str">
        <f>"95/07/14"</f>
        <v>95/07/14</v>
      </c>
      <c r="I209" s="1" t="str">
        <f t="shared" si="40"/>
        <v>كيلوگرم</v>
      </c>
      <c r="J209" s="1" t="str">
        <f t="shared" si="36"/>
        <v>0000000076</v>
      </c>
      <c r="K209" s="1" t="str">
        <f t="shared" si="37"/>
        <v>قير 60/70 - فله</v>
      </c>
      <c r="L209" s="1">
        <v>100</v>
      </c>
      <c r="M209" s="1" t="str">
        <f t="shared" si="41"/>
        <v>مخازن قير اصفهان</v>
      </c>
      <c r="N209" s="1">
        <v>9363</v>
      </c>
      <c r="O209" s="1">
        <v>50032095</v>
      </c>
      <c r="P209" s="1" t="str">
        <f>"  شهرداري نائين"</f>
        <v xml:space="preserve">  شهرداري نائين</v>
      </c>
      <c r="Q209" s="1">
        <v>20</v>
      </c>
      <c r="R209" s="1" t="str">
        <f t="shared" si="46"/>
        <v>فروش داخلي - سازمان شهرداري ها و دهياري هاي كشور</v>
      </c>
      <c r="S209" s="1" t="str">
        <f t="shared" si="42"/>
        <v>قرارداد فروش</v>
      </c>
      <c r="T209" s="1" t="str">
        <f t="shared" si="43"/>
        <v>ندارد</v>
      </c>
      <c r="U209" s="1" t="str">
        <f>"علي عابدي ابوالقاسم(1003ج89)"</f>
        <v>علي عابدي ابوالقاسم(1003ج89)</v>
      </c>
      <c r="V209" s="1">
        <v>952000140</v>
      </c>
      <c r="W209" s="1">
        <v>952000140</v>
      </c>
      <c r="X209" s="1" t="str">
        <f>"1395436486"</f>
        <v>1395436486</v>
      </c>
      <c r="Y209" s="1" t="str">
        <f>"95/07/14"</f>
        <v>95/07/14</v>
      </c>
      <c r="Z209" s="1" t="str">
        <f>"27752"</f>
        <v>27752</v>
      </c>
      <c r="AA209" s="1" t="str">
        <f t="shared" si="45"/>
        <v>شهرداريها</v>
      </c>
      <c r="AB209" s="1" t="str">
        <f>"95/06/10"</f>
        <v>95/06/10</v>
      </c>
      <c r="AC209" s="1" t="str">
        <f t="shared" si="47"/>
        <v>استان اصفهان</v>
      </c>
      <c r="AD209" s="1" t="str">
        <f>"95/07/14"</f>
        <v>95/07/14</v>
      </c>
      <c r="AE209" s="1" t="str">
        <f t="shared" si="48"/>
        <v>اختتام</v>
      </c>
      <c r="AF209" s="1" t="str">
        <f>""</f>
        <v/>
      </c>
      <c r="AG209" s="1" t="str">
        <f>""</f>
        <v/>
      </c>
      <c r="AH209" s="1" t="str">
        <f>""</f>
        <v/>
      </c>
      <c r="AI209" s="1" t="str">
        <f>""</f>
        <v/>
      </c>
      <c r="AJ209" s="1" t="str">
        <f>""</f>
        <v/>
      </c>
      <c r="AK209" s="1" t="str">
        <f>""</f>
        <v/>
      </c>
    </row>
    <row r="210" spans="1:37" x14ac:dyDescent="0.2">
      <c r="A210" s="1">
        <v>188000</v>
      </c>
      <c r="B210" s="1">
        <v>952000312</v>
      </c>
      <c r="C210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210" s="1">
        <v>9361</v>
      </c>
      <c r="E210" s="1">
        <v>186940</v>
      </c>
      <c r="F210" s="1">
        <v>95</v>
      </c>
      <c r="G210" s="1">
        <v>1060</v>
      </c>
      <c r="H210" s="1" t="str">
        <f>"95/11/23"</f>
        <v>95/11/23</v>
      </c>
      <c r="I210" s="1" t="str">
        <f t="shared" si="40"/>
        <v>كيلوگرم</v>
      </c>
      <c r="J210" s="1" t="str">
        <f t="shared" si="36"/>
        <v>0000000076</v>
      </c>
      <c r="K210" s="1" t="str">
        <f t="shared" si="37"/>
        <v>قير 60/70 - فله</v>
      </c>
      <c r="L210" s="1">
        <v>100</v>
      </c>
      <c r="M210" s="1" t="str">
        <f t="shared" si="41"/>
        <v>مخازن قير اصفهان</v>
      </c>
      <c r="N210" s="1">
        <v>9370</v>
      </c>
      <c r="O210" s="1">
        <v>50033669</v>
      </c>
      <c r="P210" s="1" t="str">
        <f>"  شهرداري درچه پياز"</f>
        <v xml:space="preserve">  شهرداري درچه پياز</v>
      </c>
      <c r="Q210" s="1">
        <v>20</v>
      </c>
      <c r="R210" s="1" t="str">
        <f t="shared" si="46"/>
        <v>فروش داخلي - سازمان شهرداري ها و دهياري هاي كشور</v>
      </c>
      <c r="S210" s="1" t="str">
        <f t="shared" si="42"/>
        <v>قرارداد فروش</v>
      </c>
      <c r="T210" s="1" t="str">
        <f t="shared" si="43"/>
        <v>ندارد</v>
      </c>
      <c r="U210" s="1" t="str">
        <f>"ريسماني حسن(1007ج89)"</f>
        <v>ريسماني حسن(1007ج89)</v>
      </c>
      <c r="V210" s="1">
        <v>952000312</v>
      </c>
      <c r="W210" s="1">
        <v>952000312</v>
      </c>
      <c r="X210" s="1" t="str">
        <f>"1395464401"</f>
        <v>1395464401</v>
      </c>
      <c r="Y210" s="1" t="str">
        <f>"95/11/23"</f>
        <v>95/11/23</v>
      </c>
      <c r="Z210" s="1" t="str">
        <f>"43227"</f>
        <v>43227</v>
      </c>
      <c r="AA210" s="1" t="str">
        <f t="shared" si="45"/>
        <v>شهرداريها</v>
      </c>
      <c r="AB210" s="1" t="str">
        <f>"95/09/01"</f>
        <v>95/09/01</v>
      </c>
      <c r="AC210" s="1" t="str">
        <f t="shared" si="47"/>
        <v>استان اصفهان</v>
      </c>
      <c r="AD210" s="1" t="str">
        <f>"95/11/23"</f>
        <v>95/11/23</v>
      </c>
      <c r="AE210" s="1" t="str">
        <f t="shared" si="48"/>
        <v>اختتام</v>
      </c>
      <c r="AF210" s="1" t="str">
        <f>""</f>
        <v/>
      </c>
      <c r="AG210" s="1" t="str">
        <f>""</f>
        <v/>
      </c>
      <c r="AH210" s="1" t="str">
        <f>""</f>
        <v/>
      </c>
      <c r="AI210" s="1" t="str">
        <f>""</f>
        <v/>
      </c>
      <c r="AJ210" s="1" t="str">
        <f>""</f>
        <v/>
      </c>
      <c r="AK210" s="1" t="str">
        <f>""</f>
        <v/>
      </c>
    </row>
    <row r="211" spans="1:37" x14ac:dyDescent="0.2">
      <c r="A211" s="1">
        <v>70000</v>
      </c>
      <c r="B211" s="1">
        <v>952000352</v>
      </c>
      <c r="C211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211" s="1">
        <v>9361</v>
      </c>
      <c r="E211" s="1">
        <v>68340</v>
      </c>
      <c r="F211" s="1">
        <v>95</v>
      </c>
      <c r="G211" s="1">
        <v>1660</v>
      </c>
      <c r="H211" s="1" t="str">
        <f>"95/11/30"</f>
        <v>95/11/30</v>
      </c>
      <c r="I211" s="1" t="str">
        <f t="shared" si="40"/>
        <v>كيلوگرم</v>
      </c>
      <c r="J211" s="1" t="str">
        <f t="shared" si="36"/>
        <v>0000000076</v>
      </c>
      <c r="K211" s="1" t="str">
        <f t="shared" si="37"/>
        <v>قير 60/70 - فله</v>
      </c>
      <c r="L211" s="1">
        <v>100</v>
      </c>
      <c r="M211" s="1" t="str">
        <f t="shared" si="41"/>
        <v>مخازن قير اصفهان</v>
      </c>
      <c r="N211" s="1">
        <v>10122</v>
      </c>
      <c r="O211" s="1">
        <v>50033795</v>
      </c>
      <c r="P211" s="1" t="str">
        <f>"  شهرداري فرخي"</f>
        <v xml:space="preserve">  شهرداري فرخي</v>
      </c>
      <c r="Q211" s="1">
        <v>20</v>
      </c>
      <c r="R211" s="1" t="str">
        <f t="shared" si="46"/>
        <v>فروش داخلي - سازمان شهرداري ها و دهياري هاي كشور</v>
      </c>
      <c r="S211" s="1" t="str">
        <f t="shared" si="42"/>
        <v>قرارداد فروش</v>
      </c>
      <c r="T211" s="1" t="str">
        <f t="shared" si="43"/>
        <v>ندارد</v>
      </c>
      <c r="U211" s="1" t="str">
        <f>"مرادي نجاتعلي(1020ج89)"</f>
        <v>مرادي نجاتعلي(1020ج89)</v>
      </c>
      <c r="V211" s="1">
        <v>952000352</v>
      </c>
      <c r="W211" s="1">
        <v>952000352</v>
      </c>
      <c r="X211" s="1" t="str">
        <f>"1395466057"</f>
        <v>1395466057</v>
      </c>
      <c r="Y211" s="1" t="str">
        <f>"95/11/30"</f>
        <v>95/11/30</v>
      </c>
      <c r="Z211" s="1" t="str">
        <f>"27793"</f>
        <v>27793</v>
      </c>
      <c r="AA211" s="1" t="str">
        <f t="shared" si="45"/>
        <v>شهرداريها</v>
      </c>
      <c r="AB211" s="1" t="str">
        <f>"95/06/10"</f>
        <v>95/06/10</v>
      </c>
      <c r="AC211" s="1" t="str">
        <f t="shared" si="47"/>
        <v>استان اصفهان</v>
      </c>
      <c r="AD211" s="1" t="str">
        <f>"95/11/30"</f>
        <v>95/11/30</v>
      </c>
      <c r="AE211" s="1" t="str">
        <f t="shared" si="48"/>
        <v>اختتام</v>
      </c>
      <c r="AF211" s="1" t="str">
        <f>""</f>
        <v/>
      </c>
      <c r="AG211" s="1" t="str">
        <f>""</f>
        <v/>
      </c>
      <c r="AH211" s="1" t="str">
        <f>""</f>
        <v/>
      </c>
      <c r="AI211" s="1" t="str">
        <f>""</f>
        <v/>
      </c>
      <c r="AJ211" s="1" t="str">
        <f>""</f>
        <v/>
      </c>
      <c r="AK211" s="1" t="str">
        <f>""</f>
        <v/>
      </c>
    </row>
    <row r="212" spans="1:37" x14ac:dyDescent="0.2">
      <c r="A212" s="1">
        <v>71000</v>
      </c>
      <c r="B212" s="1">
        <v>952000323</v>
      </c>
      <c r="C212" s="1" t="str">
        <f>"تخليه -اصفهان كيلومتر125محوراصفهان نائين شركت توليدآسفالت نوژان خشت"</f>
        <v>تخليه -اصفهان كيلومتر125محوراصفهان نائين شركت توليدآسفالت نوژان خشت</v>
      </c>
      <c r="D212" s="1">
        <v>9361</v>
      </c>
      <c r="E212" s="1">
        <v>68420</v>
      </c>
      <c r="F212" s="1">
        <v>95</v>
      </c>
      <c r="G212" s="1">
        <v>2580</v>
      </c>
      <c r="H212" s="1" t="str">
        <f>"95/11/23"</f>
        <v>95/11/23</v>
      </c>
      <c r="I212" s="1" t="str">
        <f t="shared" si="40"/>
        <v>كيلوگرم</v>
      </c>
      <c r="J212" s="1" t="str">
        <f t="shared" si="36"/>
        <v>0000000076</v>
      </c>
      <c r="K212" s="1" t="str">
        <f t="shared" si="37"/>
        <v>قير 60/70 - فله</v>
      </c>
      <c r="L212" s="1">
        <v>100</v>
      </c>
      <c r="M212" s="1" t="str">
        <f t="shared" si="41"/>
        <v>مخازن قير اصفهان</v>
      </c>
      <c r="N212" s="1">
        <v>10052</v>
      </c>
      <c r="O212" s="1">
        <v>50033680</v>
      </c>
      <c r="P212" s="1" t="str">
        <f>"  شهرداري كوهپايه"</f>
        <v xml:space="preserve">  شهرداري كوهپايه</v>
      </c>
      <c r="Q212" s="1">
        <v>20</v>
      </c>
      <c r="R212" s="1" t="str">
        <f t="shared" si="46"/>
        <v>فروش داخلي - سازمان شهرداري ها و دهياري هاي كشور</v>
      </c>
      <c r="S212" s="1" t="str">
        <f t="shared" si="42"/>
        <v>قرارداد فروش</v>
      </c>
      <c r="T212" s="1" t="str">
        <f t="shared" si="43"/>
        <v>ندارد</v>
      </c>
      <c r="U212" s="1" t="str">
        <f>"ريسماني حسن(1007ج89)"</f>
        <v>ريسماني حسن(1007ج89)</v>
      </c>
      <c r="V212" s="1">
        <v>952000323</v>
      </c>
      <c r="W212" s="1">
        <v>952000323</v>
      </c>
      <c r="X212" s="1" t="str">
        <f>"1395464401"</f>
        <v>1395464401</v>
      </c>
      <c r="Y212" s="1" t="str">
        <f>"95/11/23"</f>
        <v>95/11/23</v>
      </c>
      <c r="Z212" s="1" t="str">
        <f>"44003"</f>
        <v>44003</v>
      </c>
      <c r="AA212" s="1" t="str">
        <f t="shared" si="45"/>
        <v>شهرداريها</v>
      </c>
      <c r="AB212" s="1" t="str">
        <f>"95/09/06"</f>
        <v>95/09/06</v>
      </c>
      <c r="AC212" s="1" t="str">
        <f t="shared" si="47"/>
        <v>استان اصفهان</v>
      </c>
      <c r="AD212" s="1" t="str">
        <f>"95/11/23"</f>
        <v>95/11/23</v>
      </c>
      <c r="AE212" s="1" t="str">
        <f t="shared" si="48"/>
        <v>اختتام</v>
      </c>
      <c r="AF212" s="1" t="str">
        <f>""</f>
        <v/>
      </c>
      <c r="AG212" s="1" t="str">
        <f>""</f>
        <v/>
      </c>
      <c r="AH212" s="1" t="str">
        <f>""</f>
        <v/>
      </c>
      <c r="AI212" s="1" t="str">
        <f>""</f>
        <v/>
      </c>
      <c r="AJ212" s="1" t="str">
        <f>""</f>
        <v/>
      </c>
      <c r="AK212" s="1" t="str">
        <f>""</f>
        <v/>
      </c>
    </row>
    <row r="213" spans="1:37" x14ac:dyDescent="0.2">
      <c r="A213" s="1">
        <v>77000</v>
      </c>
      <c r="B213" s="1">
        <v>952000044</v>
      </c>
      <c r="C213" s="1" t="str">
        <f>"تخليه -اصفهان -كاشان كيلومتر17جاده قمصر-شركت بتن آسفالت مهر"</f>
        <v>تخليه -اصفهان -كاشان كيلومتر17جاده قمصر-شركت بتن آسفالت مهر</v>
      </c>
      <c r="D213" s="1">
        <v>6876</v>
      </c>
      <c r="E213" s="1">
        <v>75540</v>
      </c>
      <c r="F213" s="1">
        <v>95</v>
      </c>
      <c r="G213" s="1">
        <v>1460</v>
      </c>
      <c r="H213" s="1" t="str">
        <f>"95/06/07"</f>
        <v>95/06/07</v>
      </c>
      <c r="I213" s="1" t="str">
        <f t="shared" si="40"/>
        <v>كيلوگرم</v>
      </c>
      <c r="J213" s="1" t="str">
        <f t="shared" si="36"/>
        <v>0000000076</v>
      </c>
      <c r="K213" s="1" t="str">
        <f t="shared" si="37"/>
        <v>قير 60/70 - فله</v>
      </c>
      <c r="L213" s="1">
        <v>100</v>
      </c>
      <c r="M213" s="1" t="str">
        <f t="shared" si="41"/>
        <v>مخازن قير اصفهان</v>
      </c>
      <c r="N213" s="1">
        <v>10084</v>
      </c>
      <c r="O213" s="1">
        <v>50031690</v>
      </c>
      <c r="P213" s="1" t="str">
        <f>"  شهرداري نوش آباد"</f>
        <v xml:space="preserve">  شهرداري نوش آباد</v>
      </c>
      <c r="Q213" s="1">
        <v>20</v>
      </c>
      <c r="R213" s="1" t="str">
        <f t="shared" si="46"/>
        <v>فروش داخلي - سازمان شهرداري ها و دهياري هاي كشور</v>
      </c>
      <c r="S213" s="1" t="str">
        <f t="shared" si="42"/>
        <v>قرارداد فروش</v>
      </c>
      <c r="T213" s="1" t="str">
        <f t="shared" si="43"/>
        <v>ندارد</v>
      </c>
      <c r="U213" s="1" t="str">
        <f>"شهبازي محمدرضا(1029ج89)"</f>
        <v>شهبازي محمدرضا(1029ج89)</v>
      </c>
      <c r="V213" s="1">
        <v>952000044</v>
      </c>
      <c r="W213" s="1">
        <v>952000044</v>
      </c>
      <c r="X213" s="1" t="str">
        <f>"1395426944"</f>
        <v>1395426944</v>
      </c>
      <c r="Y213" s="1" t="str">
        <f>"95/06/07"</f>
        <v>95/06/07</v>
      </c>
      <c r="Z213" s="1" t="str">
        <f>"24540"</f>
        <v>24540</v>
      </c>
      <c r="AA213" s="1" t="str">
        <f t="shared" si="45"/>
        <v>شهرداريها</v>
      </c>
      <c r="AB213" s="1" t="str">
        <f>"95/05/30"</f>
        <v>95/05/30</v>
      </c>
      <c r="AC213" s="1" t="str">
        <f t="shared" si="47"/>
        <v>استان اصفهان</v>
      </c>
      <c r="AD213" s="1" t="str">
        <f>"95/06/06"</f>
        <v>95/06/06</v>
      </c>
      <c r="AE213" s="1" t="str">
        <f t="shared" si="48"/>
        <v>اختتام</v>
      </c>
      <c r="AF213" s="1" t="str">
        <f>""</f>
        <v/>
      </c>
      <c r="AG213" s="1" t="str">
        <f>""</f>
        <v/>
      </c>
      <c r="AH213" s="1" t="str">
        <f>""</f>
        <v/>
      </c>
      <c r="AI213" s="1" t="str">
        <f>""</f>
        <v/>
      </c>
      <c r="AJ213" s="1" t="str">
        <f>""</f>
        <v/>
      </c>
      <c r="AK213" s="1" t="str">
        <f>""</f>
        <v/>
      </c>
    </row>
    <row r="214" spans="1:37" x14ac:dyDescent="0.2">
      <c r="A214" s="1">
        <v>1000000</v>
      </c>
      <c r="B214" s="1">
        <v>951100033</v>
      </c>
      <c r="C214" s="1" t="str">
        <f>"تخليه -ساوه كيلومتر 5جاده همدان دست راست مجتمع توليدي سازمان عمران شهر داري"</f>
        <v>تخليه -ساوه كيلومتر 5جاده همدان دست راست مجتمع توليدي سازمان عمران شهر داري</v>
      </c>
      <c r="D214" s="1">
        <v>5650</v>
      </c>
      <c r="E214" s="1">
        <v>999960</v>
      </c>
      <c r="F214" s="1">
        <v>95</v>
      </c>
      <c r="G214" s="1">
        <v>40</v>
      </c>
      <c r="H214" s="1" t="str">
        <f>"95/02/13"</f>
        <v>95/02/13</v>
      </c>
      <c r="I214" s="1" t="str">
        <f t="shared" si="40"/>
        <v>كيلوگرم</v>
      </c>
      <c r="J214" s="1" t="str">
        <f t="shared" si="36"/>
        <v>0000000076</v>
      </c>
      <c r="K214" s="1" t="str">
        <f t="shared" si="37"/>
        <v>قير 60/70 - فله</v>
      </c>
      <c r="L214" s="1">
        <v>100</v>
      </c>
      <c r="M214" s="1" t="str">
        <f t="shared" si="41"/>
        <v>مخازن قير اصفهان</v>
      </c>
      <c r="N214" s="1">
        <v>9409</v>
      </c>
      <c r="O214" s="1">
        <v>50030691</v>
      </c>
      <c r="P214" s="1" t="str">
        <f>"  شهرداري ساوه"</f>
        <v xml:space="preserve">  شهرداري ساوه</v>
      </c>
      <c r="Q214" s="1">
        <v>11</v>
      </c>
      <c r="R214" s="1" t="str">
        <f>"فروش داخلي تهران - بورس"</f>
        <v>فروش داخلي تهران - بورس</v>
      </c>
      <c r="S214" s="1" t="str">
        <f t="shared" si="42"/>
        <v>قرارداد فروش</v>
      </c>
      <c r="T214" s="1" t="str">
        <f t="shared" si="43"/>
        <v>ندارد</v>
      </c>
      <c r="U214" s="1" t="str">
        <f>"اميري علي(2842011)"</f>
        <v>اميري علي(2842011)</v>
      </c>
      <c r="V214" s="1">
        <v>951100033</v>
      </c>
      <c r="W214" s="1">
        <v>951100033</v>
      </c>
      <c r="X214" s="1" t="str">
        <f>"1395402086"</f>
        <v>1395402086</v>
      </c>
      <c r="Y214" s="1" t="str">
        <f>"95/02/12"</f>
        <v>95/02/12</v>
      </c>
      <c r="Z214" s="1" t="str">
        <f>"16/3185"</f>
        <v>16/3185</v>
      </c>
      <c r="AA214" s="1" t="str">
        <f t="shared" si="45"/>
        <v>شهرداريها</v>
      </c>
      <c r="AB214" s="1" t="str">
        <f>"95/02/07"</f>
        <v>95/02/07</v>
      </c>
      <c r="AC214" s="1" t="str">
        <f>"استان مركزي"</f>
        <v>استان مركزي</v>
      </c>
      <c r="AD214" s="1" t="str">
        <f>"95/02/12"</f>
        <v>95/02/12</v>
      </c>
      <c r="AE214" s="1" t="str">
        <f t="shared" si="48"/>
        <v>اختتام</v>
      </c>
      <c r="AF214" s="1" t="str">
        <f>""</f>
        <v/>
      </c>
      <c r="AG214" s="1" t="str">
        <f>""</f>
        <v/>
      </c>
      <c r="AH214" s="1" t="str">
        <f>""</f>
        <v/>
      </c>
      <c r="AI214" s="1" t="str">
        <f>""</f>
        <v/>
      </c>
      <c r="AJ214" s="1" t="str">
        <f>""</f>
        <v/>
      </c>
      <c r="AK214" s="1" t="str">
        <f>""</f>
        <v/>
      </c>
    </row>
    <row r="215" spans="1:37" x14ac:dyDescent="0.2">
      <c r="A215" s="1">
        <v>33000</v>
      </c>
      <c r="B215" s="1">
        <v>956200054</v>
      </c>
      <c r="C215" s="1" t="str">
        <f>"تخليه-کيلومتر 18 جاده يزد-بافق"</f>
        <v>تخليه-کيلومتر 18 جاده يزد-بافق</v>
      </c>
      <c r="D215" s="1">
        <v>5950</v>
      </c>
      <c r="E215" s="1">
        <v>33000</v>
      </c>
      <c r="F215" s="1">
        <v>95</v>
      </c>
      <c r="G215" s="1">
        <v>0</v>
      </c>
      <c r="H215" s="1" t="str">
        <f>"95/04/15"</f>
        <v>95/04/15</v>
      </c>
      <c r="I215" s="1" t="str">
        <f t="shared" si="40"/>
        <v>كيلوگرم</v>
      </c>
      <c r="J215" s="1" t="str">
        <f t="shared" si="36"/>
        <v>0000000076</v>
      </c>
      <c r="K215" s="1" t="str">
        <f t="shared" si="37"/>
        <v>قير 60/70 - فله</v>
      </c>
      <c r="L215" s="1">
        <v>100</v>
      </c>
      <c r="M215" s="1" t="str">
        <f t="shared" si="41"/>
        <v>مخازن قير اصفهان</v>
      </c>
      <c r="N215" s="1">
        <v>10148</v>
      </c>
      <c r="O215" s="1">
        <v>50031205</v>
      </c>
      <c r="P215" s="1" t="str">
        <f>"  مشکين راه يزد"</f>
        <v xml:space="preserve">  مشکين راه يزد</v>
      </c>
      <c r="Q215" s="1">
        <v>62</v>
      </c>
      <c r="R215" s="1" t="str">
        <f>"فروش داخلي - سازمان بنيادمسكن انقلاب اسلامي"</f>
        <v>فروش داخلي - سازمان بنيادمسكن انقلاب اسلامي</v>
      </c>
      <c r="S215" s="1" t="str">
        <f t="shared" si="42"/>
        <v>قرارداد فروش</v>
      </c>
      <c r="T215" s="1" t="str">
        <f t="shared" si="43"/>
        <v>ندارد</v>
      </c>
      <c r="U215" s="1" t="str">
        <f>"عزيزي صفر(1006ج 89)"</f>
        <v>عزيزي صفر(1006ج 89)</v>
      </c>
      <c r="V215" s="1">
        <v>956200054</v>
      </c>
      <c r="W215" s="1">
        <v>956200054</v>
      </c>
      <c r="X215" s="1" t="str">
        <f>"1395413313"</f>
        <v>1395413313</v>
      </c>
      <c r="Y215" s="1" t="str">
        <f>"95/04/15"</f>
        <v>95/04/15</v>
      </c>
      <c r="Z215" s="1" t="str">
        <f>"14959/د"</f>
        <v>14959/د</v>
      </c>
      <c r="AA215" s="1" t="str">
        <f>"بنيادمسكن انقلاب اسلامي"</f>
        <v>بنيادمسكن انقلاب اسلامي</v>
      </c>
      <c r="AB215" s="1" t="str">
        <f>"95/04/14"</f>
        <v>95/04/14</v>
      </c>
      <c r="AC215" s="1" t="str">
        <f>"استان يزد"</f>
        <v>استان يزد</v>
      </c>
      <c r="AD215" s="1" t="str">
        <f>"95/04/15"</f>
        <v>95/04/15</v>
      </c>
      <c r="AE215" s="1" t="str">
        <f t="shared" si="48"/>
        <v>اختتام</v>
      </c>
      <c r="AF215" s="1" t="str">
        <f>""</f>
        <v/>
      </c>
      <c r="AG215" s="1" t="str">
        <f>""</f>
        <v/>
      </c>
      <c r="AH215" s="1" t="str">
        <f>""</f>
        <v/>
      </c>
      <c r="AI215" s="1" t="str">
        <f>""</f>
        <v/>
      </c>
      <c r="AJ215" s="1" t="str">
        <f>""</f>
        <v/>
      </c>
      <c r="AK215" s="1" t="str">
        <f>""</f>
        <v/>
      </c>
    </row>
    <row r="216" spans="1:37" x14ac:dyDescent="0.2">
      <c r="A216" s="1">
        <v>215000</v>
      </c>
      <c r="B216" s="1">
        <v>956200012</v>
      </c>
      <c r="C216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216" s="1">
        <v>5750</v>
      </c>
      <c r="E216" s="1">
        <v>215000</v>
      </c>
      <c r="F216" s="1">
        <v>95</v>
      </c>
      <c r="G216" s="1">
        <v>0</v>
      </c>
      <c r="H216" s="1" t="str">
        <f>"95/03/11"</f>
        <v>95/03/11</v>
      </c>
      <c r="I216" s="1" t="str">
        <f t="shared" si="40"/>
        <v>كيلوگرم</v>
      </c>
      <c r="J216" s="1" t="str">
        <f t="shared" si="36"/>
        <v>0000000076</v>
      </c>
      <c r="K216" s="1" t="str">
        <f t="shared" si="37"/>
        <v>قير 60/70 - فله</v>
      </c>
      <c r="L216" s="1">
        <v>100</v>
      </c>
      <c r="M216" s="1" t="str">
        <f t="shared" si="41"/>
        <v>مخازن قير اصفهان</v>
      </c>
      <c r="N216" s="1">
        <v>9416</v>
      </c>
      <c r="O216" s="1">
        <v>50030928</v>
      </c>
      <c r="P216" s="1" t="str">
        <f>"  راهسازي پوشش راه وحيد"</f>
        <v xml:space="preserve">  راهسازي پوشش راه وحيد</v>
      </c>
      <c r="Q216" s="1">
        <v>62</v>
      </c>
      <c r="R216" s="1" t="str">
        <f>"فروش داخلي - سازمان بنيادمسكن انقلاب اسلامي"</f>
        <v>فروش داخلي - سازمان بنيادمسكن انقلاب اسلامي</v>
      </c>
      <c r="S216" s="1" t="str">
        <f t="shared" si="42"/>
        <v>قرارداد فروش</v>
      </c>
      <c r="T216" s="1" t="str">
        <f t="shared" si="43"/>
        <v>ندارد</v>
      </c>
      <c r="U216" s="1" t="str">
        <f>"اسماعيلي پور امين (1013ج89)"</f>
        <v>اسماعيلي پور امين (1013ج89)</v>
      </c>
      <c r="V216" s="1">
        <v>956200012</v>
      </c>
      <c r="W216" s="1">
        <v>956200012</v>
      </c>
      <c r="X216" s="1" t="str">
        <f>"1395406644"</f>
        <v>1395406644</v>
      </c>
      <c r="Y216" s="1" t="str">
        <f>"95/03/11"</f>
        <v>95/03/11</v>
      </c>
      <c r="Z216" s="1" t="str">
        <f>"9531/د"</f>
        <v>9531/د</v>
      </c>
      <c r="AA216" s="1" t="str">
        <f>"بنيادمسكن انقلاب اسلامي"</f>
        <v>بنيادمسكن انقلاب اسلامي</v>
      </c>
      <c r="AB216" s="1" t="str">
        <f>"95/03/10"</f>
        <v>95/03/10</v>
      </c>
      <c r="AC216" s="1" t="str">
        <f>"استان يزد"</f>
        <v>استان يزد</v>
      </c>
      <c r="AD216" s="1" t="str">
        <f>"95/03/11"</f>
        <v>95/03/11</v>
      </c>
      <c r="AE216" s="1" t="str">
        <f t="shared" si="48"/>
        <v>اختتام</v>
      </c>
      <c r="AF216" s="1" t="str">
        <f>""</f>
        <v/>
      </c>
      <c r="AG216" s="1" t="str">
        <f>""</f>
        <v/>
      </c>
      <c r="AH216" s="1" t="str">
        <f>""</f>
        <v/>
      </c>
      <c r="AI216" s="1" t="str">
        <f>""</f>
        <v/>
      </c>
      <c r="AJ216" s="1" t="str">
        <f>""</f>
        <v/>
      </c>
      <c r="AK216" s="1" t="str">
        <f>""</f>
        <v/>
      </c>
    </row>
    <row r="217" spans="1:37" x14ac:dyDescent="0.2">
      <c r="A217" s="1">
        <v>150000</v>
      </c>
      <c r="B217" s="1">
        <v>956200055</v>
      </c>
      <c r="C217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217" s="1">
        <v>5950</v>
      </c>
      <c r="E217" s="1">
        <v>150000</v>
      </c>
      <c r="F217" s="1">
        <v>95</v>
      </c>
      <c r="G217" s="1">
        <v>0</v>
      </c>
      <c r="H217" s="1" t="str">
        <f>"95/04/15"</f>
        <v>95/04/15</v>
      </c>
      <c r="I217" s="1" t="str">
        <f t="shared" si="40"/>
        <v>كيلوگرم</v>
      </c>
      <c r="J217" s="1" t="str">
        <f t="shared" si="36"/>
        <v>0000000076</v>
      </c>
      <c r="K217" s="1" t="str">
        <f t="shared" si="37"/>
        <v>قير 60/70 - فله</v>
      </c>
      <c r="L217" s="1">
        <v>100</v>
      </c>
      <c r="M217" s="1" t="str">
        <f t="shared" si="41"/>
        <v>مخازن قير اصفهان</v>
      </c>
      <c r="N217" s="1">
        <v>9416</v>
      </c>
      <c r="O217" s="1">
        <v>50031206</v>
      </c>
      <c r="P217" s="1" t="str">
        <f>"  راهسازي پوشش راه وحيد"</f>
        <v xml:space="preserve">  راهسازي پوشش راه وحيد</v>
      </c>
      <c r="Q217" s="1">
        <v>62</v>
      </c>
      <c r="R217" s="1" t="str">
        <f>"فروش داخلي - سازمان بنيادمسكن انقلاب اسلامي"</f>
        <v>فروش داخلي - سازمان بنيادمسكن انقلاب اسلامي</v>
      </c>
      <c r="S217" s="1" t="str">
        <f t="shared" si="42"/>
        <v>قرارداد فروش</v>
      </c>
      <c r="T217" s="1" t="str">
        <f t="shared" si="43"/>
        <v>ندارد</v>
      </c>
      <c r="U217" s="1" t="str">
        <f>"اسماعيلي پور امين (1013ج89)"</f>
        <v>اسماعيلي پور امين (1013ج89)</v>
      </c>
      <c r="V217" s="1">
        <v>956200055</v>
      </c>
      <c r="W217" s="1">
        <v>956200055</v>
      </c>
      <c r="X217" s="1" t="str">
        <f>"1395413313"</f>
        <v>1395413313</v>
      </c>
      <c r="Y217" s="1" t="str">
        <f>"95/04/15"</f>
        <v>95/04/15</v>
      </c>
      <c r="Z217" s="1" t="str">
        <f>"14958/د"</f>
        <v>14958/د</v>
      </c>
      <c r="AA217" s="1" t="str">
        <f>"بنيادمسكن انقلاب اسلامي"</f>
        <v>بنيادمسكن انقلاب اسلامي</v>
      </c>
      <c r="AB217" s="1" t="str">
        <f>"95/04/14"</f>
        <v>95/04/14</v>
      </c>
      <c r="AC217" s="1" t="str">
        <f>"استان يزد"</f>
        <v>استان يزد</v>
      </c>
      <c r="AD217" s="1" t="str">
        <f>"95/04/15"</f>
        <v>95/04/15</v>
      </c>
      <c r="AE217" s="1" t="str">
        <f t="shared" si="48"/>
        <v>اختتام</v>
      </c>
      <c r="AF217" s="1" t="str">
        <f>""</f>
        <v/>
      </c>
      <c r="AG217" s="1" t="str">
        <f>""</f>
        <v/>
      </c>
      <c r="AH217" s="1" t="str">
        <f>""</f>
        <v/>
      </c>
      <c r="AI217" s="1" t="str">
        <f>""</f>
        <v/>
      </c>
      <c r="AJ217" s="1" t="str">
        <f>""</f>
        <v/>
      </c>
      <c r="AK217" s="1" t="str">
        <f>""</f>
        <v/>
      </c>
    </row>
    <row r="218" spans="1:37" x14ac:dyDescent="0.2">
      <c r="A218" s="1">
        <v>72000</v>
      </c>
      <c r="B218" s="1">
        <v>952000047</v>
      </c>
      <c r="C218" s="1" t="str">
        <f>"تخليه اصفهان كاشان كيلومتر18جاده قمصر"</f>
        <v>تخليه اصفهان كاشان كيلومتر18جاده قمصر</v>
      </c>
      <c r="D218" s="1">
        <v>6876</v>
      </c>
      <c r="E218" s="1">
        <v>71820</v>
      </c>
      <c r="F218" s="1">
        <v>95</v>
      </c>
      <c r="G218" s="1">
        <v>180</v>
      </c>
      <c r="H218" s="1" t="str">
        <f>"95/06/07"</f>
        <v>95/06/07</v>
      </c>
      <c r="I218" s="1" t="str">
        <f t="shared" si="40"/>
        <v>كيلوگرم</v>
      </c>
      <c r="J218" s="1" t="str">
        <f t="shared" si="36"/>
        <v>0000000076</v>
      </c>
      <c r="K218" s="1" t="str">
        <f t="shared" si="37"/>
        <v>قير 60/70 - فله</v>
      </c>
      <c r="L218" s="1">
        <v>100</v>
      </c>
      <c r="M218" s="1" t="str">
        <f t="shared" si="41"/>
        <v>مخازن قير اصفهان</v>
      </c>
      <c r="N218" s="1">
        <v>9417</v>
      </c>
      <c r="O218" s="1">
        <v>50031693</v>
      </c>
      <c r="P218" s="1" t="str">
        <f>"  شهرداري ابوزيدآباد"</f>
        <v xml:space="preserve">  شهرداري ابوزيدآباد</v>
      </c>
      <c r="Q218" s="1">
        <v>20</v>
      </c>
      <c r="R218" s="1" t="str">
        <f>"فروش داخلي - سازمان شهرداري ها و دهياري هاي كشور"</f>
        <v>فروش داخلي - سازمان شهرداري ها و دهياري هاي كشور</v>
      </c>
      <c r="S218" s="1" t="str">
        <f t="shared" si="42"/>
        <v>قرارداد فروش</v>
      </c>
      <c r="T218" s="1" t="str">
        <f t="shared" si="43"/>
        <v>ندارد</v>
      </c>
      <c r="U218" s="1" t="str">
        <f>"شهبازي محمدرضا(1029ج89)"</f>
        <v>شهبازي محمدرضا(1029ج89)</v>
      </c>
      <c r="V218" s="1">
        <v>952000047</v>
      </c>
      <c r="W218" s="1">
        <v>952000047</v>
      </c>
      <c r="X218" s="1" t="str">
        <f>"1395426944"</f>
        <v>1395426944</v>
      </c>
      <c r="Y218" s="1" t="str">
        <f>"95/06/07"</f>
        <v>95/06/07</v>
      </c>
      <c r="Z218" s="1" t="str">
        <f>"22899"</f>
        <v>22899</v>
      </c>
      <c r="AA218" s="1" t="str">
        <f>"شهرداريها"</f>
        <v>شهرداريها</v>
      </c>
      <c r="AB218" s="1" t="str">
        <f>"95/05/23"</f>
        <v>95/05/23</v>
      </c>
      <c r="AC218" s="1" t="str">
        <f>"استان اصفهان"</f>
        <v>استان اصفهان</v>
      </c>
      <c r="AD218" s="1" t="str">
        <f>"95/06/06"</f>
        <v>95/06/06</v>
      </c>
      <c r="AE218" s="1" t="str">
        <f t="shared" si="48"/>
        <v>اختتام</v>
      </c>
      <c r="AF218" s="1" t="str">
        <f>""</f>
        <v/>
      </c>
      <c r="AG218" s="1" t="str">
        <f>""</f>
        <v/>
      </c>
      <c r="AH218" s="1" t="str">
        <f>""</f>
        <v/>
      </c>
      <c r="AI218" s="1" t="str">
        <f>""</f>
        <v/>
      </c>
      <c r="AJ218" s="1" t="str">
        <f>""</f>
        <v/>
      </c>
      <c r="AK218" s="1" t="str">
        <f>""</f>
        <v/>
      </c>
    </row>
    <row r="219" spans="1:37" x14ac:dyDescent="0.2">
      <c r="A219" s="1">
        <v>154000</v>
      </c>
      <c r="B219" s="1">
        <v>956300014</v>
      </c>
      <c r="C219" s="1" t="str">
        <f>"تخليه -خراسان جنوبي ميدان معلم جاده خروكارخانه آسفالت شهرداري"</f>
        <v>تخليه -خراسان جنوبي ميدان معلم جاده خروكارخانه آسفالت شهرداري</v>
      </c>
      <c r="D219" s="1">
        <v>9361</v>
      </c>
      <c r="E219" s="1">
        <v>153260</v>
      </c>
      <c r="F219" s="1">
        <v>95</v>
      </c>
      <c r="G219" s="1">
        <v>740</v>
      </c>
      <c r="H219" s="1" t="str">
        <f>"95/11/05"</f>
        <v>95/11/05</v>
      </c>
      <c r="I219" s="1" t="str">
        <f t="shared" si="40"/>
        <v>كيلوگرم</v>
      </c>
      <c r="J219" s="1" t="str">
        <f t="shared" si="36"/>
        <v>0000000076</v>
      </c>
      <c r="K219" s="1" t="str">
        <f t="shared" si="37"/>
        <v>قير 60/70 - فله</v>
      </c>
      <c r="L219" s="1">
        <v>100</v>
      </c>
      <c r="M219" s="1" t="str">
        <f t="shared" si="41"/>
        <v>مخازن قير اصفهان</v>
      </c>
      <c r="N219" s="1">
        <v>9690</v>
      </c>
      <c r="O219" s="1">
        <v>50033539</v>
      </c>
      <c r="P219" s="1" t="str">
        <f>"  شهرداري طبس گلشن"</f>
        <v xml:space="preserve">  شهرداري طبس گلشن</v>
      </c>
      <c r="Q219" s="1">
        <v>63</v>
      </c>
      <c r="R219" s="1" t="str">
        <f>"سازمان نوسازي،توسعه و تجهيز مدارس كشور"</f>
        <v>سازمان نوسازي،توسعه و تجهيز مدارس كشور</v>
      </c>
      <c r="S219" s="1" t="str">
        <f t="shared" si="42"/>
        <v>قرارداد فروش</v>
      </c>
      <c r="T219" s="1" t="str">
        <f t="shared" si="43"/>
        <v>ندارد</v>
      </c>
      <c r="U219" s="1" t="str">
        <f>"قانعي محمدرضا(1011ج89)"</f>
        <v>قانعي محمدرضا(1011ج89)</v>
      </c>
      <c r="V219" s="1">
        <v>956300014</v>
      </c>
      <c r="W219" s="1">
        <v>956300014</v>
      </c>
      <c r="X219" s="1" t="str">
        <f>"1395460610"</f>
        <v>1395460610</v>
      </c>
      <c r="Y219" s="1" t="str">
        <f>"95/11/05"</f>
        <v>95/11/05</v>
      </c>
      <c r="Z219" s="1" t="str">
        <f>"3095/19-8681"</f>
        <v>3095/19-8681</v>
      </c>
      <c r="AA219" s="1" t="str">
        <f>"سازمان نوسازي توسعه وتجهيزمدارس كشور"</f>
        <v>سازمان نوسازي توسعه وتجهيزمدارس كشور</v>
      </c>
      <c r="AB219" s="1" t="str">
        <f>"95/09/04"</f>
        <v>95/09/04</v>
      </c>
      <c r="AC219" s="1" t="str">
        <f>"خراسان جنوبي"</f>
        <v>خراسان جنوبي</v>
      </c>
      <c r="AD219" s="1" t="str">
        <f>"95/11/05"</f>
        <v>95/11/05</v>
      </c>
      <c r="AE219" s="1" t="str">
        <f t="shared" si="48"/>
        <v>اختتام</v>
      </c>
      <c r="AF219" s="1" t="str">
        <f>""</f>
        <v/>
      </c>
      <c r="AG219" s="1" t="str">
        <f>""</f>
        <v/>
      </c>
      <c r="AH219" s="1" t="str">
        <f>""</f>
        <v/>
      </c>
      <c r="AI219" s="1" t="str">
        <f>""</f>
        <v/>
      </c>
      <c r="AJ219" s="1" t="str">
        <f>""</f>
        <v/>
      </c>
      <c r="AK219" s="1" t="str">
        <f>""</f>
        <v/>
      </c>
    </row>
    <row r="220" spans="1:37" x14ac:dyDescent="0.2">
      <c r="A220" s="1">
        <v>71000</v>
      </c>
      <c r="B220" s="1">
        <v>951100050</v>
      </c>
      <c r="C220" s="1" t="str">
        <f>"تخليه -قزوين جاده تاكستان -همدان كيلومتريك جاده فرعي جهان آبادكارخانه آسفالت شركت نيك گسترش پايدارسازه"</f>
        <v>تخليه -قزوين جاده تاكستان -همدان كيلومتريك جاده فرعي جهان آبادكارخانه آسفالت شركت نيك گسترش پايدارسازه</v>
      </c>
      <c r="D220" s="1">
        <v>5650</v>
      </c>
      <c r="E220" s="1">
        <v>69700</v>
      </c>
      <c r="F220" s="1">
        <v>95</v>
      </c>
      <c r="G220" s="1">
        <v>1300</v>
      </c>
      <c r="H220" s="1" t="str">
        <f>"95/02/28"</f>
        <v>95/02/28</v>
      </c>
      <c r="I220" s="1" t="str">
        <f t="shared" si="40"/>
        <v>كيلوگرم</v>
      </c>
      <c r="J220" s="1" t="str">
        <f t="shared" si="36"/>
        <v>0000000076</v>
      </c>
      <c r="K220" s="1" t="str">
        <f t="shared" si="37"/>
        <v>قير 60/70 - فله</v>
      </c>
      <c r="L220" s="1">
        <v>100</v>
      </c>
      <c r="M220" s="1" t="str">
        <f t="shared" si="41"/>
        <v>مخازن قير اصفهان</v>
      </c>
      <c r="N220" s="1">
        <v>10218</v>
      </c>
      <c r="O220" s="1">
        <v>50030857</v>
      </c>
      <c r="P220" s="1" t="str">
        <f>"  نيک گسترش پايدار سازه"</f>
        <v xml:space="preserve">  نيک گسترش پايدار سازه</v>
      </c>
      <c r="Q220" s="1">
        <v>11</v>
      </c>
      <c r="R220" s="1" t="str">
        <f>"فروش داخلي تهران - بورس"</f>
        <v>فروش داخلي تهران - بورس</v>
      </c>
      <c r="S220" s="1" t="str">
        <f t="shared" si="42"/>
        <v>قرارداد فروش</v>
      </c>
      <c r="T220" s="1" t="str">
        <f t="shared" si="43"/>
        <v>ندارد</v>
      </c>
      <c r="U220" s="1" t="str">
        <f>"مختاري محمد(1841013)"</f>
        <v>مختاري محمد(1841013)</v>
      </c>
      <c r="V220" s="1">
        <v>951100050</v>
      </c>
      <c r="W220" s="1">
        <v>951100050</v>
      </c>
      <c r="X220" s="1" t="str">
        <f>"1395404430"</f>
        <v>1395404430</v>
      </c>
      <c r="Y220" s="1" t="str">
        <f>"95/02/28"</f>
        <v>95/02/28</v>
      </c>
      <c r="Z220" s="1" t="str">
        <f>"25/ج ن /95"</f>
        <v>25/ج ن /95</v>
      </c>
      <c r="AA220" s="1" t="str">
        <f>"راه سازي"</f>
        <v>راه سازي</v>
      </c>
      <c r="AB220" s="1" t="str">
        <f>"95/02/25"</f>
        <v>95/02/25</v>
      </c>
      <c r="AC220" s="1" t="str">
        <f>"قزوين"</f>
        <v>قزوين</v>
      </c>
      <c r="AD220" s="1" t="str">
        <f>"95/02/27"</f>
        <v>95/02/27</v>
      </c>
      <c r="AE220" s="1" t="str">
        <f t="shared" si="48"/>
        <v>اختتام</v>
      </c>
      <c r="AF220" s="1" t="str">
        <f>""</f>
        <v/>
      </c>
      <c r="AG220" s="1" t="str">
        <f>""</f>
        <v/>
      </c>
      <c r="AH220" s="1" t="str">
        <f>""</f>
        <v/>
      </c>
      <c r="AI220" s="1" t="str">
        <f>""</f>
        <v/>
      </c>
      <c r="AJ220" s="1" t="str">
        <f>""</f>
        <v/>
      </c>
      <c r="AK220" s="1" t="str">
        <f>""</f>
        <v/>
      </c>
    </row>
    <row r="221" spans="1:37" x14ac:dyDescent="0.2">
      <c r="A221" s="1">
        <v>60000</v>
      </c>
      <c r="B221" s="1">
        <v>956200244</v>
      </c>
      <c r="C221" s="1" t="str">
        <f>"تخليه -گلستان -شهرستان كلاله جنب روستاي فريد"</f>
        <v>تخليه -گلستان -شهرستان كلاله جنب روستاي فريد</v>
      </c>
      <c r="D221" s="1">
        <v>9361</v>
      </c>
      <c r="E221" s="1">
        <v>46380</v>
      </c>
      <c r="F221" s="1">
        <v>95</v>
      </c>
      <c r="G221" s="1">
        <v>13620</v>
      </c>
      <c r="H221" s="1" t="str">
        <f>"95/11/27"</f>
        <v>95/11/27</v>
      </c>
      <c r="I221" s="1" t="str">
        <f t="shared" si="40"/>
        <v>كيلوگرم</v>
      </c>
      <c r="J221" s="1" t="str">
        <f t="shared" si="36"/>
        <v>0000000076</v>
      </c>
      <c r="K221" s="1" t="str">
        <f t="shared" si="37"/>
        <v>قير 60/70 - فله</v>
      </c>
      <c r="L221" s="1">
        <v>100</v>
      </c>
      <c r="M221" s="1" t="str">
        <f t="shared" si="41"/>
        <v>مخازن قير اصفهان</v>
      </c>
      <c r="N221" s="1">
        <v>10256</v>
      </c>
      <c r="O221" s="1">
        <v>50033777</v>
      </c>
      <c r="P221" s="1" t="str">
        <f>"  راهسازان جبال گلستان"</f>
        <v xml:space="preserve">  راهسازان جبال گلستان</v>
      </c>
      <c r="Q221" s="1">
        <v>62</v>
      </c>
      <c r="R221" s="1" t="str">
        <f>"فروش داخلي - سازمان بنيادمسكن انقلاب اسلامي"</f>
        <v>فروش داخلي - سازمان بنيادمسكن انقلاب اسلامي</v>
      </c>
      <c r="S221" s="1" t="str">
        <f t="shared" si="42"/>
        <v>قرارداد فروش</v>
      </c>
      <c r="T221" s="1" t="str">
        <f t="shared" si="43"/>
        <v>ندارد</v>
      </c>
      <c r="U221" s="1" t="str">
        <f>"رضائي كلهر حسن (1901099)"</f>
        <v>رضائي كلهر حسن (1901099)</v>
      </c>
      <c r="V221" s="1">
        <v>956200244</v>
      </c>
      <c r="W221" s="1">
        <v>956200244</v>
      </c>
      <c r="X221" s="1" t="str">
        <f>"1395465843"</f>
        <v>1395465843</v>
      </c>
      <c r="Y221" s="1" t="str">
        <f>"95/11/27"</f>
        <v>95/11/27</v>
      </c>
      <c r="Z221" s="1" t="str">
        <f>"51500/د"</f>
        <v>51500/د</v>
      </c>
      <c r="AA221" s="1" t="str">
        <f>"بنيادمسكن انقلاب اسلامي"</f>
        <v>بنيادمسكن انقلاب اسلامي</v>
      </c>
      <c r="AB221" s="1" t="str">
        <f>"95/11/26"</f>
        <v>95/11/26</v>
      </c>
      <c r="AC221" s="1" t="str">
        <f>"استان گلستان"</f>
        <v>استان گلستان</v>
      </c>
      <c r="AD221" s="1" t="str">
        <f>"95/11/27"</f>
        <v>95/11/27</v>
      </c>
      <c r="AE221" s="1" t="str">
        <f t="shared" si="48"/>
        <v>اختتام</v>
      </c>
      <c r="AF221" s="1" t="str">
        <f>""</f>
        <v/>
      </c>
      <c r="AG221" s="1" t="str">
        <f>""</f>
        <v/>
      </c>
      <c r="AH221" s="1" t="str">
        <f>""</f>
        <v/>
      </c>
      <c r="AI221" s="1" t="str">
        <f>""</f>
        <v/>
      </c>
      <c r="AJ221" s="1" t="str">
        <f>""</f>
        <v/>
      </c>
      <c r="AK221" s="1" t="str">
        <f>""</f>
        <v/>
      </c>
    </row>
    <row r="222" spans="1:37" x14ac:dyDescent="0.2">
      <c r="A222" s="1">
        <v>108000</v>
      </c>
      <c r="B222" s="1">
        <v>952000231</v>
      </c>
      <c r="C222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222" s="1">
        <v>8023</v>
      </c>
      <c r="E222" s="1">
        <v>107160</v>
      </c>
      <c r="F222" s="1">
        <v>95</v>
      </c>
      <c r="G222" s="1">
        <v>840</v>
      </c>
      <c r="H222" s="1" t="str">
        <f>"95/08/18"</f>
        <v>95/08/18</v>
      </c>
      <c r="I222" s="1" t="str">
        <f t="shared" si="40"/>
        <v>كيلوگرم</v>
      </c>
      <c r="J222" s="1" t="str">
        <f t="shared" si="36"/>
        <v>0000000076</v>
      </c>
      <c r="K222" s="1" t="str">
        <f t="shared" si="37"/>
        <v>قير 60/70 - فله</v>
      </c>
      <c r="L222" s="1">
        <v>100</v>
      </c>
      <c r="M222" s="1" t="str">
        <f t="shared" si="41"/>
        <v>مخازن قير اصفهان</v>
      </c>
      <c r="N222" s="1">
        <v>9739</v>
      </c>
      <c r="O222" s="1">
        <v>50032561</v>
      </c>
      <c r="P222" s="1" t="str">
        <f>"  شهرداري اردل"</f>
        <v xml:space="preserve">  شهرداري اردل</v>
      </c>
      <c r="Q222" s="1">
        <v>20</v>
      </c>
      <c r="R222" s="1" t="str">
        <f>"فروش داخلي - سازمان شهرداري ها و دهياري هاي كشور"</f>
        <v>فروش داخلي - سازمان شهرداري ها و دهياري هاي كشور</v>
      </c>
      <c r="S222" s="1" t="str">
        <f t="shared" si="42"/>
        <v>قرارداد فروش</v>
      </c>
      <c r="T222" s="1" t="str">
        <f t="shared" si="43"/>
        <v>ندارد</v>
      </c>
      <c r="U222" s="1" t="str">
        <f>"قره باغي مجيد(1871065)"</f>
        <v>قره باغي مجيد(1871065)</v>
      </c>
      <c r="V222" s="1">
        <v>952000231</v>
      </c>
      <c r="W222" s="1">
        <v>952000231</v>
      </c>
      <c r="X222" s="1" t="str">
        <f>"1395443706"</f>
        <v>1395443706</v>
      </c>
      <c r="Y222" s="1" t="str">
        <f>"95/08/17"</f>
        <v>95/08/17</v>
      </c>
      <c r="Z222" s="1" t="str">
        <f>"40158"</f>
        <v>40158</v>
      </c>
      <c r="AA222" s="1" t="str">
        <f>"شهرداريها"</f>
        <v>شهرداريها</v>
      </c>
      <c r="AB222" s="1" t="str">
        <f>"95/08/15"</f>
        <v>95/08/15</v>
      </c>
      <c r="AC222" s="1" t="str">
        <f>"استان چهارمحال بختياري"</f>
        <v>استان چهارمحال بختياري</v>
      </c>
      <c r="AD222" s="1" t="str">
        <f>"95/08/17"</f>
        <v>95/08/17</v>
      </c>
      <c r="AE222" s="1" t="str">
        <f t="shared" si="48"/>
        <v>اختتام</v>
      </c>
      <c r="AF222" s="1" t="str">
        <f>""</f>
        <v/>
      </c>
      <c r="AG222" s="1" t="str">
        <f>""</f>
        <v/>
      </c>
      <c r="AH222" s="1" t="str">
        <f>""</f>
        <v/>
      </c>
      <c r="AI222" s="1" t="str">
        <f>""</f>
        <v/>
      </c>
      <c r="AJ222" s="1" t="str">
        <f>""</f>
        <v/>
      </c>
      <c r="AK222" s="1" t="str">
        <f>""</f>
        <v/>
      </c>
    </row>
    <row r="223" spans="1:37" x14ac:dyDescent="0.2">
      <c r="A223" s="1">
        <v>100000</v>
      </c>
      <c r="B223" s="1">
        <v>951100003</v>
      </c>
      <c r="C223" s="1" t="str">
        <f>"تخليه -قزوين جاده تاكستان -همدان كيلومتريك جاده فرعي جهان آبادكارخانه آسفالت شركت نيك گسترش پايدارسازه"</f>
        <v>تخليه -قزوين جاده تاكستان -همدان كيلومتريك جاده فرعي جهان آبادكارخانه آسفالت شركت نيك گسترش پايدارسازه</v>
      </c>
      <c r="D223" s="1">
        <v>5200</v>
      </c>
      <c r="E223" s="1">
        <v>100000</v>
      </c>
      <c r="F223" s="1">
        <v>95</v>
      </c>
      <c r="G223" s="1">
        <v>0</v>
      </c>
      <c r="H223" s="1" t="str">
        <f>"95/01/24"</f>
        <v>95/01/24</v>
      </c>
      <c r="I223" s="1" t="str">
        <f t="shared" si="40"/>
        <v>كيلوگرم</v>
      </c>
      <c r="J223" s="1" t="str">
        <f t="shared" si="36"/>
        <v>0000000076</v>
      </c>
      <c r="K223" s="1" t="str">
        <f t="shared" si="37"/>
        <v>قير 60/70 - فله</v>
      </c>
      <c r="L223" s="1">
        <v>100</v>
      </c>
      <c r="M223" s="1" t="str">
        <f t="shared" si="41"/>
        <v>مخازن قير اصفهان</v>
      </c>
      <c r="N223" s="1">
        <v>10218</v>
      </c>
      <c r="O223" s="1">
        <v>50030499</v>
      </c>
      <c r="P223" s="1" t="str">
        <f>"  نيک گسترش پايدار سازه"</f>
        <v xml:space="preserve">  نيک گسترش پايدار سازه</v>
      </c>
      <c r="Q223" s="1">
        <v>11</v>
      </c>
      <c r="R223" s="1" t="str">
        <f>"فروش داخلي تهران - بورس"</f>
        <v>فروش داخلي تهران - بورس</v>
      </c>
      <c r="S223" s="1" t="str">
        <f t="shared" si="42"/>
        <v>قرارداد فروش</v>
      </c>
      <c r="T223" s="1" t="str">
        <f t="shared" si="43"/>
        <v>ندارد</v>
      </c>
      <c r="U223" s="1" t="str">
        <f>"مختاري محمد(1841013)"</f>
        <v>مختاري محمد(1841013)</v>
      </c>
      <c r="V223" s="1">
        <v>951100003</v>
      </c>
      <c r="W223" s="1">
        <v>951100003</v>
      </c>
      <c r="X223" s="1" t="str">
        <f>"1395399111"</f>
        <v>1395399111</v>
      </c>
      <c r="Y223" s="1" t="str">
        <f>"95/01/24"</f>
        <v>95/01/24</v>
      </c>
      <c r="Z223" s="1" t="str">
        <f>"23"</f>
        <v>23</v>
      </c>
      <c r="AA223" s="1" t="str">
        <f>"راه سازي"</f>
        <v>راه سازي</v>
      </c>
      <c r="AB223" s="1" t="str">
        <f>"95/01/23"</f>
        <v>95/01/23</v>
      </c>
      <c r="AC223" s="1" t="str">
        <f>"قزوين"</f>
        <v>قزوين</v>
      </c>
      <c r="AD223" s="1" t="str">
        <f>"95/01/24"</f>
        <v>95/01/24</v>
      </c>
      <c r="AE223" s="1" t="str">
        <f>"تاييدشده"</f>
        <v>تاييدشده</v>
      </c>
      <c r="AF223" s="1" t="str">
        <f>""</f>
        <v/>
      </c>
      <c r="AG223" s="1" t="str">
        <f>""</f>
        <v/>
      </c>
      <c r="AH223" s="1" t="str">
        <f>""</f>
        <v/>
      </c>
      <c r="AI223" s="1" t="str">
        <f>""</f>
        <v/>
      </c>
      <c r="AJ223" s="1" t="str">
        <f>""</f>
        <v/>
      </c>
      <c r="AK223" s="1" t="str">
        <f>""</f>
        <v/>
      </c>
    </row>
    <row r="224" spans="1:37" x14ac:dyDescent="0.2">
      <c r="A224" s="1">
        <v>159000</v>
      </c>
      <c r="B224" s="1">
        <v>956200242</v>
      </c>
      <c r="C224" s="1" t="str">
        <f>"تخليه -گلستان -شهرستان كلاله جنب روستاي فريد"</f>
        <v>تخليه -گلستان -شهرستان كلاله جنب روستاي فريد</v>
      </c>
      <c r="D224" s="1">
        <v>9361</v>
      </c>
      <c r="E224" s="1">
        <v>158300</v>
      </c>
      <c r="F224" s="1">
        <v>95</v>
      </c>
      <c r="G224" s="1">
        <v>700</v>
      </c>
      <c r="H224" s="1" t="str">
        <f>"95/11/27"</f>
        <v>95/11/27</v>
      </c>
      <c r="I224" s="1" t="str">
        <f t="shared" si="40"/>
        <v>كيلوگرم</v>
      </c>
      <c r="J224" s="1" t="str">
        <f t="shared" si="36"/>
        <v>0000000076</v>
      </c>
      <c r="K224" s="1" t="str">
        <f t="shared" si="37"/>
        <v>قير 60/70 - فله</v>
      </c>
      <c r="L224" s="1">
        <v>100</v>
      </c>
      <c r="M224" s="1" t="str">
        <f t="shared" si="41"/>
        <v>مخازن قير اصفهان</v>
      </c>
      <c r="N224" s="1">
        <v>10256</v>
      </c>
      <c r="O224" s="1">
        <v>50033774</v>
      </c>
      <c r="P224" s="1" t="str">
        <f>"  راهسازان جبال گلستان"</f>
        <v xml:space="preserve">  راهسازان جبال گلستان</v>
      </c>
      <c r="Q224" s="1">
        <v>62</v>
      </c>
      <c r="R224" s="1" t="str">
        <f>"فروش داخلي - سازمان بنيادمسكن انقلاب اسلامي"</f>
        <v>فروش داخلي - سازمان بنيادمسكن انقلاب اسلامي</v>
      </c>
      <c r="S224" s="1" t="str">
        <f t="shared" si="42"/>
        <v>قرارداد فروش</v>
      </c>
      <c r="T224" s="1" t="str">
        <f t="shared" si="43"/>
        <v>ندارد</v>
      </c>
      <c r="U224" s="1" t="str">
        <f>"رضائي كلهر حسن (1901099)"</f>
        <v>رضائي كلهر حسن (1901099)</v>
      </c>
      <c r="V224" s="1">
        <v>956200242</v>
      </c>
      <c r="W224" s="1">
        <v>956200242</v>
      </c>
      <c r="X224" s="1" t="str">
        <f>"1395465843"</f>
        <v>1395465843</v>
      </c>
      <c r="Y224" s="1" t="str">
        <f>"95/11/27"</f>
        <v>95/11/27</v>
      </c>
      <c r="Z224" s="1" t="str">
        <f>"51497/د"</f>
        <v>51497/د</v>
      </c>
      <c r="AA224" s="1" t="str">
        <f>"بنيادمسكن انقلاب اسلامي"</f>
        <v>بنيادمسكن انقلاب اسلامي</v>
      </c>
      <c r="AB224" s="1" t="str">
        <f>"95/11/26"</f>
        <v>95/11/26</v>
      </c>
      <c r="AC224" s="1" t="str">
        <f>"استان گلستان"</f>
        <v>استان گلستان</v>
      </c>
      <c r="AD224" s="1" t="str">
        <f>"95/11/27"</f>
        <v>95/11/27</v>
      </c>
      <c r="AE224" s="1" t="str">
        <f t="shared" ref="AE224:AE230" si="49">"اختتام"</f>
        <v>اختتام</v>
      </c>
      <c r="AF224" s="1" t="str">
        <f>""</f>
        <v/>
      </c>
      <c r="AG224" s="1" t="str">
        <f>""</f>
        <v/>
      </c>
      <c r="AH224" s="1" t="str">
        <f>""</f>
        <v/>
      </c>
      <c r="AI224" s="1" t="str">
        <f>""</f>
        <v/>
      </c>
      <c r="AJ224" s="1" t="str">
        <f>""</f>
        <v/>
      </c>
      <c r="AK224" s="1" t="str">
        <f>""</f>
        <v/>
      </c>
    </row>
    <row r="225" spans="1:37" x14ac:dyDescent="0.2">
      <c r="A225" s="1">
        <v>200000</v>
      </c>
      <c r="B225" s="1">
        <v>951100023</v>
      </c>
      <c r="C225" s="1" t="str">
        <f>"تخليه -چابهارجكي گور"</f>
        <v>تخليه -چابهارجكي گور</v>
      </c>
      <c r="D225" s="1">
        <v>5200</v>
      </c>
      <c r="E225" s="1">
        <v>199240</v>
      </c>
      <c r="F225" s="1">
        <v>95</v>
      </c>
      <c r="G225" s="1">
        <v>760</v>
      </c>
      <c r="H225" s="1" t="str">
        <f>"95/02/01"</f>
        <v>95/02/01</v>
      </c>
      <c r="I225" s="1" t="str">
        <f t="shared" si="40"/>
        <v>كيلوگرم</v>
      </c>
      <c r="J225" s="1" t="str">
        <f t="shared" si="36"/>
        <v>0000000076</v>
      </c>
      <c r="K225" s="1" t="str">
        <f t="shared" si="37"/>
        <v>قير 60/70 - فله</v>
      </c>
      <c r="L225" s="1">
        <v>100</v>
      </c>
      <c r="M225" s="1" t="str">
        <f t="shared" si="41"/>
        <v>مخازن قير اصفهان</v>
      </c>
      <c r="N225" s="1">
        <v>10254</v>
      </c>
      <c r="O225" s="1">
        <v>50030610</v>
      </c>
      <c r="P225" s="1" t="str">
        <f>"  عمران عايق شيمي"</f>
        <v xml:space="preserve">  عمران عايق شيمي</v>
      </c>
      <c r="Q225" s="1">
        <v>11</v>
      </c>
      <c r="R225" s="1" t="str">
        <f>"فروش داخلي تهران - بورس"</f>
        <v>فروش داخلي تهران - بورس</v>
      </c>
      <c r="S225" s="1" t="str">
        <f t="shared" si="42"/>
        <v>قرارداد فروش</v>
      </c>
      <c r="T225" s="1" t="str">
        <f t="shared" si="43"/>
        <v>ندارد</v>
      </c>
      <c r="U225" s="1" t="str">
        <f>"شهبازي محمدرضا(1029ج89)"</f>
        <v>شهبازي محمدرضا(1029ج89)</v>
      </c>
      <c r="V225" s="1">
        <v>951100023</v>
      </c>
      <c r="W225" s="1">
        <v>951100023</v>
      </c>
      <c r="X225" s="1" t="str">
        <f>"1395399928"</f>
        <v>1395399928</v>
      </c>
      <c r="Y225" s="1" t="str">
        <f>"95/02/01"</f>
        <v>95/02/01</v>
      </c>
      <c r="Z225" s="1" t="str">
        <f>"95-34235"</f>
        <v>95-34235</v>
      </c>
      <c r="AA225" s="1" t="str">
        <f>"راه سازي"</f>
        <v>راه سازي</v>
      </c>
      <c r="AB225" s="1" t="str">
        <f>"95/01/31"</f>
        <v>95/01/31</v>
      </c>
      <c r="AC225" s="1" t="str">
        <f>"بوشهر"</f>
        <v>بوشهر</v>
      </c>
      <c r="AD225" s="1" t="str">
        <f>"95/01/28"</f>
        <v>95/01/28</v>
      </c>
      <c r="AE225" s="1" t="str">
        <f t="shared" si="49"/>
        <v>اختتام</v>
      </c>
      <c r="AF225" s="1" t="str">
        <f>""</f>
        <v/>
      </c>
      <c r="AG225" s="1" t="str">
        <f>""</f>
        <v/>
      </c>
      <c r="AH225" s="1" t="str">
        <f>""</f>
        <v/>
      </c>
      <c r="AI225" s="1" t="str">
        <f>""</f>
        <v/>
      </c>
      <c r="AJ225" s="1" t="str">
        <f>""</f>
        <v/>
      </c>
      <c r="AK225" s="1" t="str">
        <f>""</f>
        <v/>
      </c>
    </row>
    <row r="226" spans="1:37" x14ac:dyDescent="0.2">
      <c r="A226" s="1">
        <v>65000</v>
      </c>
      <c r="B226" s="1">
        <v>952000084</v>
      </c>
      <c r="C226" s="1" t="str">
        <f>"تخليه - پنج کيلومتري شهرانارک-شرکت فرد سازه سپاهان"</f>
        <v>تخليه - پنج کيلومتري شهرانارک-شرکت فرد سازه سپاهان</v>
      </c>
      <c r="D226" s="1">
        <v>6876</v>
      </c>
      <c r="E226" s="1">
        <v>63260</v>
      </c>
      <c r="F226" s="1">
        <v>95</v>
      </c>
      <c r="G226" s="1">
        <v>1740</v>
      </c>
      <c r="H226" s="1" t="str">
        <f>"95/06/23"</f>
        <v>95/06/23</v>
      </c>
      <c r="I226" s="1" t="str">
        <f t="shared" si="40"/>
        <v>كيلوگرم</v>
      </c>
      <c r="J226" s="1" t="str">
        <f t="shared" si="36"/>
        <v>0000000076</v>
      </c>
      <c r="K226" s="1" t="str">
        <f t="shared" si="37"/>
        <v>قير 60/70 - فله</v>
      </c>
      <c r="L226" s="1">
        <v>100</v>
      </c>
      <c r="M226" s="1" t="str">
        <f t="shared" si="41"/>
        <v>مخازن قير اصفهان</v>
      </c>
      <c r="N226" s="1">
        <v>9521</v>
      </c>
      <c r="O226" s="1">
        <v>50031849</v>
      </c>
      <c r="P226" s="1" t="str">
        <f>"  شهرداري انارك"</f>
        <v xml:space="preserve">  شهرداري انارك</v>
      </c>
      <c r="Q226" s="1">
        <v>20</v>
      </c>
      <c r="R226" s="1" t="str">
        <f>"فروش داخلي - سازمان شهرداري ها و دهياري هاي كشور"</f>
        <v>فروش داخلي - سازمان شهرداري ها و دهياري هاي كشور</v>
      </c>
      <c r="S226" s="1" t="str">
        <f t="shared" si="42"/>
        <v>قرارداد فروش</v>
      </c>
      <c r="T226" s="1" t="str">
        <f t="shared" si="43"/>
        <v>ندارد</v>
      </c>
      <c r="U226" s="1" t="str">
        <f>"علي عابدي ابوالقاسم(1003ج89)"</f>
        <v>علي عابدي ابوالقاسم(1003ج89)</v>
      </c>
      <c r="V226" s="1">
        <v>952000084</v>
      </c>
      <c r="W226" s="1">
        <v>952000084</v>
      </c>
      <c r="X226" s="1" t="str">
        <f>"1395430748"</f>
        <v>1395430748</v>
      </c>
      <c r="Y226" s="1" t="str">
        <f>"95/06/23"</f>
        <v>95/06/23</v>
      </c>
      <c r="Z226" s="1" t="str">
        <f>"27776"</f>
        <v>27776</v>
      </c>
      <c r="AA226" s="1" t="str">
        <f>"شهرداريها"</f>
        <v>شهرداريها</v>
      </c>
      <c r="AB226" s="1" t="str">
        <f>"95/06/10"</f>
        <v>95/06/10</v>
      </c>
      <c r="AC226" s="1" t="str">
        <f>"استان اصفهان"</f>
        <v>استان اصفهان</v>
      </c>
      <c r="AD226" s="1" t="str">
        <f>"95/06/21"</f>
        <v>95/06/21</v>
      </c>
      <c r="AE226" s="1" t="str">
        <f t="shared" si="49"/>
        <v>اختتام</v>
      </c>
      <c r="AF226" s="1" t="str">
        <f>""</f>
        <v/>
      </c>
      <c r="AG226" s="1" t="str">
        <f>""</f>
        <v/>
      </c>
      <c r="AH226" s="1" t="str">
        <f>""</f>
        <v/>
      </c>
      <c r="AI226" s="1" t="str">
        <f>""</f>
        <v/>
      </c>
      <c r="AJ226" s="1" t="str">
        <f>""</f>
        <v/>
      </c>
      <c r="AK226" s="1" t="str">
        <f>""</f>
        <v/>
      </c>
    </row>
    <row r="227" spans="1:37" x14ac:dyDescent="0.2">
      <c r="A227" s="1">
        <v>195000</v>
      </c>
      <c r="B227" s="1">
        <v>952000129</v>
      </c>
      <c r="C227" s="1" t="str">
        <f>"تخليه -اصفهان جاده سپاهان شهرك صنعتي اشترجان انتهاي خيابان 11شركت ماژين سازه چكاد"</f>
        <v>تخليه -اصفهان جاده سپاهان شهرك صنعتي اشترجان انتهاي خيابان 11شركت ماژين سازه چكاد</v>
      </c>
      <c r="D227" s="1">
        <v>6976</v>
      </c>
      <c r="E227" s="1">
        <v>194660</v>
      </c>
      <c r="F227" s="1">
        <v>95</v>
      </c>
      <c r="G227" s="1">
        <v>340</v>
      </c>
      <c r="H227" s="1" t="str">
        <f>"95/07/11"</f>
        <v>95/07/11</v>
      </c>
      <c r="I227" s="1" t="str">
        <f t="shared" si="40"/>
        <v>كيلوگرم</v>
      </c>
      <c r="J227" s="1" t="str">
        <f t="shared" si="36"/>
        <v>0000000076</v>
      </c>
      <c r="K227" s="1" t="str">
        <f t="shared" si="37"/>
        <v>قير 60/70 - فله</v>
      </c>
      <c r="L227" s="1">
        <v>100</v>
      </c>
      <c r="M227" s="1" t="str">
        <f t="shared" si="41"/>
        <v>مخازن قير اصفهان</v>
      </c>
      <c r="N227" s="1">
        <v>9523</v>
      </c>
      <c r="O227" s="1">
        <v>50032054</v>
      </c>
      <c r="P227" s="1" t="str">
        <f>"  شهرداري فلاورجان"</f>
        <v xml:space="preserve">  شهرداري فلاورجان</v>
      </c>
      <c r="Q227" s="1">
        <v>20</v>
      </c>
      <c r="R227" s="1" t="str">
        <f>"فروش داخلي - سازمان شهرداري ها و دهياري هاي كشور"</f>
        <v>فروش داخلي - سازمان شهرداري ها و دهياري هاي كشور</v>
      </c>
      <c r="S227" s="1" t="str">
        <f t="shared" si="42"/>
        <v>قرارداد فروش</v>
      </c>
      <c r="T227" s="1" t="str">
        <f t="shared" si="43"/>
        <v>ندارد</v>
      </c>
      <c r="U227" s="1" t="str">
        <f>"سيفي پور عبدالمجيد(1009ج89)"</f>
        <v>سيفي پور عبدالمجيد(1009ج89)</v>
      </c>
      <c r="V227" s="1">
        <v>952000129</v>
      </c>
      <c r="W227" s="1">
        <v>952000129</v>
      </c>
      <c r="X227" s="1" t="str">
        <f>"1395435297"</f>
        <v>1395435297</v>
      </c>
      <c r="Y227" s="1" t="str">
        <f>"95/07/11"</f>
        <v>95/07/11</v>
      </c>
      <c r="Z227" s="1" t="str">
        <f>"27807"</f>
        <v>27807</v>
      </c>
      <c r="AA227" s="1" t="str">
        <f>"شهرداريها"</f>
        <v>شهرداريها</v>
      </c>
      <c r="AB227" s="1" t="str">
        <f>"95/06/10"</f>
        <v>95/06/10</v>
      </c>
      <c r="AC227" s="1" t="str">
        <f>"استان اصفهان"</f>
        <v>استان اصفهان</v>
      </c>
      <c r="AD227" s="1" t="str">
        <f>"95/07/11"</f>
        <v>95/07/11</v>
      </c>
      <c r="AE227" s="1" t="str">
        <f t="shared" si="49"/>
        <v>اختتام</v>
      </c>
      <c r="AF227" s="1" t="str">
        <f>""</f>
        <v/>
      </c>
      <c r="AG227" s="1" t="str">
        <f>""</f>
        <v/>
      </c>
      <c r="AH227" s="1" t="str">
        <f>""</f>
        <v/>
      </c>
      <c r="AI227" s="1" t="str">
        <f>""</f>
        <v/>
      </c>
      <c r="AJ227" s="1" t="str">
        <f>""</f>
        <v/>
      </c>
      <c r="AK227" s="1" t="str">
        <f>""</f>
        <v/>
      </c>
    </row>
    <row r="228" spans="1:37" x14ac:dyDescent="0.2">
      <c r="A228" s="1">
        <v>124000</v>
      </c>
      <c r="B228" s="1">
        <v>952000115</v>
      </c>
      <c r="C228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228" s="1">
        <v>6976</v>
      </c>
      <c r="E228" s="1">
        <v>123500</v>
      </c>
      <c r="F228" s="1">
        <v>95</v>
      </c>
      <c r="G228" s="1">
        <v>500</v>
      </c>
      <c r="H228" s="1" t="str">
        <f>"95/07/06"</f>
        <v>95/07/06</v>
      </c>
      <c r="I228" s="1" t="str">
        <f t="shared" si="40"/>
        <v>كيلوگرم</v>
      </c>
      <c r="J228" s="1" t="str">
        <f t="shared" si="36"/>
        <v>0000000076</v>
      </c>
      <c r="K228" s="1" t="str">
        <f t="shared" si="37"/>
        <v>قير 60/70 - فله</v>
      </c>
      <c r="L228" s="1">
        <v>100</v>
      </c>
      <c r="M228" s="1" t="str">
        <f t="shared" si="41"/>
        <v>مخازن قير اصفهان</v>
      </c>
      <c r="N228" s="1">
        <v>9526</v>
      </c>
      <c r="O228" s="1">
        <v>50031988</v>
      </c>
      <c r="P228" s="1" t="str">
        <f>"  شهرداري ابريشم"</f>
        <v xml:space="preserve">  شهرداري ابريشم</v>
      </c>
      <c r="Q228" s="1">
        <v>20</v>
      </c>
      <c r="R228" s="1" t="str">
        <f>"فروش داخلي - سازمان شهرداري ها و دهياري هاي كشور"</f>
        <v>فروش داخلي - سازمان شهرداري ها و دهياري هاي كشور</v>
      </c>
      <c r="S228" s="1" t="str">
        <f t="shared" si="42"/>
        <v>قرارداد فروش</v>
      </c>
      <c r="T228" s="1" t="str">
        <f t="shared" si="43"/>
        <v>ندارد</v>
      </c>
      <c r="U228" s="1" t="str">
        <f>"سيفي پور عبدالمجيد(1009ج89)"</f>
        <v>سيفي پور عبدالمجيد(1009ج89)</v>
      </c>
      <c r="V228" s="1">
        <v>952000115</v>
      </c>
      <c r="W228" s="1">
        <v>952000115</v>
      </c>
      <c r="X228" s="1" t="str">
        <f>"1395433839"</f>
        <v>1395433839</v>
      </c>
      <c r="Y228" s="1" t="str">
        <f>"95/07/06"</f>
        <v>95/07/06</v>
      </c>
      <c r="Z228" s="1" t="str">
        <f>"27771"</f>
        <v>27771</v>
      </c>
      <c r="AA228" s="1" t="str">
        <f>"شهرداريها"</f>
        <v>شهرداريها</v>
      </c>
      <c r="AB228" s="1" t="str">
        <f>"95/06/10"</f>
        <v>95/06/10</v>
      </c>
      <c r="AC228" s="1" t="str">
        <f>"استان اصفهان"</f>
        <v>استان اصفهان</v>
      </c>
      <c r="AD228" s="1" t="str">
        <f>"95/07/05"</f>
        <v>95/07/05</v>
      </c>
      <c r="AE228" s="1" t="str">
        <f t="shared" si="49"/>
        <v>اختتام</v>
      </c>
      <c r="AF228" s="1" t="str">
        <f>""</f>
        <v/>
      </c>
      <c r="AG228" s="1" t="str">
        <f>""</f>
        <v/>
      </c>
      <c r="AH228" s="1" t="str">
        <f>""</f>
        <v/>
      </c>
      <c r="AI228" s="1" t="str">
        <f>""</f>
        <v/>
      </c>
      <c r="AJ228" s="1" t="str">
        <f>""</f>
        <v/>
      </c>
      <c r="AK228" s="1" t="str">
        <f>""</f>
        <v/>
      </c>
    </row>
    <row r="229" spans="1:37" x14ac:dyDescent="0.2">
      <c r="A229" s="1">
        <v>157000</v>
      </c>
      <c r="B229" s="1">
        <v>956200148</v>
      </c>
      <c r="C229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229" s="1">
        <v>8861</v>
      </c>
      <c r="E229" s="1">
        <v>156200</v>
      </c>
      <c r="F229" s="1">
        <v>95</v>
      </c>
      <c r="G229" s="1">
        <v>800</v>
      </c>
      <c r="H229" s="1" t="str">
        <f>"95/10/20"</f>
        <v>95/10/20</v>
      </c>
      <c r="I229" s="1" t="str">
        <f t="shared" si="40"/>
        <v>كيلوگرم</v>
      </c>
      <c r="J229" s="1" t="str">
        <f t="shared" si="36"/>
        <v>0000000076</v>
      </c>
      <c r="K229" s="1" t="str">
        <f t="shared" si="37"/>
        <v>قير 60/70 - فله</v>
      </c>
      <c r="L229" s="1">
        <v>100</v>
      </c>
      <c r="M229" s="1" t="str">
        <f t="shared" si="41"/>
        <v>مخازن قير اصفهان</v>
      </c>
      <c r="N229" s="1">
        <v>10271</v>
      </c>
      <c r="O229" s="1">
        <v>50033345</v>
      </c>
      <c r="P229" s="1" t="str">
        <f>"  آرياگسترشهرضا"</f>
        <v xml:space="preserve">  آرياگسترشهرضا</v>
      </c>
      <c r="Q229" s="1">
        <v>62</v>
      </c>
      <c r="R229" s="1" t="str">
        <f>"فروش داخلي - سازمان بنيادمسكن انقلاب اسلامي"</f>
        <v>فروش داخلي - سازمان بنيادمسكن انقلاب اسلامي</v>
      </c>
      <c r="S229" s="1" t="str">
        <f t="shared" si="42"/>
        <v>قرارداد فروش</v>
      </c>
      <c r="T229" s="1" t="str">
        <f t="shared" si="43"/>
        <v>ندارد</v>
      </c>
      <c r="U229" s="1" t="str">
        <f>"علي عابدي ابوالقاسم(1003ج89)"</f>
        <v>علي عابدي ابوالقاسم(1003ج89)</v>
      </c>
      <c r="V229" s="1">
        <v>956200148</v>
      </c>
      <c r="W229" s="1">
        <v>956200148</v>
      </c>
      <c r="X229" s="1" t="str">
        <f>"1395457462"</f>
        <v>1395457462</v>
      </c>
      <c r="Y229" s="1" t="str">
        <f>"95/10/20"</f>
        <v>95/10/20</v>
      </c>
      <c r="Z229" s="1" t="str">
        <f>"44852/د"</f>
        <v>44852/د</v>
      </c>
      <c r="AA229" s="1" t="str">
        <f>"بنيادمسكن انقلاب اسلامي"</f>
        <v>بنيادمسكن انقلاب اسلامي</v>
      </c>
      <c r="AB229" s="1" t="str">
        <f>"95/10/20"</f>
        <v>95/10/20</v>
      </c>
      <c r="AC229" s="1" t="str">
        <f>"استان اصفهان"</f>
        <v>استان اصفهان</v>
      </c>
      <c r="AD229" s="1" t="str">
        <f>"95/10/18"</f>
        <v>95/10/18</v>
      </c>
      <c r="AE229" s="1" t="str">
        <f t="shared" si="49"/>
        <v>اختتام</v>
      </c>
      <c r="AF229" s="1" t="str">
        <f>""</f>
        <v/>
      </c>
      <c r="AG229" s="1" t="str">
        <f>""</f>
        <v/>
      </c>
      <c r="AH229" s="1" t="str">
        <f>""</f>
        <v/>
      </c>
      <c r="AI229" s="1" t="str">
        <f>""</f>
        <v/>
      </c>
      <c r="AJ229" s="1" t="str">
        <f>""</f>
        <v/>
      </c>
      <c r="AK229" s="1" t="str">
        <f>""</f>
        <v/>
      </c>
    </row>
    <row r="230" spans="1:37" x14ac:dyDescent="0.2">
      <c r="A230" s="1">
        <v>307000</v>
      </c>
      <c r="B230" s="1">
        <v>956200338</v>
      </c>
      <c r="C230" s="1" t="str">
        <f>"تخليه -يزد-اردکان جاده چک چک کيلومتر8"</f>
        <v>تخليه -يزد-اردکان جاده چک چک کيلومتر8</v>
      </c>
      <c r="D230" s="1">
        <v>8848</v>
      </c>
      <c r="E230" s="1">
        <v>306760</v>
      </c>
      <c r="F230" s="1">
        <v>95</v>
      </c>
      <c r="G230" s="1">
        <v>240</v>
      </c>
      <c r="H230" s="1" t="str">
        <f>"95/12/22"</f>
        <v>95/12/22</v>
      </c>
      <c r="I230" s="1" t="str">
        <f t="shared" si="40"/>
        <v>كيلوگرم</v>
      </c>
      <c r="J230" s="1" t="str">
        <f t="shared" si="36"/>
        <v>0000000076</v>
      </c>
      <c r="K230" s="1" t="str">
        <f t="shared" si="37"/>
        <v>قير 60/70 - فله</v>
      </c>
      <c r="L230" s="1">
        <v>100</v>
      </c>
      <c r="M230" s="1" t="str">
        <f t="shared" si="41"/>
        <v>مخازن قير اصفهان</v>
      </c>
      <c r="N230" s="1">
        <v>10327</v>
      </c>
      <c r="O230" s="1">
        <v>50034236</v>
      </c>
      <c r="P230" s="1" t="str">
        <f>"  آسفالت هامون"</f>
        <v xml:space="preserve">  آسفالت هامون</v>
      </c>
      <c r="Q230" s="1">
        <v>62</v>
      </c>
      <c r="R230" s="1" t="str">
        <f>"فروش داخلي - سازمان بنيادمسكن انقلاب اسلامي"</f>
        <v>فروش داخلي - سازمان بنيادمسكن انقلاب اسلامي</v>
      </c>
      <c r="S230" s="1" t="str">
        <f t="shared" si="42"/>
        <v>قرارداد فروش</v>
      </c>
      <c r="T230" s="1" t="str">
        <f t="shared" si="43"/>
        <v>ندارد</v>
      </c>
      <c r="U230" s="1" t="str">
        <f>"قانعي محمدرضا(1011ج89)"</f>
        <v>قانعي محمدرضا(1011ج89)</v>
      </c>
      <c r="V230" s="1">
        <v>956200338</v>
      </c>
      <c r="W230" s="1">
        <v>956200338</v>
      </c>
      <c r="X230" s="1" t="str">
        <f>"1395470711"</f>
        <v>1395470711</v>
      </c>
      <c r="Y230" s="1" t="str">
        <f>"95/12/22"</f>
        <v>95/12/22</v>
      </c>
      <c r="Z230" s="1" t="str">
        <f>"56551/د"</f>
        <v>56551/د</v>
      </c>
      <c r="AA230" s="1" t="str">
        <f>"بنيادمسكن انقلاب اسلامي"</f>
        <v>بنيادمسكن انقلاب اسلامي</v>
      </c>
      <c r="AB230" s="1" t="str">
        <f>"95/12/21"</f>
        <v>95/12/21</v>
      </c>
      <c r="AC230" s="1" t="str">
        <f>"استان يزد"</f>
        <v>استان يزد</v>
      </c>
      <c r="AD230" s="1" t="str">
        <f>"95/12/22"</f>
        <v>95/12/22</v>
      </c>
      <c r="AE230" s="1" t="str">
        <f t="shared" si="49"/>
        <v>اختتام</v>
      </c>
      <c r="AF230" s="1" t="str">
        <f>""</f>
        <v/>
      </c>
      <c r="AG230" s="1" t="str">
        <f>""</f>
        <v/>
      </c>
      <c r="AH230" s="1" t="str">
        <f>""</f>
        <v/>
      </c>
      <c r="AI230" s="1" t="str">
        <f>""</f>
        <v/>
      </c>
      <c r="AJ230" s="1" t="str">
        <f>""</f>
        <v/>
      </c>
      <c r="AK230" s="1" t="str">
        <f>""</f>
        <v/>
      </c>
    </row>
    <row r="231" spans="1:37" x14ac:dyDescent="0.2">
      <c r="A231" s="1">
        <v>124000</v>
      </c>
      <c r="B231" s="1">
        <v>951100174</v>
      </c>
      <c r="C231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231" s="1">
        <v>8861</v>
      </c>
      <c r="E231" s="1">
        <v>124000</v>
      </c>
      <c r="F231" s="1">
        <v>95</v>
      </c>
      <c r="G231" s="1">
        <v>0</v>
      </c>
      <c r="H231" s="1" t="str">
        <f>"95/10/26"</f>
        <v>95/10/26</v>
      </c>
      <c r="I231" s="1" t="str">
        <f t="shared" si="40"/>
        <v>كيلوگرم</v>
      </c>
      <c r="J231" s="1" t="str">
        <f t="shared" si="36"/>
        <v>0000000076</v>
      </c>
      <c r="K231" s="1" t="str">
        <f t="shared" si="37"/>
        <v>قير 60/70 - فله</v>
      </c>
      <c r="L231" s="1">
        <v>100</v>
      </c>
      <c r="M231" s="1" t="str">
        <f t="shared" si="41"/>
        <v>مخازن قير اصفهان</v>
      </c>
      <c r="N231" s="1">
        <v>9938</v>
      </c>
      <c r="O231" s="1">
        <v>50033407</v>
      </c>
      <c r="P231" s="1" t="str">
        <f>"  سازمان عمران شهرداري زاهدان"</f>
        <v xml:space="preserve">  سازمان عمران شهرداري زاهدان</v>
      </c>
      <c r="Q231" s="1">
        <v>11</v>
      </c>
      <c r="R231" s="1" t="str">
        <f>"فروش داخلي تهران - بورس"</f>
        <v>فروش داخلي تهران - بورس</v>
      </c>
      <c r="S231" s="1" t="str">
        <f t="shared" si="42"/>
        <v>قرارداد فروش</v>
      </c>
      <c r="T231" s="1" t="str">
        <f t="shared" si="43"/>
        <v>ندارد</v>
      </c>
      <c r="U231" s="1" t="str">
        <f>"ميرحسيني سيناترابر سيدمحمد(4854031)"</f>
        <v>ميرحسيني سيناترابر سيدمحمد(4854031)</v>
      </c>
      <c r="V231" s="1">
        <v>951100174</v>
      </c>
      <c r="W231" s="1">
        <v>951100174</v>
      </c>
      <c r="X231" s="1" t="str">
        <f>"1395457715"</f>
        <v>1395457715</v>
      </c>
      <c r="Y231" s="1" t="str">
        <f>"95/10/25"</f>
        <v>95/10/25</v>
      </c>
      <c r="Z231" s="1" t="str">
        <f>"95-35081"</f>
        <v>95-35081</v>
      </c>
      <c r="AA231" s="1" t="str">
        <f>"شهرداريها"</f>
        <v>شهرداريها</v>
      </c>
      <c r="AB231" s="1" t="str">
        <f>"95/10/25"</f>
        <v>95/10/25</v>
      </c>
      <c r="AC231" s="1" t="str">
        <f>"استان سيستان بلوچستان"</f>
        <v>استان سيستان بلوچستان</v>
      </c>
      <c r="AD231" s="1" t="str">
        <f>"95/10/20"</f>
        <v>95/10/20</v>
      </c>
      <c r="AE231" s="1" t="str">
        <f>"تاييدشده"</f>
        <v>تاييدشده</v>
      </c>
      <c r="AF231" s="1" t="str">
        <f>""</f>
        <v/>
      </c>
      <c r="AG231" s="1" t="str">
        <f>""</f>
        <v/>
      </c>
      <c r="AH231" s="1" t="str">
        <f>""</f>
        <v/>
      </c>
      <c r="AI231" s="1" t="str">
        <f>""</f>
        <v/>
      </c>
      <c r="AJ231" s="1" t="str">
        <f>""</f>
        <v/>
      </c>
      <c r="AK231" s="1" t="str">
        <f>""</f>
        <v/>
      </c>
    </row>
    <row r="232" spans="1:37" x14ac:dyDescent="0.2">
      <c r="A232" s="1">
        <v>49000</v>
      </c>
      <c r="B232" s="1">
        <v>956200001</v>
      </c>
      <c r="C232" s="1" t="str">
        <f>"تخليه -ايلام -دهلران-سه راهي موسيان -پشت نيروي انتظامي -شركت نصرراه معين"</f>
        <v>تخليه -ايلام -دهلران-سه راهي موسيان -پشت نيروي انتظامي -شركت نصرراه معين</v>
      </c>
      <c r="D232" s="1">
        <v>5650</v>
      </c>
      <c r="E232" s="1">
        <v>46880</v>
      </c>
      <c r="F232" s="1">
        <v>95</v>
      </c>
      <c r="G232" s="1">
        <v>2120</v>
      </c>
      <c r="H232" s="1" t="str">
        <f>"95/02/28"</f>
        <v>95/02/28</v>
      </c>
      <c r="I232" s="1" t="str">
        <f t="shared" si="40"/>
        <v>كيلوگرم</v>
      </c>
      <c r="J232" s="1" t="str">
        <f t="shared" si="36"/>
        <v>0000000076</v>
      </c>
      <c r="K232" s="1" t="str">
        <f t="shared" si="37"/>
        <v>قير 60/70 - فله</v>
      </c>
      <c r="L232" s="1">
        <v>100</v>
      </c>
      <c r="M232" s="1" t="str">
        <f t="shared" si="41"/>
        <v>مخازن قير اصفهان</v>
      </c>
      <c r="N232" s="1">
        <v>9958</v>
      </c>
      <c r="O232" s="1">
        <v>50030848</v>
      </c>
      <c r="P232" s="1" t="str">
        <f>"  نصر راه معين"</f>
        <v xml:space="preserve">  نصر راه معين</v>
      </c>
      <c r="Q232" s="1">
        <v>62</v>
      </c>
      <c r="R232" s="1" t="str">
        <f>"فروش داخلي - سازمان بنيادمسكن انقلاب اسلامي"</f>
        <v>فروش داخلي - سازمان بنيادمسكن انقلاب اسلامي</v>
      </c>
      <c r="S232" s="1" t="str">
        <f t="shared" si="42"/>
        <v>قرارداد فروش</v>
      </c>
      <c r="T232" s="1" t="str">
        <f t="shared" si="43"/>
        <v>ندارد</v>
      </c>
      <c r="U232" s="1" t="str">
        <f>"عظيمي محمد(2842015)"</f>
        <v>عظيمي محمد(2842015)</v>
      </c>
      <c r="V232" s="1">
        <v>956200001</v>
      </c>
      <c r="W232" s="1">
        <v>956200001</v>
      </c>
      <c r="X232" s="1" t="str">
        <f>"1395404450"</f>
        <v>1395404450</v>
      </c>
      <c r="Y232" s="1" t="str">
        <f>"95/02/28"</f>
        <v>95/02/28</v>
      </c>
      <c r="Z232" s="1" t="str">
        <f>"6687/د"</f>
        <v>6687/د</v>
      </c>
      <c r="AA232" s="1" t="str">
        <f>"بنيادمسكن انقلاب اسلامي"</f>
        <v>بنيادمسكن انقلاب اسلامي</v>
      </c>
      <c r="AB232" s="1" t="str">
        <f>"95/02/22"</f>
        <v>95/02/22</v>
      </c>
      <c r="AC232" s="1" t="str">
        <f>"استان ايلام"</f>
        <v>استان ايلام</v>
      </c>
      <c r="AD232" s="1" t="str">
        <f>"95/02/27"</f>
        <v>95/02/27</v>
      </c>
      <c r="AE232" s="1" t="str">
        <f t="shared" ref="AE232:AE254" si="50">"اختتام"</f>
        <v>اختتام</v>
      </c>
      <c r="AF232" s="1" t="str">
        <f>""</f>
        <v/>
      </c>
      <c r="AG232" s="1" t="str">
        <f>""</f>
        <v/>
      </c>
      <c r="AH232" s="1" t="str">
        <f>""</f>
        <v/>
      </c>
      <c r="AI232" s="1" t="str">
        <f>""</f>
        <v/>
      </c>
      <c r="AJ232" s="1" t="str">
        <f>""</f>
        <v/>
      </c>
      <c r="AK232" s="1" t="str">
        <f>""</f>
        <v/>
      </c>
    </row>
    <row r="233" spans="1:37" x14ac:dyDescent="0.2">
      <c r="A233" s="1">
        <v>109000</v>
      </c>
      <c r="B233" s="1">
        <v>956200298</v>
      </c>
      <c r="C233" s="1" t="str">
        <f>"تخليه - کرمانشاه -صحنه - کيلومتر 7 کرمانشاه صحنه - روستاي هاشم آباد -شرکت زاگرس راه نصر"</f>
        <v>تخليه - کرمانشاه -صحنه - کيلومتر 7 کرمانشاه صحنه - روستاي هاشم آباد -شرکت زاگرس راه نصر</v>
      </c>
      <c r="D233" s="1">
        <v>8848</v>
      </c>
      <c r="E233" s="1">
        <v>108880</v>
      </c>
      <c r="F233" s="1">
        <v>95</v>
      </c>
      <c r="G233" s="1">
        <v>120</v>
      </c>
      <c r="H233" s="1" t="str">
        <f>"95/12/09"</f>
        <v>95/12/09</v>
      </c>
      <c r="I233" s="1" t="str">
        <f t="shared" si="40"/>
        <v>كيلوگرم</v>
      </c>
      <c r="J233" s="1" t="str">
        <f t="shared" si="36"/>
        <v>0000000076</v>
      </c>
      <c r="K233" s="1" t="str">
        <f t="shared" si="37"/>
        <v>قير 60/70 - فله</v>
      </c>
      <c r="L233" s="1">
        <v>100</v>
      </c>
      <c r="M233" s="1" t="str">
        <f t="shared" si="41"/>
        <v>مخازن قير اصفهان</v>
      </c>
      <c r="N233" s="1">
        <v>10506</v>
      </c>
      <c r="O233" s="1">
        <v>50033902</v>
      </c>
      <c r="P233" s="1" t="str">
        <f>"  يكتابتن پرشين"</f>
        <v xml:space="preserve">  يكتابتن پرشين</v>
      </c>
      <c r="Q233" s="1">
        <v>62</v>
      </c>
      <c r="R233" s="1" t="str">
        <f>"فروش داخلي - سازمان بنيادمسكن انقلاب اسلامي"</f>
        <v>فروش داخلي - سازمان بنيادمسكن انقلاب اسلامي</v>
      </c>
      <c r="S233" s="1" t="str">
        <f t="shared" si="42"/>
        <v>قرارداد فروش</v>
      </c>
      <c r="T233" s="1" t="str">
        <f t="shared" si="43"/>
        <v>ندارد</v>
      </c>
      <c r="U233" s="1" t="str">
        <f>"عظيمي محمد(2842015)"</f>
        <v>عظيمي محمد(2842015)</v>
      </c>
      <c r="V233" s="1">
        <v>956200298</v>
      </c>
      <c r="W233" s="1">
        <v>956200298</v>
      </c>
      <c r="X233" s="1" t="str">
        <f>"1395467743"</f>
        <v>1395467743</v>
      </c>
      <c r="Y233" s="1" t="str">
        <f>"95/12/09"</f>
        <v>95/12/09</v>
      </c>
      <c r="Z233" s="1" t="str">
        <f>"53823/د"</f>
        <v>53823/د</v>
      </c>
      <c r="AA233" s="1" t="str">
        <f>"بنيادمسكن انقلاب اسلامي"</f>
        <v>بنيادمسكن انقلاب اسلامي</v>
      </c>
      <c r="AB233" s="1" t="str">
        <f>"95/12/07"</f>
        <v>95/12/07</v>
      </c>
      <c r="AC233" s="1" t="str">
        <f>"استان كرمانشاه"</f>
        <v>استان كرمانشاه</v>
      </c>
      <c r="AD233" s="1" t="str">
        <f>"95/12/08"</f>
        <v>95/12/08</v>
      </c>
      <c r="AE233" s="1" t="str">
        <f t="shared" si="50"/>
        <v>اختتام</v>
      </c>
      <c r="AF233" s="1" t="str">
        <f>""</f>
        <v/>
      </c>
      <c r="AG233" s="1" t="str">
        <f>""</f>
        <v/>
      </c>
      <c r="AH233" s="1" t="str">
        <f>""</f>
        <v/>
      </c>
      <c r="AI233" s="1" t="str">
        <f>""</f>
        <v/>
      </c>
      <c r="AJ233" s="1" t="str">
        <f>""</f>
        <v/>
      </c>
      <c r="AK233" s="1" t="str">
        <f>""</f>
        <v/>
      </c>
    </row>
    <row r="234" spans="1:37" x14ac:dyDescent="0.2">
      <c r="A234" s="1">
        <v>150000</v>
      </c>
      <c r="B234" s="1">
        <v>951100031</v>
      </c>
      <c r="C234" s="1" t="str">
        <f>"تخليه -كرمان كيلومتر10جاده زرند-كوهبتان مقابل روستاي باب تنگل كارخانه آسفالت كرمان ريسه"</f>
        <v>تخليه -كرمان كيلومتر10جاده زرند-كوهبتان مقابل روستاي باب تنگل كارخانه آسفالت كرمان ريسه</v>
      </c>
      <c r="D234" s="1">
        <v>5650</v>
      </c>
      <c r="E234" s="1">
        <v>145780</v>
      </c>
      <c r="F234" s="1">
        <v>95</v>
      </c>
      <c r="G234" s="1">
        <v>4220</v>
      </c>
      <c r="H234" s="1" t="str">
        <f>"95/02/11"</f>
        <v>95/02/11</v>
      </c>
      <c r="I234" s="1" t="str">
        <f t="shared" si="40"/>
        <v>كيلوگرم</v>
      </c>
      <c r="J234" s="1" t="str">
        <f t="shared" si="36"/>
        <v>0000000076</v>
      </c>
      <c r="K234" s="1" t="str">
        <f t="shared" si="37"/>
        <v>قير 60/70 - فله</v>
      </c>
      <c r="L234" s="1">
        <v>100</v>
      </c>
      <c r="M234" s="1" t="str">
        <f t="shared" si="41"/>
        <v>مخازن قير اصفهان</v>
      </c>
      <c r="N234" s="1">
        <v>10434</v>
      </c>
      <c r="O234" s="1">
        <v>50030661</v>
      </c>
      <c r="P234" s="1" t="str">
        <f>"  ساختماني كرمان ريسه"</f>
        <v xml:space="preserve">  ساختماني كرمان ريسه</v>
      </c>
      <c r="Q234" s="1">
        <v>11</v>
      </c>
      <c r="R234" s="1" t="str">
        <f>"فروش داخلي تهران - بورس"</f>
        <v>فروش داخلي تهران - بورس</v>
      </c>
      <c r="S234" s="1" t="str">
        <f t="shared" si="42"/>
        <v>قرارداد فروش</v>
      </c>
      <c r="T234" s="1" t="str">
        <f t="shared" si="43"/>
        <v>ندارد</v>
      </c>
      <c r="U234" s="1" t="str">
        <f>"خضرائي فريدون(4844003)"</f>
        <v>خضرائي فريدون(4844003)</v>
      </c>
      <c r="V234" s="1">
        <v>951100031</v>
      </c>
      <c r="W234" s="1">
        <v>951100031</v>
      </c>
      <c r="X234" s="1" t="str">
        <f>"1395401180"</f>
        <v>1395401180</v>
      </c>
      <c r="Y234" s="1" t="str">
        <f>"95/02/09"</f>
        <v>95/02/09</v>
      </c>
      <c r="Z234" s="1" t="str">
        <f>"95-34273"</f>
        <v>95-34273</v>
      </c>
      <c r="AA234" s="1" t="str">
        <f>"راه سازي"</f>
        <v>راه سازي</v>
      </c>
      <c r="AB234" s="1" t="str">
        <f>"95/02/07"</f>
        <v>95/02/07</v>
      </c>
      <c r="AC234" s="1" t="str">
        <f>"استان كرمان"</f>
        <v>استان كرمان</v>
      </c>
      <c r="AD234" s="1" t="str">
        <f>"95/02/06"</f>
        <v>95/02/06</v>
      </c>
      <c r="AE234" s="1" t="str">
        <f t="shared" si="50"/>
        <v>اختتام</v>
      </c>
      <c r="AF234" s="1" t="str">
        <f>""</f>
        <v/>
      </c>
      <c r="AG234" s="1" t="str">
        <f>""</f>
        <v/>
      </c>
      <c r="AH234" s="1" t="str">
        <f>""</f>
        <v/>
      </c>
      <c r="AI234" s="1" t="str">
        <f>""</f>
        <v/>
      </c>
      <c r="AJ234" s="1" t="str">
        <f>""</f>
        <v/>
      </c>
      <c r="AK234" s="1" t="str">
        <f>""</f>
        <v/>
      </c>
    </row>
    <row r="235" spans="1:37" x14ac:dyDescent="0.2">
      <c r="A235" s="1">
        <v>651000</v>
      </c>
      <c r="B235" s="1">
        <v>956200422</v>
      </c>
      <c r="C235" s="1" t="str">
        <f>"تخليه -جنوب كرمان -منوجان -بعدازشهرك صنعتي -كارخانه آسفالت زرين شن منوجان"</f>
        <v>تخليه -جنوب كرمان -منوجان -بعدازشهرك صنعتي -كارخانه آسفالت زرين شن منوجان</v>
      </c>
      <c r="D235" s="1">
        <v>8848</v>
      </c>
      <c r="E235" s="1">
        <v>649540</v>
      </c>
      <c r="F235" s="1">
        <v>95</v>
      </c>
      <c r="G235" s="1">
        <v>1460</v>
      </c>
      <c r="H235" s="1" t="str">
        <f>"95/12/28"</f>
        <v>95/12/28</v>
      </c>
      <c r="I235" s="1" t="str">
        <f t="shared" si="40"/>
        <v>كيلوگرم</v>
      </c>
      <c r="J235" s="1" t="str">
        <f t="shared" si="36"/>
        <v>0000000076</v>
      </c>
      <c r="K235" s="1" t="str">
        <f t="shared" si="37"/>
        <v>قير 60/70 - فله</v>
      </c>
      <c r="L235" s="1">
        <v>100</v>
      </c>
      <c r="M235" s="1" t="str">
        <f t="shared" si="41"/>
        <v>مخازن قير اصفهان</v>
      </c>
      <c r="N235" s="1">
        <v>10547</v>
      </c>
      <c r="O235" s="1">
        <v>50034311</v>
      </c>
      <c r="P235" s="1" t="str">
        <f>"  پي و پل جنوب"</f>
        <v xml:space="preserve">  پي و پل جنوب</v>
      </c>
      <c r="Q235" s="1">
        <v>62</v>
      </c>
      <c r="R235" s="1" t="str">
        <f>"فروش داخلي - سازمان بنيادمسكن انقلاب اسلامي"</f>
        <v>فروش داخلي - سازمان بنيادمسكن انقلاب اسلامي</v>
      </c>
      <c r="S235" s="1" t="str">
        <f t="shared" si="42"/>
        <v>قرارداد فروش</v>
      </c>
      <c r="T235" s="1" t="str">
        <f t="shared" si="43"/>
        <v>ندارد</v>
      </c>
      <c r="U235" s="1" t="str">
        <f>"قره باغي مجيد(1871065)"</f>
        <v>قره باغي مجيد(1871065)</v>
      </c>
      <c r="V235" s="1">
        <v>956200422</v>
      </c>
      <c r="W235" s="1">
        <v>956200422</v>
      </c>
      <c r="X235" s="1" t="str">
        <f>"1395470977"</f>
        <v>1395470977</v>
      </c>
      <c r="Y235" s="1" t="str">
        <f>"95/12/28"</f>
        <v>95/12/28</v>
      </c>
      <c r="Z235" s="1" t="str">
        <f>"57184/د"</f>
        <v>57184/د</v>
      </c>
      <c r="AA235" s="1" t="str">
        <f>"بنيادمسكن انقلاب اسلامي"</f>
        <v>بنيادمسكن انقلاب اسلامي</v>
      </c>
      <c r="AB235" s="1" t="str">
        <f>"95/12/22"</f>
        <v>95/12/22</v>
      </c>
      <c r="AC235" s="1" t="str">
        <f>"استان كرمان"</f>
        <v>استان كرمان</v>
      </c>
      <c r="AD235" s="1" t="str">
        <f>"95/12/24"</f>
        <v>95/12/24</v>
      </c>
      <c r="AE235" s="1" t="str">
        <f t="shared" si="50"/>
        <v>اختتام</v>
      </c>
      <c r="AF235" s="1" t="str">
        <f>""</f>
        <v/>
      </c>
      <c r="AG235" s="1" t="str">
        <f>""</f>
        <v/>
      </c>
      <c r="AH235" s="1" t="str">
        <f>""</f>
        <v/>
      </c>
      <c r="AI235" s="1" t="str">
        <f>""</f>
        <v/>
      </c>
      <c r="AJ235" s="1" t="str">
        <f>""</f>
        <v/>
      </c>
      <c r="AK235" s="1" t="str">
        <f>""</f>
        <v/>
      </c>
    </row>
    <row r="236" spans="1:37" x14ac:dyDescent="0.2">
      <c r="A236" s="1">
        <v>915000</v>
      </c>
      <c r="B236" s="1">
        <v>956200309</v>
      </c>
      <c r="C236" s="1" t="str">
        <f>"تخليه -قزوين -تاکستان-شهرک صنعتي خرمدشت-کارخانه اسفالت سريع سازان البرز"</f>
        <v>تخليه -قزوين -تاکستان-شهرک صنعتي خرمدشت-کارخانه اسفالت سريع سازان البرز</v>
      </c>
      <c r="D236" s="1">
        <v>8848</v>
      </c>
      <c r="E236" s="1">
        <v>914480</v>
      </c>
      <c r="F236" s="1">
        <v>95</v>
      </c>
      <c r="G236" s="1">
        <v>520</v>
      </c>
      <c r="H236" s="1" t="str">
        <f>"95/12/10"</f>
        <v>95/12/10</v>
      </c>
      <c r="I236" s="1" t="str">
        <f t="shared" si="40"/>
        <v>كيلوگرم</v>
      </c>
      <c r="J236" s="1" t="str">
        <f t="shared" si="36"/>
        <v>0000000076</v>
      </c>
      <c r="K236" s="1" t="str">
        <f t="shared" si="37"/>
        <v>قير 60/70 - فله</v>
      </c>
      <c r="L236" s="1">
        <v>100</v>
      </c>
      <c r="M236" s="1" t="str">
        <f t="shared" si="41"/>
        <v>مخازن قير اصفهان</v>
      </c>
      <c r="N236" s="1">
        <v>10565</v>
      </c>
      <c r="O236" s="1">
        <v>50033946</v>
      </c>
      <c r="P236" s="1" t="str">
        <f>"  سريع سازان البرز"</f>
        <v xml:space="preserve">  سريع سازان البرز</v>
      </c>
      <c r="Q236" s="1">
        <v>62</v>
      </c>
      <c r="R236" s="1" t="str">
        <f>"فروش داخلي - سازمان بنيادمسكن انقلاب اسلامي"</f>
        <v>فروش داخلي - سازمان بنيادمسكن انقلاب اسلامي</v>
      </c>
      <c r="S236" s="1" t="str">
        <f t="shared" si="42"/>
        <v>قرارداد فروش</v>
      </c>
      <c r="T236" s="1" t="str">
        <f t="shared" si="43"/>
        <v>ندارد</v>
      </c>
      <c r="U236" s="1" t="str">
        <f>"عبدالمحمدي حسين(1841032)"</f>
        <v>عبدالمحمدي حسين(1841032)</v>
      </c>
      <c r="V236" s="1">
        <v>956200309</v>
      </c>
      <c r="W236" s="1">
        <v>956200309</v>
      </c>
      <c r="X236" s="1" t="str">
        <f>"139546857"</f>
        <v>139546857</v>
      </c>
      <c r="Y236" s="1" t="str">
        <f>"95/12/10"</f>
        <v>95/12/10</v>
      </c>
      <c r="Z236" s="1" t="str">
        <f>"54422/د"</f>
        <v>54422/د</v>
      </c>
      <c r="AA236" s="1" t="str">
        <f>"بنيادمسكن انقلاب اسلامي"</f>
        <v>بنيادمسكن انقلاب اسلامي</v>
      </c>
      <c r="AB236" s="1" t="str">
        <f>"95/12/09"</f>
        <v>95/12/09</v>
      </c>
      <c r="AC236" s="1" t="str">
        <f>"قزوين"</f>
        <v>قزوين</v>
      </c>
      <c r="AD236" s="1" t="str">
        <f>"95/12/10"</f>
        <v>95/12/10</v>
      </c>
      <c r="AE236" s="1" t="str">
        <f t="shared" si="50"/>
        <v>اختتام</v>
      </c>
      <c r="AF236" s="1" t="str">
        <f>""</f>
        <v/>
      </c>
      <c r="AG236" s="1" t="str">
        <f>""</f>
        <v/>
      </c>
      <c r="AH236" s="1" t="str">
        <f>""</f>
        <v/>
      </c>
      <c r="AI236" s="1" t="str">
        <f>""</f>
        <v/>
      </c>
      <c r="AJ236" s="1" t="str">
        <f>""</f>
        <v/>
      </c>
      <c r="AK236" s="1" t="str">
        <f>""</f>
        <v/>
      </c>
    </row>
    <row r="237" spans="1:37" x14ac:dyDescent="0.2">
      <c r="A237" s="1">
        <v>70000</v>
      </c>
      <c r="B237" s="1">
        <v>952000178</v>
      </c>
      <c r="C237" s="1" t="str">
        <f>"تخليه اصفهان شهرستان حسن آبادكارخانه آسفالت خسرونژاد"</f>
        <v>تخليه اصفهان شهرستان حسن آبادكارخانه آسفالت خسرونژاد</v>
      </c>
      <c r="D237" s="1">
        <v>8023</v>
      </c>
      <c r="E237" s="1">
        <v>70000</v>
      </c>
      <c r="F237" s="1">
        <v>95</v>
      </c>
      <c r="G237" s="1">
        <v>0</v>
      </c>
      <c r="H237" s="1" t="str">
        <f>"95/08/10"</f>
        <v>95/08/10</v>
      </c>
      <c r="I237" s="1" t="str">
        <f t="shared" si="40"/>
        <v>كيلوگرم</v>
      </c>
      <c r="J237" s="1" t="str">
        <f t="shared" si="36"/>
        <v>0000000076</v>
      </c>
      <c r="K237" s="1" t="str">
        <f t="shared" si="37"/>
        <v>قير 60/70 - فله</v>
      </c>
      <c r="L237" s="1">
        <v>100</v>
      </c>
      <c r="M237" s="1" t="str">
        <f t="shared" si="41"/>
        <v>مخازن قير اصفهان</v>
      </c>
      <c r="N237" s="1">
        <v>10042</v>
      </c>
      <c r="O237" s="1">
        <v>50032446</v>
      </c>
      <c r="P237" s="1" t="str">
        <f>"  شهرداري حسن آباد"</f>
        <v xml:space="preserve">  شهرداري حسن آباد</v>
      </c>
      <c r="Q237" s="1">
        <v>20</v>
      </c>
      <c r="R237" s="1" t="str">
        <f>"فروش داخلي - سازمان شهرداري ها و دهياري هاي كشور"</f>
        <v>فروش داخلي - سازمان شهرداري ها و دهياري هاي كشور</v>
      </c>
      <c r="S237" s="1" t="str">
        <f t="shared" si="42"/>
        <v>قرارداد فروش</v>
      </c>
      <c r="T237" s="1" t="str">
        <f t="shared" si="43"/>
        <v>ندارد</v>
      </c>
      <c r="U237" s="1" t="str">
        <f>"شهبازي محمدرضا(1029ج89)"</f>
        <v>شهبازي محمدرضا(1029ج89)</v>
      </c>
      <c r="V237" s="1">
        <v>952000178</v>
      </c>
      <c r="W237" s="1">
        <v>952000178</v>
      </c>
      <c r="X237" s="1" t="str">
        <f>"1395441430"</f>
        <v>1395441430</v>
      </c>
      <c r="Y237" s="1" t="str">
        <f>"95/08/10"</f>
        <v>95/08/10</v>
      </c>
      <c r="Z237" s="1" t="str">
        <f>"27798"</f>
        <v>27798</v>
      </c>
      <c r="AA237" s="1" t="str">
        <f>"شهرداريها"</f>
        <v>شهرداريها</v>
      </c>
      <c r="AB237" s="1" t="str">
        <f>"95/06/10"</f>
        <v>95/06/10</v>
      </c>
      <c r="AC237" s="1" t="str">
        <f>"استان اصفهان"</f>
        <v>استان اصفهان</v>
      </c>
      <c r="AD237" s="1" t="str">
        <f>"95/08/09"</f>
        <v>95/08/09</v>
      </c>
      <c r="AE237" s="1" t="str">
        <f t="shared" si="50"/>
        <v>اختتام</v>
      </c>
      <c r="AF237" s="1" t="str">
        <f>""</f>
        <v/>
      </c>
      <c r="AG237" s="1" t="str">
        <f>""</f>
        <v/>
      </c>
      <c r="AH237" s="1" t="str">
        <f>""</f>
        <v/>
      </c>
      <c r="AI237" s="1" t="str">
        <f>""</f>
        <v/>
      </c>
      <c r="AJ237" s="1" t="str">
        <f>""</f>
        <v/>
      </c>
      <c r="AK237" s="1" t="str">
        <f>""</f>
        <v/>
      </c>
    </row>
    <row r="238" spans="1:37" x14ac:dyDescent="0.2">
      <c r="A238" s="1">
        <v>74000</v>
      </c>
      <c r="B238" s="1">
        <v>952000120</v>
      </c>
      <c r="C238" s="1" t="str">
        <f>"تخليه-اصفهان -کيلومتر 19 جاده کاشان قم - كارخانه آسفالت درم"</f>
        <v>تخليه-اصفهان -کيلومتر 19 جاده کاشان قم - كارخانه آسفالت درم</v>
      </c>
      <c r="D238" s="1">
        <v>6976</v>
      </c>
      <c r="E238" s="1">
        <v>72580</v>
      </c>
      <c r="F238" s="1">
        <v>95</v>
      </c>
      <c r="G238" s="1">
        <v>1420</v>
      </c>
      <c r="H238" s="1" t="str">
        <f>"95/07/08"</f>
        <v>95/07/08</v>
      </c>
      <c r="I238" s="1" t="str">
        <f t="shared" si="40"/>
        <v>كيلوگرم</v>
      </c>
      <c r="J238" s="1" t="str">
        <f t="shared" si="36"/>
        <v>0000000076</v>
      </c>
      <c r="K238" s="1" t="str">
        <f t="shared" si="37"/>
        <v>قير 60/70 - فله</v>
      </c>
      <c r="L238" s="1">
        <v>100</v>
      </c>
      <c r="M238" s="1" t="str">
        <f t="shared" si="41"/>
        <v>مخازن قير اصفهان</v>
      </c>
      <c r="N238" s="1">
        <v>10061</v>
      </c>
      <c r="O238" s="1">
        <v>50032031</v>
      </c>
      <c r="P238" s="1" t="str">
        <f>"  شهرداري سفيدشهر"</f>
        <v xml:space="preserve">  شهرداري سفيدشهر</v>
      </c>
      <c r="Q238" s="1">
        <v>20</v>
      </c>
      <c r="R238" s="1" t="str">
        <f>"فروش داخلي - سازمان شهرداري ها و دهياري هاي كشور"</f>
        <v>فروش داخلي - سازمان شهرداري ها و دهياري هاي كشور</v>
      </c>
      <c r="S238" s="1" t="str">
        <f t="shared" si="42"/>
        <v>قرارداد فروش</v>
      </c>
      <c r="T238" s="1" t="str">
        <f t="shared" si="43"/>
        <v>ندارد</v>
      </c>
      <c r="U238" s="1" t="str">
        <f>"كبيري رحمت اله(1024ج89)"</f>
        <v>كبيري رحمت اله(1024ج89)</v>
      </c>
      <c r="V238" s="1">
        <v>952000120</v>
      </c>
      <c r="W238" s="1">
        <v>952000120</v>
      </c>
      <c r="X238" s="1" t="str">
        <f>"1395434881"</f>
        <v>1395434881</v>
      </c>
      <c r="Y238" s="1" t="str">
        <f>"95/07/08"</f>
        <v>95/07/08</v>
      </c>
      <c r="Z238" s="1" t="str">
        <f>"27765"</f>
        <v>27765</v>
      </c>
      <c r="AA238" s="1" t="str">
        <f>"شهرداريها"</f>
        <v>شهرداريها</v>
      </c>
      <c r="AB238" s="1" t="str">
        <f>"95/06/10"</f>
        <v>95/06/10</v>
      </c>
      <c r="AC238" s="1" t="str">
        <f>"استان اصفهان"</f>
        <v>استان اصفهان</v>
      </c>
      <c r="AD238" s="1" t="str">
        <f>"95/07/07"</f>
        <v>95/07/07</v>
      </c>
      <c r="AE238" s="1" t="str">
        <f t="shared" si="50"/>
        <v>اختتام</v>
      </c>
      <c r="AF238" s="1" t="str">
        <f>""</f>
        <v/>
      </c>
      <c r="AG238" s="1" t="str">
        <f>""</f>
        <v/>
      </c>
      <c r="AH238" s="1" t="str">
        <f>""</f>
        <v/>
      </c>
      <c r="AI238" s="1" t="str">
        <f>""</f>
        <v/>
      </c>
      <c r="AJ238" s="1" t="str">
        <f>""</f>
        <v/>
      </c>
      <c r="AK238" s="1" t="str">
        <f>""</f>
        <v/>
      </c>
    </row>
    <row r="239" spans="1:37" x14ac:dyDescent="0.2">
      <c r="A239" s="1">
        <v>115000</v>
      </c>
      <c r="B239" s="1">
        <v>952000128</v>
      </c>
      <c r="C239" s="1" t="str">
        <f>"تخليه اصفهان پليس راه جاده سپاهان شهرك صنعتي اشترجان خ امام"</f>
        <v>تخليه اصفهان پليس راه جاده سپاهان شهرك صنعتي اشترجان خ امام</v>
      </c>
      <c r="D239" s="1">
        <v>6976</v>
      </c>
      <c r="E239" s="1">
        <v>114240</v>
      </c>
      <c r="F239" s="1">
        <v>95</v>
      </c>
      <c r="G239" s="1">
        <v>760</v>
      </c>
      <c r="H239" s="1" t="str">
        <f>"95/07/11"</f>
        <v>95/07/11</v>
      </c>
      <c r="I239" s="1" t="str">
        <f t="shared" si="40"/>
        <v>كيلوگرم</v>
      </c>
      <c r="J239" s="1" t="str">
        <f t="shared" si="36"/>
        <v>0000000076</v>
      </c>
      <c r="K239" s="1" t="str">
        <f t="shared" si="37"/>
        <v>قير 60/70 - فله</v>
      </c>
      <c r="L239" s="1">
        <v>100</v>
      </c>
      <c r="M239" s="1" t="str">
        <f t="shared" si="41"/>
        <v>مخازن قير اصفهان</v>
      </c>
      <c r="N239" s="1">
        <v>10655</v>
      </c>
      <c r="O239" s="1">
        <v>50032053</v>
      </c>
      <c r="P239" s="1" t="str">
        <f>"  شهرداري سده لنجان"</f>
        <v xml:space="preserve">  شهرداري سده لنجان</v>
      </c>
      <c r="Q239" s="1">
        <v>20</v>
      </c>
      <c r="R239" s="1" t="str">
        <f>"فروش داخلي - سازمان شهرداري ها و دهياري هاي كشور"</f>
        <v>فروش داخلي - سازمان شهرداري ها و دهياري هاي كشور</v>
      </c>
      <c r="S239" s="1" t="str">
        <f t="shared" si="42"/>
        <v>قرارداد فروش</v>
      </c>
      <c r="T239" s="1" t="str">
        <f t="shared" si="43"/>
        <v>ندارد</v>
      </c>
      <c r="U239" s="1" t="str">
        <f>"سيفي پور عبدالمجيد(1009ج89)"</f>
        <v>سيفي پور عبدالمجيد(1009ج89)</v>
      </c>
      <c r="V239" s="1">
        <v>952000128</v>
      </c>
      <c r="W239" s="1">
        <v>952000128</v>
      </c>
      <c r="X239" s="1" t="str">
        <f>"1395435297"</f>
        <v>1395435297</v>
      </c>
      <c r="Y239" s="1" t="str">
        <f>"95/07/11"</f>
        <v>95/07/11</v>
      </c>
      <c r="Z239" s="1" t="str">
        <f>"27813"</f>
        <v>27813</v>
      </c>
      <c r="AA239" s="1" t="str">
        <f>"شهرداريها"</f>
        <v>شهرداريها</v>
      </c>
      <c r="AB239" s="1" t="str">
        <f>"95/06/10"</f>
        <v>95/06/10</v>
      </c>
      <c r="AC239" s="1" t="str">
        <f>"استان اصفهان"</f>
        <v>استان اصفهان</v>
      </c>
      <c r="AD239" s="1" t="str">
        <f>"95/07/11"</f>
        <v>95/07/11</v>
      </c>
      <c r="AE239" s="1" t="str">
        <f t="shared" si="50"/>
        <v>اختتام</v>
      </c>
      <c r="AF239" s="1" t="str">
        <f>""</f>
        <v/>
      </c>
      <c r="AG239" s="1" t="str">
        <f>""</f>
        <v/>
      </c>
      <c r="AH239" s="1" t="str">
        <f>""</f>
        <v/>
      </c>
      <c r="AI239" s="1" t="str">
        <f>""</f>
        <v/>
      </c>
      <c r="AJ239" s="1" t="str">
        <f>""</f>
        <v/>
      </c>
      <c r="AK239" s="1" t="str">
        <f>""</f>
        <v/>
      </c>
    </row>
    <row r="240" spans="1:37" x14ac:dyDescent="0.2">
      <c r="A240" s="1">
        <v>111000</v>
      </c>
      <c r="B240" s="1">
        <v>952000290</v>
      </c>
      <c r="C240" s="1" t="str">
        <f>"تخليه اصفهان لنجان روبروي ذوب آهن كارخانه زرين سپاهان"</f>
        <v>تخليه اصفهان لنجان روبروي ذوب آهن كارخانه زرين سپاهان</v>
      </c>
      <c r="D240" s="1">
        <v>7026</v>
      </c>
      <c r="E240" s="1">
        <v>110140</v>
      </c>
      <c r="F240" s="1">
        <v>95</v>
      </c>
      <c r="G240" s="1">
        <v>860</v>
      </c>
      <c r="H240" s="1" t="str">
        <f>"95/09/09"</f>
        <v>95/09/09</v>
      </c>
      <c r="I240" s="1" t="str">
        <f t="shared" si="40"/>
        <v>كيلوگرم</v>
      </c>
      <c r="J240" s="1" t="str">
        <f t="shared" si="36"/>
        <v>0000000076</v>
      </c>
      <c r="K240" s="1" t="str">
        <f t="shared" si="37"/>
        <v>قير 60/70 - فله</v>
      </c>
      <c r="L240" s="1">
        <v>100</v>
      </c>
      <c r="M240" s="1" t="str">
        <f t="shared" si="41"/>
        <v>مخازن قير اصفهان</v>
      </c>
      <c r="N240" s="1">
        <v>10658</v>
      </c>
      <c r="O240" s="1">
        <v>50032770</v>
      </c>
      <c r="P240" s="1" t="str">
        <f>"  شهرداري ورنامخواست"</f>
        <v xml:space="preserve">  شهرداري ورنامخواست</v>
      </c>
      <c r="Q240" s="1">
        <v>20</v>
      </c>
      <c r="R240" s="1" t="str">
        <f>"فروش داخلي - سازمان شهرداري ها و دهياري هاي كشور"</f>
        <v>فروش داخلي - سازمان شهرداري ها و دهياري هاي كشور</v>
      </c>
      <c r="S240" s="1" t="str">
        <f t="shared" si="42"/>
        <v>قرارداد فروش</v>
      </c>
      <c r="T240" s="1" t="str">
        <f t="shared" si="43"/>
        <v>ندارد</v>
      </c>
      <c r="U240" s="1" t="str">
        <f>"مرادي نجاتعلي(1020ج89)"</f>
        <v>مرادي نجاتعلي(1020ج89)</v>
      </c>
      <c r="V240" s="1">
        <v>952000290</v>
      </c>
      <c r="W240" s="1">
        <v>952000290</v>
      </c>
      <c r="X240" s="1" t="str">
        <f>"1395447768"</f>
        <v>1395447768</v>
      </c>
      <c r="Y240" s="1" t="str">
        <f>"95/09/09"</f>
        <v>95/09/09</v>
      </c>
      <c r="Z240" s="1" t="str">
        <f>"43277"</f>
        <v>43277</v>
      </c>
      <c r="AA240" s="1" t="str">
        <f>"شهرداريها"</f>
        <v>شهرداريها</v>
      </c>
      <c r="AB240" s="1" t="str">
        <f>"95/09/02"</f>
        <v>95/09/02</v>
      </c>
      <c r="AC240" s="1" t="str">
        <f>"استان اصفهان"</f>
        <v>استان اصفهان</v>
      </c>
      <c r="AD240" s="1" t="str">
        <f>"95/09/07"</f>
        <v>95/09/07</v>
      </c>
      <c r="AE240" s="1" t="str">
        <f t="shared" si="50"/>
        <v>اختتام</v>
      </c>
      <c r="AF240" s="1" t="str">
        <f>""</f>
        <v/>
      </c>
      <c r="AG240" s="1" t="str">
        <f>""</f>
        <v/>
      </c>
      <c r="AH240" s="1" t="str">
        <f>""</f>
        <v/>
      </c>
      <c r="AI240" s="1" t="str">
        <f>""</f>
        <v/>
      </c>
      <c r="AJ240" s="1" t="str">
        <f>""</f>
        <v/>
      </c>
      <c r="AK240" s="1" t="str">
        <f>""</f>
        <v/>
      </c>
    </row>
    <row r="241" spans="1:37" x14ac:dyDescent="0.2">
      <c r="A241" s="1">
        <v>106000</v>
      </c>
      <c r="B241" s="1">
        <v>956200299</v>
      </c>
      <c r="C241" s="1" t="str">
        <f>"تخليه - کرمانشاه -صحنه - کيلومتر 7 کرمانشاه صحنه - روستاي هاشم آباد -شرکت زاگرس راه نصر"</f>
        <v>تخليه - کرمانشاه -صحنه - کيلومتر 7 کرمانشاه صحنه - روستاي هاشم آباد -شرکت زاگرس راه نصر</v>
      </c>
      <c r="D241" s="1">
        <v>8848</v>
      </c>
      <c r="E241" s="1">
        <v>105660</v>
      </c>
      <c r="F241" s="1">
        <v>95</v>
      </c>
      <c r="G241" s="1">
        <v>340</v>
      </c>
      <c r="H241" s="1" t="str">
        <f>"95/12/09"</f>
        <v>95/12/09</v>
      </c>
      <c r="I241" s="1" t="str">
        <f t="shared" si="40"/>
        <v>كيلوگرم</v>
      </c>
      <c r="J241" s="1" t="str">
        <f t="shared" si="36"/>
        <v>0000000076</v>
      </c>
      <c r="K241" s="1" t="str">
        <f t="shared" si="37"/>
        <v>قير 60/70 - فله</v>
      </c>
      <c r="L241" s="1">
        <v>100</v>
      </c>
      <c r="M241" s="1" t="str">
        <f t="shared" si="41"/>
        <v>مخازن قير اصفهان</v>
      </c>
      <c r="N241" s="1">
        <v>10506</v>
      </c>
      <c r="O241" s="1">
        <v>50033903</v>
      </c>
      <c r="P241" s="1" t="str">
        <f>"  يكتابتن پرشين"</f>
        <v xml:space="preserve">  يكتابتن پرشين</v>
      </c>
      <c r="Q241" s="1">
        <v>62</v>
      </c>
      <c r="R241" s="1" t="str">
        <f>"فروش داخلي - سازمان بنيادمسكن انقلاب اسلامي"</f>
        <v>فروش داخلي - سازمان بنيادمسكن انقلاب اسلامي</v>
      </c>
      <c r="S241" s="1" t="str">
        <f t="shared" si="42"/>
        <v>قرارداد فروش</v>
      </c>
      <c r="T241" s="1" t="str">
        <f t="shared" si="43"/>
        <v>ندارد</v>
      </c>
      <c r="U241" s="1" t="str">
        <f>"عظيمي محمد(2842015)"</f>
        <v>عظيمي محمد(2842015)</v>
      </c>
      <c r="V241" s="1">
        <v>956200299</v>
      </c>
      <c r="W241" s="1">
        <v>956200299</v>
      </c>
      <c r="X241" s="1" t="str">
        <f>"1395467743"</f>
        <v>1395467743</v>
      </c>
      <c r="Y241" s="1" t="str">
        <f>"95/12/09"</f>
        <v>95/12/09</v>
      </c>
      <c r="Z241" s="1" t="str">
        <f>"53824/د"</f>
        <v>53824/د</v>
      </c>
      <c r="AA241" s="1" t="str">
        <f>"بنيادمسكن انقلاب اسلامي"</f>
        <v>بنيادمسكن انقلاب اسلامي</v>
      </c>
      <c r="AB241" s="1" t="str">
        <f>"95/12/07"</f>
        <v>95/12/07</v>
      </c>
      <c r="AC241" s="1" t="str">
        <f>"استان كرمانشاه"</f>
        <v>استان كرمانشاه</v>
      </c>
      <c r="AD241" s="1" t="str">
        <f>"95/12/08"</f>
        <v>95/12/08</v>
      </c>
      <c r="AE241" s="1" t="str">
        <f t="shared" si="50"/>
        <v>اختتام</v>
      </c>
      <c r="AF241" s="1" t="str">
        <f>""</f>
        <v/>
      </c>
      <c r="AG241" s="1" t="str">
        <f>""</f>
        <v/>
      </c>
      <c r="AH241" s="1" t="str">
        <f>""</f>
        <v/>
      </c>
      <c r="AI241" s="1" t="str">
        <f>""</f>
        <v/>
      </c>
      <c r="AJ241" s="1" t="str">
        <f>""</f>
        <v/>
      </c>
      <c r="AK241" s="1" t="str">
        <f>""</f>
        <v/>
      </c>
    </row>
    <row r="242" spans="1:37" x14ac:dyDescent="0.2">
      <c r="A242" s="1">
        <v>77000</v>
      </c>
      <c r="B242" s="1">
        <v>952000088</v>
      </c>
      <c r="C242" s="1" t="str">
        <f>"تخليه - اصفهان -کيلومتر 12 شهرضا-کارخانه آسفالت گلابي"</f>
        <v>تخليه - اصفهان -کيلومتر 12 شهرضا-کارخانه آسفالت گلابي</v>
      </c>
      <c r="D242" s="1">
        <v>6876</v>
      </c>
      <c r="E242" s="1">
        <v>76200</v>
      </c>
      <c r="F242" s="1">
        <v>95</v>
      </c>
      <c r="G242" s="1">
        <v>800</v>
      </c>
      <c r="H242" s="1" t="str">
        <f>"95/06/23"</f>
        <v>95/06/23</v>
      </c>
      <c r="I242" s="1" t="str">
        <f t="shared" si="40"/>
        <v>كيلوگرم</v>
      </c>
      <c r="J242" s="1" t="str">
        <f t="shared" si="36"/>
        <v>0000000076</v>
      </c>
      <c r="K242" s="1" t="str">
        <f t="shared" si="37"/>
        <v>قير 60/70 - فله</v>
      </c>
      <c r="L242" s="1">
        <v>100</v>
      </c>
      <c r="M242" s="1" t="str">
        <f t="shared" si="41"/>
        <v>مخازن قير اصفهان</v>
      </c>
      <c r="N242" s="1">
        <v>10651</v>
      </c>
      <c r="O242" s="1">
        <v>50031853</v>
      </c>
      <c r="P242" s="1" t="str">
        <f>"  شهرداري منظريه"</f>
        <v xml:space="preserve">  شهرداري منظريه</v>
      </c>
      <c r="Q242" s="1">
        <v>20</v>
      </c>
      <c r="R242" s="1" t="str">
        <f>"فروش داخلي - سازمان شهرداري ها و دهياري هاي كشور"</f>
        <v>فروش داخلي - سازمان شهرداري ها و دهياري هاي كشور</v>
      </c>
      <c r="S242" s="1" t="str">
        <f t="shared" si="42"/>
        <v>قرارداد فروش</v>
      </c>
      <c r="T242" s="1" t="str">
        <f t="shared" si="43"/>
        <v>ندارد</v>
      </c>
      <c r="U242" s="1" t="str">
        <f>"علي عابدي ابوالقاسم(1003ج89)"</f>
        <v>علي عابدي ابوالقاسم(1003ج89)</v>
      </c>
      <c r="V242" s="1">
        <v>952000088</v>
      </c>
      <c r="W242" s="1">
        <v>952000088</v>
      </c>
      <c r="X242" s="1" t="str">
        <f>"1395430748"</f>
        <v>1395430748</v>
      </c>
      <c r="Y242" s="1" t="str">
        <f>"95/06/23"</f>
        <v>95/06/23</v>
      </c>
      <c r="Z242" s="1" t="str">
        <f>"27724"</f>
        <v>27724</v>
      </c>
      <c r="AA242" s="1" t="str">
        <f>"شهرداريها"</f>
        <v>شهرداريها</v>
      </c>
      <c r="AB242" s="1" t="str">
        <f>"95/06/10"</f>
        <v>95/06/10</v>
      </c>
      <c r="AC242" s="1" t="str">
        <f t="shared" ref="AC242:AC249" si="51">"استان اصفهان"</f>
        <v>استان اصفهان</v>
      </c>
      <c r="AD242" s="1" t="str">
        <f>"95/06/21"</f>
        <v>95/06/21</v>
      </c>
      <c r="AE242" s="1" t="str">
        <f t="shared" si="50"/>
        <v>اختتام</v>
      </c>
      <c r="AF242" s="1" t="str">
        <f>""</f>
        <v/>
      </c>
      <c r="AG242" s="1" t="str">
        <f>""</f>
        <v/>
      </c>
      <c r="AH242" s="1" t="str">
        <f>""</f>
        <v/>
      </c>
      <c r="AI242" s="1" t="str">
        <f>""</f>
        <v/>
      </c>
      <c r="AJ242" s="1" t="str">
        <f>""</f>
        <v/>
      </c>
      <c r="AK242" s="1" t="str">
        <f>""</f>
        <v/>
      </c>
    </row>
    <row r="243" spans="1:37" x14ac:dyDescent="0.2">
      <c r="A243" s="1">
        <v>66000</v>
      </c>
      <c r="B243" s="1">
        <v>952000126</v>
      </c>
      <c r="C243" s="1" t="str">
        <f>"تخليه -اصفهان كيلومتر5جاده شهررضامباركه كارخانه آسفالت آرين بلواراسپادانا"</f>
        <v>تخليه -اصفهان كيلومتر5جاده شهررضامباركه كارخانه آسفالت آرين بلواراسپادانا</v>
      </c>
      <c r="D243" s="1">
        <v>6976</v>
      </c>
      <c r="E243" s="1">
        <v>65140</v>
      </c>
      <c r="F243" s="1">
        <v>95</v>
      </c>
      <c r="G243" s="1">
        <v>860</v>
      </c>
      <c r="H243" s="1" t="str">
        <f>"95/07/11"</f>
        <v>95/07/11</v>
      </c>
      <c r="I243" s="1" t="str">
        <f t="shared" si="40"/>
        <v>كيلوگرم</v>
      </c>
      <c r="J243" s="1" t="str">
        <f t="shared" si="36"/>
        <v>0000000076</v>
      </c>
      <c r="K243" s="1" t="str">
        <f t="shared" si="37"/>
        <v>قير 60/70 - فله</v>
      </c>
      <c r="L243" s="1">
        <v>100</v>
      </c>
      <c r="M243" s="1" t="str">
        <f t="shared" si="41"/>
        <v>مخازن قير اصفهان</v>
      </c>
      <c r="N243" s="1">
        <v>10652</v>
      </c>
      <c r="O243" s="1">
        <v>50032047</v>
      </c>
      <c r="P243" s="1" t="str">
        <f>"  شهرداري ونك"</f>
        <v xml:space="preserve">  شهرداري ونك</v>
      </c>
      <c r="Q243" s="1">
        <v>20</v>
      </c>
      <c r="R243" s="1" t="str">
        <f>"فروش داخلي - سازمان شهرداري ها و دهياري هاي كشور"</f>
        <v>فروش داخلي - سازمان شهرداري ها و دهياري هاي كشور</v>
      </c>
      <c r="S243" s="1" t="str">
        <f t="shared" si="42"/>
        <v>قرارداد فروش</v>
      </c>
      <c r="T243" s="1" t="str">
        <f t="shared" si="43"/>
        <v>ندارد</v>
      </c>
      <c r="U243" s="1" t="str">
        <f>"سيفي پور عبدالمجيد(1009ج89)"</f>
        <v>سيفي پور عبدالمجيد(1009ج89)</v>
      </c>
      <c r="V243" s="1">
        <v>952000126</v>
      </c>
      <c r="W243" s="1">
        <v>952000126</v>
      </c>
      <c r="X243" s="1" t="str">
        <f>"1395435297"</f>
        <v>1395435297</v>
      </c>
      <c r="Y243" s="1" t="str">
        <f>"95/07/11"</f>
        <v>95/07/11</v>
      </c>
      <c r="Z243" s="1" t="str">
        <f>"27729"</f>
        <v>27729</v>
      </c>
      <c r="AA243" s="1" t="str">
        <f>"شهرداريها"</f>
        <v>شهرداريها</v>
      </c>
      <c r="AB243" s="1" t="str">
        <f>"95/06/10"</f>
        <v>95/06/10</v>
      </c>
      <c r="AC243" s="1" t="str">
        <f t="shared" si="51"/>
        <v>استان اصفهان</v>
      </c>
      <c r="AD243" s="1" t="str">
        <f>"95/07/11"</f>
        <v>95/07/11</v>
      </c>
      <c r="AE243" s="1" t="str">
        <f t="shared" si="50"/>
        <v>اختتام</v>
      </c>
      <c r="AF243" s="1" t="str">
        <f>""</f>
        <v/>
      </c>
      <c r="AG243" s="1" t="str">
        <f>""</f>
        <v/>
      </c>
      <c r="AH243" s="1" t="str">
        <f>""</f>
        <v/>
      </c>
      <c r="AI243" s="1" t="str">
        <f>""</f>
        <v/>
      </c>
      <c r="AJ243" s="1" t="str">
        <f>""</f>
        <v/>
      </c>
      <c r="AK243" s="1" t="str">
        <f>""</f>
        <v/>
      </c>
    </row>
    <row r="244" spans="1:37" x14ac:dyDescent="0.2">
      <c r="A244" s="1">
        <v>532000</v>
      </c>
      <c r="B244" s="1">
        <v>956200157</v>
      </c>
      <c r="C244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244" s="1">
        <v>8861</v>
      </c>
      <c r="E244" s="1">
        <v>531180</v>
      </c>
      <c r="F244" s="1">
        <v>95</v>
      </c>
      <c r="G244" s="1">
        <v>820</v>
      </c>
      <c r="H244" s="1" t="str">
        <f>"95/10/23"</f>
        <v>95/10/23</v>
      </c>
      <c r="I244" s="1" t="str">
        <f t="shared" si="40"/>
        <v>كيلوگرم</v>
      </c>
      <c r="J244" s="1" t="str">
        <f t="shared" ref="J244:J307" si="52">"0000000076"</f>
        <v>0000000076</v>
      </c>
      <c r="K244" s="1" t="str">
        <f t="shared" ref="K244:K307" si="53">"قير 60/70 - فله"</f>
        <v>قير 60/70 - فله</v>
      </c>
      <c r="L244" s="1">
        <v>100</v>
      </c>
      <c r="M244" s="1" t="str">
        <f t="shared" si="41"/>
        <v>مخازن قير اصفهان</v>
      </c>
      <c r="N244" s="1">
        <v>10536</v>
      </c>
      <c r="O244" s="1">
        <v>50033376</v>
      </c>
      <c r="P244" s="1" t="str">
        <f>"  آبجيل صنعت"</f>
        <v xml:space="preserve">  آبجيل صنعت</v>
      </c>
      <c r="Q244" s="1">
        <v>62</v>
      </c>
      <c r="R244" s="1" t="str">
        <f>"فروش داخلي - سازمان بنيادمسكن انقلاب اسلامي"</f>
        <v>فروش داخلي - سازمان بنيادمسكن انقلاب اسلامي</v>
      </c>
      <c r="S244" s="1" t="str">
        <f t="shared" si="42"/>
        <v>قرارداد فروش</v>
      </c>
      <c r="T244" s="1" t="str">
        <f t="shared" si="43"/>
        <v>ندارد</v>
      </c>
      <c r="U244" s="1" t="str">
        <f>"سيفي پور گودرز(1019ج89)"</f>
        <v>سيفي پور گودرز(1019ج89)</v>
      </c>
      <c r="V244" s="1">
        <v>956200157</v>
      </c>
      <c r="W244" s="1">
        <v>956200157</v>
      </c>
      <c r="X244" s="1" t="str">
        <f>"1395457937"</f>
        <v>1395457937</v>
      </c>
      <c r="Y244" s="1" t="str">
        <f>"95/10/23"</f>
        <v>95/10/23</v>
      </c>
      <c r="Z244" s="1" t="str">
        <f>"44838/د"</f>
        <v>44838/د</v>
      </c>
      <c r="AA244" s="1" t="str">
        <f>"بنيادمسكن انقلاب اسلامي"</f>
        <v>بنيادمسكن انقلاب اسلامي</v>
      </c>
      <c r="AB244" s="1" t="str">
        <f>"95/10/20"</f>
        <v>95/10/20</v>
      </c>
      <c r="AC244" s="1" t="str">
        <f t="shared" si="51"/>
        <v>استان اصفهان</v>
      </c>
      <c r="AD244" s="1" t="str">
        <f>"95/10/22"</f>
        <v>95/10/22</v>
      </c>
      <c r="AE244" s="1" t="str">
        <f t="shared" si="50"/>
        <v>اختتام</v>
      </c>
      <c r="AF244" s="1" t="str">
        <f>""</f>
        <v/>
      </c>
      <c r="AG244" s="1" t="str">
        <f>""</f>
        <v/>
      </c>
      <c r="AH244" s="1" t="str">
        <f>""</f>
        <v/>
      </c>
      <c r="AI244" s="1" t="str">
        <f>""</f>
        <v/>
      </c>
      <c r="AJ244" s="1" t="str">
        <f>""</f>
        <v/>
      </c>
      <c r="AK244" s="1" t="str">
        <f>""</f>
        <v/>
      </c>
    </row>
    <row r="245" spans="1:37" x14ac:dyDescent="0.2">
      <c r="A245" s="1">
        <v>101000</v>
      </c>
      <c r="B245" s="1">
        <v>952000277</v>
      </c>
      <c r="C245" s="1" t="str">
        <f>"تخليه اصفهان داران كارخانه آسفالت مشترك شهرداريهاي داران چادگان وبوئين ومياندشت"</f>
        <v>تخليه اصفهان داران كارخانه آسفالت مشترك شهرداريهاي داران چادگان وبوئين ومياندشت</v>
      </c>
      <c r="D245" s="1">
        <v>7026</v>
      </c>
      <c r="E245" s="1">
        <v>100420</v>
      </c>
      <c r="F245" s="1">
        <v>95</v>
      </c>
      <c r="G245" s="1">
        <v>580</v>
      </c>
      <c r="H245" s="1" t="str">
        <f>"95/09/09"</f>
        <v>95/09/09</v>
      </c>
      <c r="I245" s="1" t="str">
        <f t="shared" si="40"/>
        <v>كيلوگرم</v>
      </c>
      <c r="J245" s="1" t="str">
        <f t="shared" si="52"/>
        <v>0000000076</v>
      </c>
      <c r="K245" s="1" t="str">
        <f t="shared" si="53"/>
        <v>قير 60/70 - فله</v>
      </c>
      <c r="L245" s="1">
        <v>100</v>
      </c>
      <c r="M245" s="1" t="str">
        <f t="shared" si="41"/>
        <v>مخازن قير اصفهان</v>
      </c>
      <c r="N245" s="1">
        <v>10664</v>
      </c>
      <c r="O245" s="1">
        <v>50032752</v>
      </c>
      <c r="P245" s="1" t="str">
        <f>"  شهرداري چادگان"</f>
        <v xml:space="preserve">  شهرداري چادگان</v>
      </c>
      <c r="Q245" s="1">
        <v>20</v>
      </c>
      <c r="R245" s="1" t="str">
        <f>"فروش داخلي - سازمان شهرداري ها و دهياري هاي كشور"</f>
        <v>فروش داخلي - سازمان شهرداري ها و دهياري هاي كشور</v>
      </c>
      <c r="S245" s="1" t="str">
        <f t="shared" si="42"/>
        <v>قرارداد فروش</v>
      </c>
      <c r="T245" s="1" t="str">
        <f t="shared" si="43"/>
        <v>ندارد</v>
      </c>
      <c r="U245" s="1" t="str">
        <f>"سيفي پور گودرز(1019ج89)"</f>
        <v>سيفي پور گودرز(1019ج89)</v>
      </c>
      <c r="V245" s="1">
        <v>952000277</v>
      </c>
      <c r="W245" s="1">
        <v>952000277</v>
      </c>
      <c r="X245" s="1" t="str">
        <f>"1395447768"</f>
        <v>1395447768</v>
      </c>
      <c r="Y245" s="1" t="str">
        <f>"95/09/09"</f>
        <v>95/09/09</v>
      </c>
      <c r="Z245" s="1" t="str">
        <f>"43230"</f>
        <v>43230</v>
      </c>
      <c r="AA245" s="1" t="str">
        <f>"شهرداريها"</f>
        <v>شهرداريها</v>
      </c>
      <c r="AB245" s="1" t="str">
        <f>"95/09/01"</f>
        <v>95/09/01</v>
      </c>
      <c r="AC245" s="1" t="str">
        <f t="shared" si="51"/>
        <v>استان اصفهان</v>
      </c>
      <c r="AD245" s="1" t="str">
        <f>"95/09/07"</f>
        <v>95/09/07</v>
      </c>
      <c r="AE245" s="1" t="str">
        <f t="shared" si="50"/>
        <v>اختتام</v>
      </c>
      <c r="AF245" s="1" t="str">
        <f>""</f>
        <v/>
      </c>
      <c r="AG245" s="1" t="str">
        <f>""</f>
        <v/>
      </c>
      <c r="AH245" s="1" t="str">
        <f>""</f>
        <v/>
      </c>
      <c r="AI245" s="1" t="str">
        <f>""</f>
        <v/>
      </c>
      <c r="AJ245" s="1" t="str">
        <f>""</f>
        <v/>
      </c>
      <c r="AK245" s="1" t="str">
        <f>""</f>
        <v/>
      </c>
    </row>
    <row r="246" spans="1:37" x14ac:dyDescent="0.2">
      <c r="A246" s="1">
        <v>133000</v>
      </c>
      <c r="B246" s="1">
        <v>952000045</v>
      </c>
      <c r="C246" s="1" t="str">
        <f>"تخليه اصفهان جاده نجف آبادبه فولادشهربالاترازمسكن مهرفولادشهركارخانه آسفالت نمابتن مهاب"</f>
        <v>تخليه اصفهان جاده نجف آبادبه فولادشهربالاترازمسكن مهرفولادشهركارخانه آسفالت نمابتن مهاب</v>
      </c>
      <c r="D246" s="1">
        <v>6876</v>
      </c>
      <c r="E246" s="1">
        <v>132920</v>
      </c>
      <c r="F246" s="1">
        <v>95</v>
      </c>
      <c r="G246" s="1">
        <v>80</v>
      </c>
      <c r="H246" s="1" t="str">
        <f>"95/06/07"</f>
        <v>95/06/07</v>
      </c>
      <c r="I246" s="1" t="str">
        <f t="shared" si="40"/>
        <v>كيلوگرم</v>
      </c>
      <c r="J246" s="1" t="str">
        <f t="shared" si="52"/>
        <v>0000000076</v>
      </c>
      <c r="K246" s="1" t="str">
        <f t="shared" si="53"/>
        <v>قير 60/70 - فله</v>
      </c>
      <c r="L246" s="1">
        <v>100</v>
      </c>
      <c r="M246" s="1" t="str">
        <f t="shared" si="41"/>
        <v>مخازن قير اصفهان</v>
      </c>
      <c r="N246" s="1">
        <v>10665</v>
      </c>
      <c r="O246" s="1">
        <v>50031691</v>
      </c>
      <c r="P246" s="1" t="str">
        <f>"  شهرداري خورزوق"</f>
        <v xml:space="preserve">  شهرداري خورزوق</v>
      </c>
      <c r="Q246" s="1">
        <v>20</v>
      </c>
      <c r="R246" s="1" t="str">
        <f>"فروش داخلي - سازمان شهرداري ها و دهياري هاي كشور"</f>
        <v>فروش داخلي - سازمان شهرداري ها و دهياري هاي كشور</v>
      </c>
      <c r="S246" s="1" t="str">
        <f t="shared" si="42"/>
        <v>قرارداد فروش</v>
      </c>
      <c r="T246" s="1" t="str">
        <f t="shared" si="43"/>
        <v>ندارد</v>
      </c>
      <c r="U246" s="1" t="str">
        <f>"معماريان سعيد(1004ج89)"</f>
        <v>معماريان سعيد(1004ج89)</v>
      </c>
      <c r="V246" s="1">
        <v>952000045</v>
      </c>
      <c r="W246" s="1">
        <v>952000045</v>
      </c>
      <c r="X246" s="1" t="str">
        <f>"1395426944"</f>
        <v>1395426944</v>
      </c>
      <c r="Y246" s="1" t="str">
        <f>"95/06/07"</f>
        <v>95/06/07</v>
      </c>
      <c r="Z246" s="1" t="str">
        <f>"24899"</f>
        <v>24899</v>
      </c>
      <c r="AA246" s="1" t="str">
        <f>"شهرداريها"</f>
        <v>شهرداريها</v>
      </c>
      <c r="AB246" s="1" t="str">
        <f>"95/05/31"</f>
        <v>95/05/31</v>
      </c>
      <c r="AC246" s="1" t="str">
        <f t="shared" si="51"/>
        <v>استان اصفهان</v>
      </c>
      <c r="AD246" s="1" t="str">
        <f>"95/06/06"</f>
        <v>95/06/06</v>
      </c>
      <c r="AE246" s="1" t="str">
        <f t="shared" si="50"/>
        <v>اختتام</v>
      </c>
      <c r="AF246" s="1" t="str">
        <f>""</f>
        <v/>
      </c>
      <c r="AG246" s="1" t="str">
        <f>""</f>
        <v/>
      </c>
      <c r="AH246" s="1" t="str">
        <f>""</f>
        <v/>
      </c>
      <c r="AI246" s="1" t="str">
        <f>""</f>
        <v/>
      </c>
      <c r="AJ246" s="1" t="str">
        <f>""</f>
        <v/>
      </c>
      <c r="AK246" s="1" t="str">
        <f>""</f>
        <v/>
      </c>
    </row>
    <row r="247" spans="1:37" x14ac:dyDescent="0.2">
      <c r="A247" s="1">
        <v>118000</v>
      </c>
      <c r="B247" s="1">
        <v>952000235</v>
      </c>
      <c r="C247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247" s="1">
        <v>8023</v>
      </c>
      <c r="E247" s="1">
        <v>117940</v>
      </c>
      <c r="F247" s="1">
        <v>95</v>
      </c>
      <c r="G247" s="1">
        <v>60</v>
      </c>
      <c r="H247" s="1" t="str">
        <f>"95/08/22"</f>
        <v>95/08/22</v>
      </c>
      <c r="I247" s="1" t="str">
        <f t="shared" si="40"/>
        <v>كيلوگرم</v>
      </c>
      <c r="J247" s="1" t="str">
        <f t="shared" si="52"/>
        <v>0000000076</v>
      </c>
      <c r="K247" s="1" t="str">
        <f t="shared" si="53"/>
        <v>قير 60/70 - فله</v>
      </c>
      <c r="L247" s="1">
        <v>100</v>
      </c>
      <c r="M247" s="1" t="str">
        <f t="shared" si="41"/>
        <v>مخازن قير اصفهان</v>
      </c>
      <c r="N247" s="1">
        <v>10655</v>
      </c>
      <c r="O247" s="1">
        <v>50032585</v>
      </c>
      <c r="P247" s="1" t="str">
        <f>"  شهرداري سده لنجان"</f>
        <v xml:space="preserve">  شهرداري سده لنجان</v>
      </c>
      <c r="Q247" s="1">
        <v>20</v>
      </c>
      <c r="R247" s="1" t="str">
        <f>"فروش داخلي - سازمان شهرداري ها و دهياري هاي كشور"</f>
        <v>فروش داخلي - سازمان شهرداري ها و دهياري هاي كشور</v>
      </c>
      <c r="S247" s="1" t="str">
        <f t="shared" si="42"/>
        <v>قرارداد فروش</v>
      </c>
      <c r="T247" s="1" t="str">
        <f t="shared" si="43"/>
        <v>ندارد</v>
      </c>
      <c r="U247" s="1" t="str">
        <f>"سيفي پور عبدالمجيد(1009ج89)"</f>
        <v>سيفي پور عبدالمجيد(1009ج89)</v>
      </c>
      <c r="V247" s="1">
        <v>952000235</v>
      </c>
      <c r="W247" s="1">
        <v>952000235</v>
      </c>
      <c r="X247" s="1" t="str">
        <f>"1395444761"</f>
        <v>1395444761</v>
      </c>
      <c r="Y247" s="1" t="str">
        <f>"95/08/22"</f>
        <v>95/08/22</v>
      </c>
      <c r="Z247" s="1" t="str">
        <f>"41184"</f>
        <v>41184</v>
      </c>
      <c r="AA247" s="1" t="str">
        <f>"شهرداريها"</f>
        <v>شهرداريها</v>
      </c>
      <c r="AB247" s="1" t="str">
        <f>"95/08/19"</f>
        <v>95/08/19</v>
      </c>
      <c r="AC247" s="1" t="str">
        <f t="shared" si="51"/>
        <v>استان اصفهان</v>
      </c>
      <c r="AD247" s="1" t="str">
        <f>"95/08/22"</f>
        <v>95/08/22</v>
      </c>
      <c r="AE247" s="1" t="str">
        <f t="shared" si="50"/>
        <v>اختتام</v>
      </c>
      <c r="AF247" s="1" t="str">
        <f>""</f>
        <v/>
      </c>
      <c r="AG247" s="1" t="str">
        <f>""</f>
        <v/>
      </c>
      <c r="AH247" s="1" t="str">
        <f>""</f>
        <v/>
      </c>
      <c r="AI247" s="1" t="str">
        <f>""</f>
        <v/>
      </c>
      <c r="AJ247" s="1" t="str">
        <f>""</f>
        <v/>
      </c>
      <c r="AK247" s="1" t="str">
        <f>""</f>
        <v/>
      </c>
    </row>
    <row r="248" spans="1:37" x14ac:dyDescent="0.2">
      <c r="A248" s="1">
        <v>70000</v>
      </c>
      <c r="B248" s="1">
        <v>952000281</v>
      </c>
      <c r="C248" s="1" t="str">
        <f>"تخليه -كاشان كيلومتر17جاده قمصر-شركت بتن آسفالت مهر"</f>
        <v>تخليه -كاشان كيلومتر17جاده قمصر-شركت بتن آسفالت مهر</v>
      </c>
      <c r="D248" s="1">
        <v>7026</v>
      </c>
      <c r="E248" s="1">
        <v>68400</v>
      </c>
      <c r="F248" s="1">
        <v>95</v>
      </c>
      <c r="G248" s="1">
        <v>1600</v>
      </c>
      <c r="H248" s="1" t="str">
        <f>"95/09/09"</f>
        <v>95/09/09</v>
      </c>
      <c r="I248" s="1" t="str">
        <f t="shared" si="40"/>
        <v>كيلوگرم</v>
      </c>
      <c r="J248" s="1" t="str">
        <f t="shared" si="52"/>
        <v>0000000076</v>
      </c>
      <c r="K248" s="1" t="str">
        <f t="shared" si="53"/>
        <v>قير 60/70 - فله</v>
      </c>
      <c r="L248" s="1">
        <v>100</v>
      </c>
      <c r="M248" s="1" t="str">
        <f t="shared" si="41"/>
        <v>مخازن قير اصفهان</v>
      </c>
      <c r="N248" s="1">
        <v>10656</v>
      </c>
      <c r="O248" s="1">
        <v>50032761</v>
      </c>
      <c r="P248" s="1" t="str">
        <f>"  شهرداري برزك"</f>
        <v xml:space="preserve">  شهرداري برزك</v>
      </c>
      <c r="Q248" s="1">
        <v>20</v>
      </c>
      <c r="R248" s="1" t="str">
        <f>"فروش داخلي - سازمان شهرداري ها و دهياري هاي كشور"</f>
        <v>فروش داخلي - سازمان شهرداري ها و دهياري هاي كشور</v>
      </c>
      <c r="S248" s="1" t="str">
        <f t="shared" si="42"/>
        <v>قرارداد فروش</v>
      </c>
      <c r="T248" s="1" t="str">
        <f t="shared" si="43"/>
        <v>ندارد</v>
      </c>
      <c r="U248" s="1" t="str">
        <f>"شهبازي محمدرضا(1029ج89)"</f>
        <v>شهبازي محمدرضا(1029ج89)</v>
      </c>
      <c r="V248" s="1">
        <v>952000281</v>
      </c>
      <c r="W248" s="1">
        <v>952000281</v>
      </c>
      <c r="X248" s="1" t="str">
        <f>"1395447768"</f>
        <v>1395447768</v>
      </c>
      <c r="Y248" s="1" t="str">
        <f>"95/09/09"</f>
        <v>95/09/09</v>
      </c>
      <c r="Z248" s="1" t="str">
        <f>"43234"</f>
        <v>43234</v>
      </c>
      <c r="AA248" s="1" t="str">
        <f>"شهرداريها"</f>
        <v>شهرداريها</v>
      </c>
      <c r="AB248" s="1" t="str">
        <f>"95/09/01"</f>
        <v>95/09/01</v>
      </c>
      <c r="AC248" s="1" t="str">
        <f t="shared" si="51"/>
        <v>استان اصفهان</v>
      </c>
      <c r="AD248" s="1" t="str">
        <f>"95/09/07"</f>
        <v>95/09/07</v>
      </c>
      <c r="AE248" s="1" t="str">
        <f t="shared" si="50"/>
        <v>اختتام</v>
      </c>
      <c r="AF248" s="1" t="str">
        <f>""</f>
        <v/>
      </c>
      <c r="AG248" s="1" t="str">
        <f>""</f>
        <v/>
      </c>
      <c r="AH248" s="1" t="str">
        <f>""</f>
        <v/>
      </c>
      <c r="AI248" s="1" t="str">
        <f>""</f>
        <v/>
      </c>
      <c r="AJ248" s="1" t="str">
        <f>""</f>
        <v/>
      </c>
      <c r="AK248" s="1" t="str">
        <f>""</f>
        <v/>
      </c>
    </row>
    <row r="249" spans="1:37" x14ac:dyDescent="0.2">
      <c r="A249" s="1">
        <v>72000</v>
      </c>
      <c r="B249" s="1">
        <v>952000267</v>
      </c>
      <c r="C249" s="1" t="str">
        <f>"تخليه -  اصفهان--اتوبان پالايشگاه -جنب نيروگاه شهيد منتظري-کارخانه آسفالت مصلحي"</f>
        <v>تخليه -  اصفهان--اتوبان پالايشگاه -جنب نيروگاه شهيد منتظري-کارخانه آسفالت مصلحي</v>
      </c>
      <c r="D249" s="1">
        <v>7026</v>
      </c>
      <c r="E249" s="1">
        <v>71920</v>
      </c>
      <c r="F249" s="1">
        <v>95</v>
      </c>
      <c r="G249" s="1">
        <v>80</v>
      </c>
      <c r="H249" s="1" t="str">
        <f>"95/09/09"</f>
        <v>95/09/09</v>
      </c>
      <c r="I249" s="1" t="str">
        <f t="shared" si="40"/>
        <v>كيلوگرم</v>
      </c>
      <c r="J249" s="1" t="str">
        <f t="shared" si="52"/>
        <v>0000000076</v>
      </c>
      <c r="K249" s="1" t="str">
        <f t="shared" si="53"/>
        <v>قير 60/70 - فله</v>
      </c>
      <c r="L249" s="1">
        <v>100</v>
      </c>
      <c r="M249" s="1" t="str">
        <f t="shared" si="41"/>
        <v>مخازن قير اصفهان</v>
      </c>
      <c r="N249" s="1">
        <v>10660</v>
      </c>
      <c r="O249" s="1">
        <v>50032740</v>
      </c>
      <c r="P249" s="1" t="str">
        <f>"  شهرداري سين"</f>
        <v xml:space="preserve">  شهرداري سين</v>
      </c>
      <c r="Q249" s="1">
        <v>20</v>
      </c>
      <c r="R249" s="1" t="str">
        <f>"فروش داخلي - سازمان شهرداري ها و دهياري هاي كشور"</f>
        <v>فروش داخلي - سازمان شهرداري ها و دهياري هاي كشور</v>
      </c>
      <c r="S249" s="1" t="str">
        <f t="shared" si="42"/>
        <v>قرارداد فروش</v>
      </c>
      <c r="T249" s="1" t="str">
        <f t="shared" si="43"/>
        <v>ندارد</v>
      </c>
      <c r="U249" s="1" t="str">
        <f>"تاج سعيد هوشنگ (1031ج 89)"</f>
        <v>تاج سعيد هوشنگ (1031ج 89)</v>
      </c>
      <c r="V249" s="1">
        <v>952000267</v>
      </c>
      <c r="W249" s="1">
        <v>952000267</v>
      </c>
      <c r="X249" s="1" t="str">
        <f>"1395447768"</f>
        <v>1395447768</v>
      </c>
      <c r="Y249" s="1" t="str">
        <f>"95/09/09"</f>
        <v>95/09/09</v>
      </c>
      <c r="Z249" s="1" t="str">
        <f>"43214"</f>
        <v>43214</v>
      </c>
      <c r="AA249" s="1" t="str">
        <f>"شهرداريها"</f>
        <v>شهرداريها</v>
      </c>
      <c r="AB249" s="1" t="str">
        <f>"95/09/01"</f>
        <v>95/09/01</v>
      </c>
      <c r="AC249" s="1" t="str">
        <f t="shared" si="51"/>
        <v>استان اصفهان</v>
      </c>
      <c r="AD249" s="1" t="str">
        <f>"95/09/07"</f>
        <v>95/09/07</v>
      </c>
      <c r="AE249" s="1" t="str">
        <f t="shared" si="50"/>
        <v>اختتام</v>
      </c>
      <c r="AF249" s="1" t="str">
        <f>""</f>
        <v/>
      </c>
      <c r="AG249" s="1" t="str">
        <f>""</f>
        <v/>
      </c>
      <c r="AH249" s="1" t="str">
        <f>""</f>
        <v/>
      </c>
      <c r="AI249" s="1" t="str">
        <f>""</f>
        <v/>
      </c>
      <c r="AJ249" s="1" t="str">
        <f>""</f>
        <v/>
      </c>
      <c r="AK249" s="1" t="str">
        <f>""</f>
        <v/>
      </c>
    </row>
    <row r="250" spans="1:37" x14ac:dyDescent="0.2">
      <c r="A250" s="1">
        <v>68000</v>
      </c>
      <c r="B250" s="1">
        <v>956200195</v>
      </c>
      <c r="C250" s="1" t="str">
        <f>"تخليه - کرمانشاه - اسلام آباد غرب - نرسيده به پل سيمره -شهرک توحيد-کارخانه آسفالت آج راه غرب"</f>
        <v>تخليه - کرمانشاه - اسلام آباد غرب - نرسيده به پل سيمره -شهرک توحيد-کارخانه آسفالت آج راه غرب</v>
      </c>
      <c r="D250" s="1">
        <v>9361</v>
      </c>
      <c r="E250" s="1">
        <v>67960</v>
      </c>
      <c r="F250" s="1">
        <v>95</v>
      </c>
      <c r="G250" s="1">
        <v>40</v>
      </c>
      <c r="H250" s="1" t="str">
        <f>"95/11/19"</f>
        <v>95/11/19</v>
      </c>
      <c r="I250" s="1" t="str">
        <f t="shared" si="40"/>
        <v>كيلوگرم</v>
      </c>
      <c r="J250" s="1" t="str">
        <f t="shared" si="52"/>
        <v>0000000076</v>
      </c>
      <c r="K250" s="1" t="str">
        <f t="shared" si="53"/>
        <v>قير 60/70 - فله</v>
      </c>
      <c r="L250" s="1">
        <v>100</v>
      </c>
      <c r="M250" s="1" t="str">
        <f t="shared" si="41"/>
        <v>مخازن قير اصفهان</v>
      </c>
      <c r="N250" s="1">
        <v>10609</v>
      </c>
      <c r="O250" s="1">
        <v>50033628</v>
      </c>
      <c r="P250" s="1" t="str">
        <f>"  آرادسوله اهواز"</f>
        <v xml:space="preserve">  آرادسوله اهواز</v>
      </c>
      <c r="Q250" s="1">
        <v>62</v>
      </c>
      <c r="R250" s="1" t="str">
        <f>"فروش داخلي - سازمان بنيادمسكن انقلاب اسلامي"</f>
        <v>فروش داخلي - سازمان بنيادمسكن انقلاب اسلامي</v>
      </c>
      <c r="S250" s="1" t="str">
        <f t="shared" si="42"/>
        <v>قرارداد فروش</v>
      </c>
      <c r="T250" s="1" t="str">
        <f t="shared" si="43"/>
        <v>ندارد</v>
      </c>
      <c r="U250" s="1" t="str">
        <f>"عظيمي محمد(2842015)"</f>
        <v>عظيمي محمد(2842015)</v>
      </c>
      <c r="V250" s="1">
        <v>956200195</v>
      </c>
      <c r="W250" s="1">
        <v>956200195</v>
      </c>
      <c r="X250" s="1" t="str">
        <f>"1395463365"</f>
        <v>1395463365</v>
      </c>
      <c r="Y250" s="1" t="str">
        <f>"95/11/19"</f>
        <v>95/11/19</v>
      </c>
      <c r="Z250" s="1" t="str">
        <f>"49880/د"</f>
        <v>49880/د</v>
      </c>
      <c r="AA250" s="1" t="str">
        <f>"بنيادمسكن انقلاب اسلامي"</f>
        <v>بنيادمسكن انقلاب اسلامي</v>
      </c>
      <c r="AB250" s="1" t="str">
        <f>"95/11/18"</f>
        <v>95/11/18</v>
      </c>
      <c r="AC250" s="1" t="str">
        <f>"استان كرمانشاه"</f>
        <v>استان كرمانشاه</v>
      </c>
      <c r="AD250" s="1" t="str">
        <f>"95/11/19"</f>
        <v>95/11/19</v>
      </c>
      <c r="AE250" s="1" t="str">
        <f t="shared" si="50"/>
        <v>اختتام</v>
      </c>
      <c r="AF250" s="1" t="str">
        <f>""</f>
        <v/>
      </c>
      <c r="AG250" s="1" t="str">
        <f>""</f>
        <v/>
      </c>
      <c r="AH250" s="1" t="str">
        <f>""</f>
        <v/>
      </c>
      <c r="AI250" s="1" t="str">
        <f>""</f>
        <v/>
      </c>
      <c r="AJ250" s="1" t="str">
        <f>""</f>
        <v/>
      </c>
      <c r="AK250" s="1" t="str">
        <f>""</f>
        <v/>
      </c>
    </row>
    <row r="251" spans="1:37" x14ac:dyDescent="0.2">
      <c r="A251" s="1">
        <v>78000</v>
      </c>
      <c r="B251" s="1">
        <v>952000171</v>
      </c>
      <c r="C251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251" s="1">
        <v>8023</v>
      </c>
      <c r="E251" s="1">
        <v>76620</v>
      </c>
      <c r="F251" s="1">
        <v>95</v>
      </c>
      <c r="G251" s="1">
        <v>1380</v>
      </c>
      <c r="H251" s="1" t="str">
        <f>"95/08/10"</f>
        <v>95/08/10</v>
      </c>
      <c r="I251" s="1" t="str">
        <f t="shared" si="40"/>
        <v>كيلوگرم</v>
      </c>
      <c r="J251" s="1" t="str">
        <f t="shared" si="52"/>
        <v>0000000076</v>
      </c>
      <c r="K251" s="1" t="str">
        <f t="shared" si="53"/>
        <v>قير 60/70 - فله</v>
      </c>
      <c r="L251" s="1">
        <v>100</v>
      </c>
      <c r="M251" s="1" t="str">
        <f t="shared" si="41"/>
        <v>مخازن قير اصفهان</v>
      </c>
      <c r="N251" s="1">
        <v>10653</v>
      </c>
      <c r="O251" s="1">
        <v>50032438</v>
      </c>
      <c r="P251" s="1" t="str">
        <f>"  شهرداري زاينده رود"</f>
        <v xml:space="preserve">  شهرداري زاينده رود</v>
      </c>
      <c r="Q251" s="1">
        <v>20</v>
      </c>
      <c r="R251" s="1" t="str">
        <f>"فروش داخلي - سازمان شهرداري ها و دهياري هاي كشور"</f>
        <v>فروش داخلي - سازمان شهرداري ها و دهياري هاي كشور</v>
      </c>
      <c r="S251" s="1" t="str">
        <f t="shared" si="42"/>
        <v>قرارداد فروش</v>
      </c>
      <c r="T251" s="1" t="str">
        <f t="shared" si="43"/>
        <v>ندارد</v>
      </c>
      <c r="U251" s="1" t="str">
        <f>"مرادي نجاتعلي(1020ج89)"</f>
        <v>مرادي نجاتعلي(1020ج89)</v>
      </c>
      <c r="V251" s="1">
        <v>952000171</v>
      </c>
      <c r="W251" s="1">
        <v>952000171</v>
      </c>
      <c r="X251" s="1" t="str">
        <f>"1395441430"</f>
        <v>1395441430</v>
      </c>
      <c r="Y251" s="1" t="str">
        <f>"95/08/10"</f>
        <v>95/08/10</v>
      </c>
      <c r="Z251" s="1" t="str">
        <f>"27809"</f>
        <v>27809</v>
      </c>
      <c r="AA251" s="1" t="str">
        <f>"شهرداريها"</f>
        <v>شهرداريها</v>
      </c>
      <c r="AB251" s="1" t="str">
        <f>"95/06/10"</f>
        <v>95/06/10</v>
      </c>
      <c r="AC251" s="1" t="str">
        <f>"استان اصفهان"</f>
        <v>استان اصفهان</v>
      </c>
      <c r="AD251" s="1" t="str">
        <f>"95/08/09"</f>
        <v>95/08/09</v>
      </c>
      <c r="AE251" s="1" t="str">
        <f t="shared" si="50"/>
        <v>اختتام</v>
      </c>
      <c r="AF251" s="1" t="str">
        <f>""</f>
        <v/>
      </c>
      <c r="AG251" s="1" t="str">
        <f>""</f>
        <v/>
      </c>
      <c r="AH251" s="1" t="str">
        <f>""</f>
        <v/>
      </c>
      <c r="AI251" s="1" t="str">
        <f>""</f>
        <v/>
      </c>
      <c r="AJ251" s="1" t="str">
        <f>""</f>
        <v/>
      </c>
      <c r="AK251" s="1" t="str">
        <f>""</f>
        <v/>
      </c>
    </row>
    <row r="252" spans="1:37" x14ac:dyDescent="0.2">
      <c r="A252" s="1">
        <v>78000</v>
      </c>
      <c r="B252" s="1">
        <v>952000269</v>
      </c>
      <c r="C252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252" s="1">
        <v>7026</v>
      </c>
      <c r="E252" s="1">
        <v>76880</v>
      </c>
      <c r="F252" s="1">
        <v>95</v>
      </c>
      <c r="G252" s="1">
        <v>1120</v>
      </c>
      <c r="H252" s="1" t="str">
        <f>"95/09/09"</f>
        <v>95/09/09</v>
      </c>
      <c r="I252" s="1" t="str">
        <f t="shared" si="40"/>
        <v>كيلوگرم</v>
      </c>
      <c r="J252" s="1" t="str">
        <f t="shared" si="52"/>
        <v>0000000076</v>
      </c>
      <c r="K252" s="1" t="str">
        <f t="shared" si="53"/>
        <v>قير 60/70 - فله</v>
      </c>
      <c r="L252" s="1">
        <v>100</v>
      </c>
      <c r="M252" s="1" t="str">
        <f t="shared" si="41"/>
        <v>مخازن قير اصفهان</v>
      </c>
      <c r="N252" s="1">
        <v>10653</v>
      </c>
      <c r="O252" s="1">
        <v>50032743</v>
      </c>
      <c r="P252" s="1" t="str">
        <f>"  شهرداري زاينده رود"</f>
        <v xml:space="preserve">  شهرداري زاينده رود</v>
      </c>
      <c r="Q252" s="1">
        <v>20</v>
      </c>
      <c r="R252" s="1" t="str">
        <f>"فروش داخلي - سازمان شهرداري ها و دهياري هاي كشور"</f>
        <v>فروش داخلي - سازمان شهرداري ها و دهياري هاي كشور</v>
      </c>
      <c r="S252" s="1" t="str">
        <f t="shared" si="42"/>
        <v>قرارداد فروش</v>
      </c>
      <c r="T252" s="1" t="str">
        <f t="shared" si="43"/>
        <v>ندارد</v>
      </c>
      <c r="U252" s="1" t="str">
        <f>"مرادي نجاتعلي(1020ج89)"</f>
        <v>مرادي نجاتعلي(1020ج89)</v>
      </c>
      <c r="V252" s="1">
        <v>952000269</v>
      </c>
      <c r="W252" s="1">
        <v>952000269</v>
      </c>
      <c r="X252" s="1" t="str">
        <f>"1395447768"</f>
        <v>1395447768</v>
      </c>
      <c r="Y252" s="1" t="str">
        <f>"95/09/09"</f>
        <v>95/09/09</v>
      </c>
      <c r="Z252" s="1" t="str">
        <f>"43217"</f>
        <v>43217</v>
      </c>
      <c r="AA252" s="1" t="str">
        <f>"شهرداريها"</f>
        <v>شهرداريها</v>
      </c>
      <c r="AB252" s="1" t="str">
        <f>"95/09/01"</f>
        <v>95/09/01</v>
      </c>
      <c r="AC252" s="1" t="str">
        <f>"استان اصفهان"</f>
        <v>استان اصفهان</v>
      </c>
      <c r="AD252" s="1" t="str">
        <f>"95/09/07"</f>
        <v>95/09/07</v>
      </c>
      <c r="AE252" s="1" t="str">
        <f t="shared" si="50"/>
        <v>اختتام</v>
      </c>
      <c r="AF252" s="1" t="str">
        <f>""</f>
        <v/>
      </c>
      <c r="AG252" s="1" t="str">
        <f>""</f>
        <v/>
      </c>
      <c r="AH252" s="1" t="str">
        <f>""</f>
        <v/>
      </c>
      <c r="AI252" s="1" t="str">
        <f>""</f>
        <v/>
      </c>
      <c r="AJ252" s="1" t="str">
        <f>""</f>
        <v/>
      </c>
      <c r="AK252" s="1" t="str">
        <f>""</f>
        <v/>
      </c>
    </row>
    <row r="253" spans="1:37" x14ac:dyDescent="0.2">
      <c r="A253" s="1">
        <v>70000</v>
      </c>
      <c r="B253" s="1">
        <v>952000055</v>
      </c>
      <c r="C253" s="1" t="str">
        <f>"تخليه -كاشان كيلومتر17جاده قمصر-شركت بتن آسفالت مهر"</f>
        <v>تخليه -كاشان كيلومتر17جاده قمصر-شركت بتن آسفالت مهر</v>
      </c>
      <c r="D253" s="1">
        <v>6876</v>
      </c>
      <c r="E253" s="1">
        <v>69120</v>
      </c>
      <c r="F253" s="1">
        <v>95</v>
      </c>
      <c r="G253" s="1">
        <v>880</v>
      </c>
      <c r="H253" s="1" t="str">
        <f>"95/06/08"</f>
        <v>95/06/08</v>
      </c>
      <c r="I253" s="1" t="str">
        <f t="shared" si="40"/>
        <v>كيلوگرم</v>
      </c>
      <c r="J253" s="1" t="str">
        <f t="shared" si="52"/>
        <v>0000000076</v>
      </c>
      <c r="K253" s="1" t="str">
        <f t="shared" si="53"/>
        <v>قير 60/70 - فله</v>
      </c>
      <c r="L253" s="1">
        <v>100</v>
      </c>
      <c r="M253" s="1" t="str">
        <f t="shared" si="41"/>
        <v>مخازن قير اصفهان</v>
      </c>
      <c r="N253" s="1">
        <v>10656</v>
      </c>
      <c r="O253" s="1">
        <v>50031710</v>
      </c>
      <c r="P253" s="1" t="str">
        <f>"  شهرداري برزك"</f>
        <v xml:space="preserve">  شهرداري برزك</v>
      </c>
      <c r="Q253" s="1">
        <v>20</v>
      </c>
      <c r="R253" s="1" t="str">
        <f>"فروش داخلي - سازمان شهرداري ها و دهياري هاي كشور"</f>
        <v>فروش داخلي - سازمان شهرداري ها و دهياري هاي كشور</v>
      </c>
      <c r="S253" s="1" t="str">
        <f t="shared" si="42"/>
        <v>قرارداد فروش</v>
      </c>
      <c r="T253" s="1" t="str">
        <f t="shared" si="43"/>
        <v>ندارد</v>
      </c>
      <c r="U253" s="1" t="str">
        <f>"شهبازي محمدرضا(1029ج89)"</f>
        <v>شهبازي محمدرضا(1029ج89)</v>
      </c>
      <c r="V253" s="1">
        <v>952000055</v>
      </c>
      <c r="W253" s="1">
        <v>952000055</v>
      </c>
      <c r="X253" s="1" t="str">
        <f>"1395427143"</f>
        <v>1395427143</v>
      </c>
      <c r="Y253" s="1" t="str">
        <f>"95/06/08"</f>
        <v>95/06/08</v>
      </c>
      <c r="Z253" s="1" t="str">
        <f>"26002"</f>
        <v>26002</v>
      </c>
      <c r="AA253" s="1" t="str">
        <f>"شهرداريها"</f>
        <v>شهرداريها</v>
      </c>
      <c r="AB253" s="1" t="str">
        <f>"95/06/03"</f>
        <v>95/06/03</v>
      </c>
      <c r="AC253" s="1" t="str">
        <f>"استان اصفهان"</f>
        <v>استان اصفهان</v>
      </c>
      <c r="AD253" s="1" t="str">
        <f>"95/06/07"</f>
        <v>95/06/07</v>
      </c>
      <c r="AE253" s="1" t="str">
        <f t="shared" si="50"/>
        <v>اختتام</v>
      </c>
      <c r="AF253" s="1" t="str">
        <f>""</f>
        <v/>
      </c>
      <c r="AG253" s="1" t="str">
        <f>""</f>
        <v/>
      </c>
      <c r="AH253" s="1" t="str">
        <f>""</f>
        <v/>
      </c>
      <c r="AI253" s="1" t="str">
        <f>""</f>
        <v/>
      </c>
      <c r="AJ253" s="1" t="str">
        <f>""</f>
        <v/>
      </c>
      <c r="AK253" s="1" t="str">
        <f>""</f>
        <v/>
      </c>
    </row>
    <row r="254" spans="1:37" x14ac:dyDescent="0.2">
      <c r="A254" s="1">
        <v>111000</v>
      </c>
      <c r="B254" s="1">
        <v>952000273</v>
      </c>
      <c r="C254" s="1" t="str">
        <f>"تخليه -اصفهان - جاده سيمان سپاهان -شهرک صنعتي اشترجان-انتهاي خيابان 11 کارخانه راه آژند"</f>
        <v>تخليه -اصفهان - جاده سيمان سپاهان -شهرک صنعتي اشترجان-انتهاي خيابان 11 کارخانه راه آژند</v>
      </c>
      <c r="D254" s="1">
        <v>7026</v>
      </c>
      <c r="E254" s="1">
        <v>109720</v>
      </c>
      <c r="F254" s="1">
        <v>95</v>
      </c>
      <c r="G254" s="1">
        <v>1280</v>
      </c>
      <c r="H254" s="1" t="str">
        <f>"95/09/09"</f>
        <v>95/09/09</v>
      </c>
      <c r="I254" s="1" t="str">
        <f t="shared" si="40"/>
        <v>كيلوگرم</v>
      </c>
      <c r="J254" s="1" t="str">
        <f t="shared" si="52"/>
        <v>0000000076</v>
      </c>
      <c r="K254" s="1" t="str">
        <f t="shared" si="53"/>
        <v>قير 60/70 - فله</v>
      </c>
      <c r="L254" s="1">
        <v>100</v>
      </c>
      <c r="M254" s="1" t="str">
        <f t="shared" si="41"/>
        <v>مخازن قير اصفهان</v>
      </c>
      <c r="N254" s="1">
        <v>10679</v>
      </c>
      <c r="O254" s="1">
        <v>50032748</v>
      </c>
      <c r="P254" s="1" t="str">
        <f>"  شهرداري ديزيچه"</f>
        <v xml:space="preserve">  شهرداري ديزيچه</v>
      </c>
      <c r="Q254" s="1">
        <v>20</v>
      </c>
      <c r="R254" s="1" t="str">
        <f>"فروش داخلي - سازمان شهرداري ها و دهياري هاي كشور"</f>
        <v>فروش داخلي - سازمان شهرداري ها و دهياري هاي كشور</v>
      </c>
      <c r="S254" s="1" t="str">
        <f t="shared" si="42"/>
        <v>قرارداد فروش</v>
      </c>
      <c r="T254" s="1" t="str">
        <f t="shared" si="43"/>
        <v>ندارد</v>
      </c>
      <c r="U254" s="1" t="str">
        <f>"سيفي پور عبدالمجيد(1009ج89)"</f>
        <v>سيفي پور عبدالمجيد(1009ج89)</v>
      </c>
      <c r="V254" s="1">
        <v>952000273</v>
      </c>
      <c r="W254" s="1">
        <v>952000273</v>
      </c>
      <c r="X254" s="1" t="str">
        <f>"1395447768"</f>
        <v>1395447768</v>
      </c>
      <c r="Y254" s="1" t="str">
        <f>"95/09/09"</f>
        <v>95/09/09</v>
      </c>
      <c r="Z254" s="1" t="str">
        <f>"43225"</f>
        <v>43225</v>
      </c>
      <c r="AA254" s="1" t="str">
        <f>"شهرداريها"</f>
        <v>شهرداريها</v>
      </c>
      <c r="AB254" s="1" t="str">
        <f>"95/09/01"</f>
        <v>95/09/01</v>
      </c>
      <c r="AC254" s="1" t="str">
        <f>"استان اصفهان"</f>
        <v>استان اصفهان</v>
      </c>
      <c r="AD254" s="1" t="str">
        <f>"95/09/07"</f>
        <v>95/09/07</v>
      </c>
      <c r="AE254" s="1" t="str">
        <f t="shared" si="50"/>
        <v>اختتام</v>
      </c>
      <c r="AF254" s="1" t="str">
        <f>""</f>
        <v/>
      </c>
      <c r="AG254" s="1" t="str">
        <f>""</f>
        <v/>
      </c>
      <c r="AH254" s="1" t="str">
        <f>""</f>
        <v/>
      </c>
      <c r="AI254" s="1" t="str">
        <f>""</f>
        <v/>
      </c>
      <c r="AJ254" s="1" t="str">
        <f>""</f>
        <v/>
      </c>
      <c r="AK254" s="1" t="str">
        <f>""</f>
        <v/>
      </c>
    </row>
    <row r="255" spans="1:37" x14ac:dyDescent="0.2">
      <c r="A255" s="1">
        <v>50000</v>
      </c>
      <c r="B255" s="1">
        <v>951100150</v>
      </c>
      <c r="C255" s="1" t="str">
        <f>"تخليه-شهرستان آباده-روبروي کارخانه سيمان"</f>
        <v>تخليه-شهرستان آباده-روبروي کارخانه سيمان</v>
      </c>
      <c r="D255" s="1">
        <v>7026</v>
      </c>
      <c r="E255" s="1">
        <v>50000</v>
      </c>
      <c r="F255" s="1">
        <v>95</v>
      </c>
      <c r="G255" s="1">
        <v>0</v>
      </c>
      <c r="H255" s="1" t="str">
        <f>"95/09/15"</f>
        <v>95/09/15</v>
      </c>
      <c r="I255" s="1" t="str">
        <f t="shared" si="40"/>
        <v>كيلوگرم</v>
      </c>
      <c r="J255" s="1" t="str">
        <f t="shared" si="52"/>
        <v>0000000076</v>
      </c>
      <c r="K255" s="1" t="str">
        <f t="shared" si="53"/>
        <v>قير 60/70 - فله</v>
      </c>
      <c r="L255" s="1">
        <v>100</v>
      </c>
      <c r="M255" s="1" t="str">
        <f t="shared" si="41"/>
        <v>مخازن قير اصفهان</v>
      </c>
      <c r="N255" s="1">
        <v>10683</v>
      </c>
      <c r="O255" s="1">
        <v>50032854</v>
      </c>
      <c r="P255" s="1" t="str">
        <f>"  عايق اندود شرق سيصدو دو آسيا"</f>
        <v xml:space="preserve">  عايق اندود شرق سيصدو دو آسيا</v>
      </c>
      <c r="Q255" s="1">
        <v>11</v>
      </c>
      <c r="R255" s="1" t="str">
        <f>"فروش داخلي تهران - بورس"</f>
        <v>فروش داخلي تهران - بورس</v>
      </c>
      <c r="S255" s="1" t="str">
        <f t="shared" si="42"/>
        <v>قرارداد فروش</v>
      </c>
      <c r="T255" s="1" t="str">
        <f t="shared" si="43"/>
        <v>ندارد</v>
      </c>
      <c r="U255" s="1" t="str">
        <f>"تاج سعيد هوشنگ (1031ج 89)"</f>
        <v>تاج سعيد هوشنگ (1031ج 89)</v>
      </c>
      <c r="V255" s="1">
        <v>951100150</v>
      </c>
      <c r="W255" s="1">
        <v>951100150</v>
      </c>
      <c r="X255" s="1" t="str">
        <f>"1395447765"</f>
        <v>1395447765</v>
      </c>
      <c r="Y255" s="1" t="str">
        <f>"95/09/14"</f>
        <v>95/09/14</v>
      </c>
      <c r="Z255" s="1" t="str">
        <f>"95-34870"</f>
        <v>95-34870</v>
      </c>
      <c r="AA255" s="1" t="str">
        <f>"راه سازي"</f>
        <v>راه سازي</v>
      </c>
      <c r="AB255" s="1" t="str">
        <f>"95/09/14"</f>
        <v>95/09/14</v>
      </c>
      <c r="AC255" s="1" t="str">
        <f>"استان فارس"</f>
        <v>استان فارس</v>
      </c>
      <c r="AD255" s="1" t="str">
        <f>"95/09/07"</f>
        <v>95/09/07</v>
      </c>
      <c r="AE255" s="1" t="str">
        <f>"تاييدشده"</f>
        <v>تاييدشده</v>
      </c>
      <c r="AF255" s="1" t="str">
        <f>""</f>
        <v/>
      </c>
      <c r="AG255" s="1" t="str">
        <f>""</f>
        <v/>
      </c>
      <c r="AH255" s="1" t="str">
        <f>""</f>
        <v/>
      </c>
      <c r="AI255" s="1" t="str">
        <f>""</f>
        <v/>
      </c>
      <c r="AJ255" s="1" t="str">
        <f>""</f>
        <v/>
      </c>
      <c r="AK255" s="1" t="str">
        <f>""</f>
        <v/>
      </c>
    </row>
    <row r="256" spans="1:37" x14ac:dyDescent="0.2">
      <c r="A256" s="1">
        <v>96000</v>
      </c>
      <c r="B256" s="1">
        <v>952000328</v>
      </c>
      <c r="C256" s="1" t="str">
        <f>"تخليه اصفهان جاده سيمان سپاهان شهرك صنعتي اشترجان انتهاي خيابان يازدهم شركت راه آژند"</f>
        <v>تخليه اصفهان جاده سيمان سپاهان شهرك صنعتي اشترجان انتهاي خيابان يازدهم شركت راه آژند</v>
      </c>
      <c r="D256" s="1">
        <v>9361</v>
      </c>
      <c r="E256" s="1">
        <v>95840</v>
      </c>
      <c r="F256" s="1">
        <v>95</v>
      </c>
      <c r="G256" s="1">
        <v>160</v>
      </c>
      <c r="H256" s="1" t="str">
        <f>"95/11/23"</f>
        <v>95/11/23</v>
      </c>
      <c r="I256" s="1" t="str">
        <f t="shared" si="40"/>
        <v>كيلوگرم</v>
      </c>
      <c r="J256" s="1" t="str">
        <f t="shared" si="52"/>
        <v>0000000076</v>
      </c>
      <c r="K256" s="1" t="str">
        <f t="shared" si="53"/>
        <v>قير 60/70 - فله</v>
      </c>
      <c r="L256" s="1">
        <v>100</v>
      </c>
      <c r="M256" s="1" t="str">
        <f t="shared" si="41"/>
        <v>مخازن قير اصفهان</v>
      </c>
      <c r="N256" s="1">
        <v>10666</v>
      </c>
      <c r="O256" s="1">
        <v>50033685</v>
      </c>
      <c r="P256" s="1" t="str">
        <f>"  شهرداري کهريز سنگ"</f>
        <v xml:space="preserve">  شهرداري کهريز سنگ</v>
      </c>
      <c r="Q256" s="1">
        <v>20</v>
      </c>
      <c r="R256" s="1" t="str">
        <f>"فروش داخلي - سازمان شهرداري ها و دهياري هاي كشور"</f>
        <v>فروش داخلي - سازمان شهرداري ها و دهياري هاي كشور</v>
      </c>
      <c r="S256" s="1" t="str">
        <f t="shared" si="42"/>
        <v>قرارداد فروش</v>
      </c>
      <c r="T256" s="1" t="str">
        <f t="shared" si="43"/>
        <v>ندارد</v>
      </c>
      <c r="U256" s="1" t="str">
        <f>"سيفي پور عبدالمجيد(1009ج89)"</f>
        <v>سيفي پور عبدالمجيد(1009ج89)</v>
      </c>
      <c r="V256" s="1">
        <v>952000328</v>
      </c>
      <c r="W256" s="1">
        <v>952000328</v>
      </c>
      <c r="X256" s="1" t="str">
        <f>"1395464401"</f>
        <v>1395464401</v>
      </c>
      <c r="Y256" s="1" t="str">
        <f>"95/11/23"</f>
        <v>95/11/23</v>
      </c>
      <c r="Z256" s="1" t="str">
        <f>"43394"</f>
        <v>43394</v>
      </c>
      <c r="AA256" s="1" t="str">
        <f>"شهرداريها"</f>
        <v>شهرداريها</v>
      </c>
      <c r="AB256" s="1" t="str">
        <f>"95/09/02"</f>
        <v>95/09/02</v>
      </c>
      <c r="AC256" s="1" t="str">
        <f>"استان اصفهان"</f>
        <v>استان اصفهان</v>
      </c>
      <c r="AD256" s="1" t="str">
        <f>"95/11/23"</f>
        <v>95/11/23</v>
      </c>
      <c r="AE256" s="1" t="str">
        <f t="shared" ref="AE256:AE269" si="54">"اختتام"</f>
        <v>اختتام</v>
      </c>
      <c r="AF256" s="1" t="str">
        <f>""</f>
        <v/>
      </c>
      <c r="AG256" s="1" t="str">
        <f>""</f>
        <v/>
      </c>
      <c r="AH256" s="1" t="str">
        <f>""</f>
        <v/>
      </c>
      <c r="AI256" s="1" t="str">
        <f>""</f>
        <v/>
      </c>
      <c r="AJ256" s="1" t="str">
        <f>""</f>
        <v/>
      </c>
      <c r="AK256" s="1" t="str">
        <f>""</f>
        <v/>
      </c>
    </row>
    <row r="257" spans="1:37" x14ac:dyDescent="0.2">
      <c r="A257" s="1">
        <v>265000</v>
      </c>
      <c r="B257" s="1">
        <v>956200024</v>
      </c>
      <c r="C257" s="1" t="str">
        <f>"تخليه-کيلومتر 18 جاده يزد-بافق"</f>
        <v>تخليه-کيلومتر 18 جاده يزد-بافق</v>
      </c>
      <c r="D257" s="1">
        <v>5750</v>
      </c>
      <c r="E257" s="1">
        <v>265000</v>
      </c>
      <c r="F257" s="1">
        <v>95</v>
      </c>
      <c r="G257" s="1">
        <v>0</v>
      </c>
      <c r="H257" s="1" t="str">
        <f>"95/03/16"</f>
        <v>95/03/16</v>
      </c>
      <c r="I257" s="1" t="str">
        <f t="shared" si="40"/>
        <v>كيلوگرم</v>
      </c>
      <c r="J257" s="1" t="str">
        <f t="shared" si="52"/>
        <v>0000000076</v>
      </c>
      <c r="K257" s="1" t="str">
        <f t="shared" si="53"/>
        <v>قير 60/70 - فله</v>
      </c>
      <c r="L257" s="1">
        <v>100</v>
      </c>
      <c r="M257" s="1" t="str">
        <f t="shared" si="41"/>
        <v>مخازن قير اصفهان</v>
      </c>
      <c r="N257" s="1">
        <v>10148</v>
      </c>
      <c r="O257" s="1">
        <v>50030963</v>
      </c>
      <c r="P257" s="1" t="str">
        <f>"  مشکين راه يزد"</f>
        <v xml:space="preserve">  مشکين راه يزد</v>
      </c>
      <c r="Q257" s="1">
        <v>62</v>
      </c>
      <c r="R257" s="1" t="str">
        <f>"فروش داخلي - سازمان بنيادمسكن انقلاب اسلامي"</f>
        <v>فروش داخلي - سازمان بنيادمسكن انقلاب اسلامي</v>
      </c>
      <c r="S257" s="1" t="str">
        <f t="shared" si="42"/>
        <v>قرارداد فروش</v>
      </c>
      <c r="T257" s="1" t="str">
        <f t="shared" si="43"/>
        <v>ندارد</v>
      </c>
      <c r="U257" s="1" t="str">
        <f>"عزيزي صفر(1006ج 89)"</f>
        <v>عزيزي صفر(1006ج 89)</v>
      </c>
      <c r="V257" s="1">
        <v>956200024</v>
      </c>
      <c r="W257" s="1">
        <v>956200024</v>
      </c>
      <c r="X257" s="1" t="str">
        <f>"1395407679"</f>
        <v>1395407679</v>
      </c>
      <c r="Y257" s="1" t="str">
        <f>"95/03/16"</f>
        <v>95/03/16</v>
      </c>
      <c r="Z257" s="1" t="str">
        <f>"9910/د"</f>
        <v>9910/د</v>
      </c>
      <c r="AA257" s="1" t="str">
        <f>"بنيادمسكن انقلاب اسلامي"</f>
        <v>بنيادمسكن انقلاب اسلامي</v>
      </c>
      <c r="AB257" s="1" t="str">
        <f>"95/03/12"</f>
        <v>95/03/12</v>
      </c>
      <c r="AC257" s="1" t="str">
        <f>"استان يزد"</f>
        <v>استان يزد</v>
      </c>
      <c r="AD257" s="1" t="str">
        <f>"95/03/16"</f>
        <v>95/03/16</v>
      </c>
      <c r="AE257" s="1" t="str">
        <f t="shared" si="54"/>
        <v>اختتام</v>
      </c>
      <c r="AF257" s="1" t="str">
        <f>""</f>
        <v/>
      </c>
      <c r="AG257" s="1" t="str">
        <f>""</f>
        <v/>
      </c>
      <c r="AH257" s="1" t="str">
        <f>""</f>
        <v/>
      </c>
      <c r="AI257" s="1" t="str">
        <f>""</f>
        <v/>
      </c>
      <c r="AJ257" s="1" t="str">
        <f>""</f>
        <v/>
      </c>
      <c r="AK257" s="1" t="str">
        <f>""</f>
        <v/>
      </c>
    </row>
    <row r="258" spans="1:37" x14ac:dyDescent="0.2">
      <c r="A258" s="1">
        <v>76000</v>
      </c>
      <c r="B258" s="1">
        <v>956200057</v>
      </c>
      <c r="C258" s="1" t="str">
        <f>"تخليه-کيلومتر 18 جاده يزد-بافق"</f>
        <v>تخليه-کيلومتر 18 جاده يزد-بافق</v>
      </c>
      <c r="D258" s="1">
        <v>5950</v>
      </c>
      <c r="E258" s="1">
        <v>73720</v>
      </c>
      <c r="F258" s="1">
        <v>95</v>
      </c>
      <c r="G258" s="1">
        <v>2280</v>
      </c>
      <c r="H258" s="1" t="str">
        <f>"95/04/27"</f>
        <v>95/04/27</v>
      </c>
      <c r="I258" s="1" t="str">
        <f t="shared" ref="I258:I321" si="55">"كيلوگرم"</f>
        <v>كيلوگرم</v>
      </c>
      <c r="J258" s="1" t="str">
        <f t="shared" si="52"/>
        <v>0000000076</v>
      </c>
      <c r="K258" s="1" t="str">
        <f t="shared" si="53"/>
        <v>قير 60/70 - فله</v>
      </c>
      <c r="L258" s="1">
        <v>100</v>
      </c>
      <c r="M258" s="1" t="str">
        <f t="shared" ref="M258:M321" si="56">"مخازن قير اصفهان"</f>
        <v>مخازن قير اصفهان</v>
      </c>
      <c r="N258" s="1">
        <v>10148</v>
      </c>
      <c r="O258" s="1">
        <v>50031291</v>
      </c>
      <c r="P258" s="1" t="str">
        <f>"  مشکين راه يزد"</f>
        <v xml:space="preserve">  مشکين راه يزد</v>
      </c>
      <c r="Q258" s="1">
        <v>62</v>
      </c>
      <c r="R258" s="1" t="str">
        <f>"فروش داخلي - سازمان بنيادمسكن انقلاب اسلامي"</f>
        <v>فروش داخلي - سازمان بنيادمسكن انقلاب اسلامي</v>
      </c>
      <c r="S258" s="1" t="str">
        <f t="shared" ref="S258:S321" si="57">"قرارداد فروش"</f>
        <v>قرارداد فروش</v>
      </c>
      <c r="T258" s="1" t="str">
        <f t="shared" ref="T258:T321" si="58">"ندارد"</f>
        <v>ندارد</v>
      </c>
      <c r="U258" s="1" t="str">
        <f>"عزيزي صفر(1006ج 89)"</f>
        <v>عزيزي صفر(1006ج 89)</v>
      </c>
      <c r="V258" s="1">
        <v>956200057</v>
      </c>
      <c r="W258" s="1">
        <v>956200057</v>
      </c>
      <c r="X258" s="1" t="str">
        <f>"1395415790"</f>
        <v>1395415790</v>
      </c>
      <c r="Y258" s="1" t="str">
        <f>"95/04/27"</f>
        <v>95/04/27</v>
      </c>
      <c r="Z258" s="1" t="str">
        <f>"16460/د"</f>
        <v>16460/د</v>
      </c>
      <c r="AA258" s="1" t="str">
        <f>"بنيادمسكن انقلاب اسلامي"</f>
        <v>بنيادمسكن انقلاب اسلامي</v>
      </c>
      <c r="AB258" s="1" t="str">
        <f>"95/04/26"</f>
        <v>95/04/26</v>
      </c>
      <c r="AC258" s="1" t="str">
        <f>"استان يزد"</f>
        <v>استان يزد</v>
      </c>
      <c r="AD258" s="1" t="str">
        <f>"95/04/26"</f>
        <v>95/04/26</v>
      </c>
      <c r="AE258" s="1" t="str">
        <f t="shared" si="54"/>
        <v>اختتام</v>
      </c>
      <c r="AF258" s="1" t="str">
        <f>""</f>
        <v/>
      </c>
      <c r="AG258" s="1" t="str">
        <f>""</f>
        <v/>
      </c>
      <c r="AH258" s="1" t="str">
        <f>""</f>
        <v/>
      </c>
      <c r="AI258" s="1" t="str">
        <f>""</f>
        <v/>
      </c>
      <c r="AJ258" s="1" t="str">
        <f>""</f>
        <v/>
      </c>
      <c r="AK258" s="1" t="str">
        <f>""</f>
        <v/>
      </c>
    </row>
    <row r="259" spans="1:37" x14ac:dyDescent="0.2">
      <c r="A259" s="1">
        <v>74000</v>
      </c>
      <c r="B259" s="1">
        <v>952000040</v>
      </c>
      <c r="C259" s="1" t="str">
        <f>"تخليه اصفهان مباركه مقابل شهرطالخونچه مجتمع كارگاهي اميركبيرشركت نويدنورسپاهان"</f>
        <v>تخليه اصفهان مباركه مقابل شهرطالخونچه مجتمع كارگاهي اميركبيرشركت نويدنورسپاهان</v>
      </c>
      <c r="D259" s="1">
        <v>6876</v>
      </c>
      <c r="E259" s="1">
        <v>72900</v>
      </c>
      <c r="F259" s="1">
        <v>95</v>
      </c>
      <c r="G259" s="1">
        <v>1100</v>
      </c>
      <c r="H259" s="1" t="str">
        <f>"95/06/07"</f>
        <v>95/06/07</v>
      </c>
      <c r="I259" s="1" t="str">
        <f t="shared" si="55"/>
        <v>كيلوگرم</v>
      </c>
      <c r="J259" s="1" t="str">
        <f t="shared" si="52"/>
        <v>0000000076</v>
      </c>
      <c r="K259" s="1" t="str">
        <f t="shared" si="53"/>
        <v>قير 60/70 - فله</v>
      </c>
      <c r="L259" s="1">
        <v>100</v>
      </c>
      <c r="M259" s="1" t="str">
        <f t="shared" si="56"/>
        <v>مخازن قير اصفهان</v>
      </c>
      <c r="N259" s="1">
        <v>10661</v>
      </c>
      <c r="O259" s="1">
        <v>50031680</v>
      </c>
      <c r="P259" s="1" t="str">
        <f>"  شهرداري طالخونچه"</f>
        <v xml:space="preserve">  شهرداري طالخونچه</v>
      </c>
      <c r="Q259" s="1">
        <v>20</v>
      </c>
      <c r="R259" s="1" t="str">
        <f t="shared" ref="R259:R265" si="59">"فروش داخلي - سازمان شهرداري ها و دهياري هاي كشور"</f>
        <v>فروش داخلي - سازمان شهرداري ها و دهياري هاي كشور</v>
      </c>
      <c r="S259" s="1" t="str">
        <f t="shared" si="57"/>
        <v>قرارداد فروش</v>
      </c>
      <c r="T259" s="1" t="str">
        <f t="shared" si="58"/>
        <v>ندارد</v>
      </c>
      <c r="U259" s="1" t="str">
        <f>"شهبازي محمدرضا(1029ج89)"</f>
        <v>شهبازي محمدرضا(1029ج89)</v>
      </c>
      <c r="V259" s="1">
        <v>952000040</v>
      </c>
      <c r="W259" s="1">
        <v>952000040</v>
      </c>
      <c r="X259" s="1" t="str">
        <f>"1395426944"</f>
        <v>1395426944</v>
      </c>
      <c r="Y259" s="1" t="str">
        <f>"95/06/07"</f>
        <v>95/06/07</v>
      </c>
      <c r="Z259" s="1" t="str">
        <f>"22571"</f>
        <v>22571</v>
      </c>
      <c r="AA259" s="1" t="str">
        <f t="shared" ref="AA259:AA265" si="60">"شهرداريها"</f>
        <v>شهرداريها</v>
      </c>
      <c r="AB259" s="1" t="str">
        <f>"95/05/20"</f>
        <v>95/05/20</v>
      </c>
      <c r="AC259" s="1" t="str">
        <f t="shared" ref="AC259:AC265" si="61">"استان اصفهان"</f>
        <v>استان اصفهان</v>
      </c>
      <c r="AD259" s="1" t="str">
        <f>"95/06/06"</f>
        <v>95/06/06</v>
      </c>
      <c r="AE259" s="1" t="str">
        <f t="shared" si="54"/>
        <v>اختتام</v>
      </c>
      <c r="AF259" s="1" t="str">
        <f>""</f>
        <v/>
      </c>
      <c r="AG259" s="1" t="str">
        <f>""</f>
        <v/>
      </c>
      <c r="AH259" s="1" t="str">
        <f>""</f>
        <v/>
      </c>
      <c r="AI259" s="1" t="str">
        <f>""</f>
        <v/>
      </c>
      <c r="AJ259" s="1" t="str">
        <f>""</f>
        <v/>
      </c>
      <c r="AK259" s="1" t="str">
        <f>""</f>
        <v/>
      </c>
    </row>
    <row r="260" spans="1:37" x14ac:dyDescent="0.2">
      <c r="A260" s="1">
        <v>71000</v>
      </c>
      <c r="B260" s="1">
        <v>952000355</v>
      </c>
      <c r="C260" s="1" t="str">
        <f>"تخليه اصفهان جاده مباركه جاده پلي اكريل خ باباعبدالله شركت اصفهان بتن راه"</f>
        <v>تخليه اصفهان جاده مباركه جاده پلي اكريل خ باباعبدالله شركت اصفهان بتن راه</v>
      </c>
      <c r="D260" s="1">
        <v>8848</v>
      </c>
      <c r="E260" s="1">
        <v>67560</v>
      </c>
      <c r="F260" s="1">
        <v>95</v>
      </c>
      <c r="G260" s="1">
        <v>3440</v>
      </c>
      <c r="H260" s="1" t="str">
        <f>"95/12/22"</f>
        <v>95/12/22</v>
      </c>
      <c r="I260" s="1" t="str">
        <f t="shared" si="55"/>
        <v>كيلوگرم</v>
      </c>
      <c r="J260" s="1" t="str">
        <f t="shared" si="52"/>
        <v>0000000076</v>
      </c>
      <c r="K260" s="1" t="str">
        <f t="shared" si="53"/>
        <v>قير 60/70 - فله</v>
      </c>
      <c r="L260" s="1">
        <v>100</v>
      </c>
      <c r="M260" s="1" t="str">
        <f t="shared" si="56"/>
        <v>مخازن قير اصفهان</v>
      </c>
      <c r="N260" s="1">
        <v>10662</v>
      </c>
      <c r="O260" s="1">
        <v>50034110</v>
      </c>
      <c r="P260" s="1" t="str">
        <f>"  شهرداري كمشچه"</f>
        <v xml:space="preserve">  شهرداري كمشچه</v>
      </c>
      <c r="Q260" s="1">
        <v>20</v>
      </c>
      <c r="R260" s="1" t="str">
        <f t="shared" si="59"/>
        <v>فروش داخلي - سازمان شهرداري ها و دهياري هاي كشور</v>
      </c>
      <c r="S260" s="1" t="str">
        <f t="shared" si="57"/>
        <v>قرارداد فروش</v>
      </c>
      <c r="T260" s="1" t="str">
        <f t="shared" si="58"/>
        <v>ندارد</v>
      </c>
      <c r="U260" s="1" t="str">
        <f>"ريسماني حسن(1007ج89)"</f>
        <v>ريسماني حسن(1007ج89)</v>
      </c>
      <c r="V260" s="1">
        <v>952000355</v>
      </c>
      <c r="W260" s="1">
        <v>952000355</v>
      </c>
      <c r="X260" s="1" t="str">
        <f>"1395470440"</f>
        <v>1395470440</v>
      </c>
      <c r="Y260" s="1" t="str">
        <f>"95/12/22"</f>
        <v>95/12/22</v>
      </c>
      <c r="Z260" s="1" t="str">
        <f>"27731"</f>
        <v>27731</v>
      </c>
      <c r="AA260" s="1" t="str">
        <f t="shared" si="60"/>
        <v>شهرداريها</v>
      </c>
      <c r="AB260" s="1" t="str">
        <f>"95/06/10"</f>
        <v>95/06/10</v>
      </c>
      <c r="AC260" s="1" t="str">
        <f t="shared" si="61"/>
        <v>استان اصفهان</v>
      </c>
      <c r="AD260" s="1" t="str">
        <f>"95/12/22"</f>
        <v>95/12/22</v>
      </c>
      <c r="AE260" s="1" t="str">
        <f t="shared" si="54"/>
        <v>اختتام</v>
      </c>
      <c r="AF260" s="1" t="str">
        <f>""</f>
        <v/>
      </c>
      <c r="AG260" s="1" t="str">
        <f>""</f>
        <v/>
      </c>
      <c r="AH260" s="1" t="str">
        <f>""</f>
        <v/>
      </c>
      <c r="AI260" s="1" t="str">
        <f>""</f>
        <v/>
      </c>
      <c r="AJ260" s="1" t="str">
        <f>""</f>
        <v/>
      </c>
      <c r="AK260" s="1" t="str">
        <f>""</f>
        <v/>
      </c>
    </row>
    <row r="261" spans="1:37" x14ac:dyDescent="0.2">
      <c r="A261" s="1">
        <v>65000</v>
      </c>
      <c r="B261" s="1">
        <v>952000111</v>
      </c>
      <c r="C261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261" s="1">
        <v>6976</v>
      </c>
      <c r="E261" s="1">
        <v>64340</v>
      </c>
      <c r="F261" s="1">
        <v>95</v>
      </c>
      <c r="G261" s="1">
        <v>660</v>
      </c>
      <c r="H261" s="1" t="str">
        <f>"95/07/06"</f>
        <v>95/07/06</v>
      </c>
      <c r="I261" s="1" t="str">
        <f t="shared" si="55"/>
        <v>كيلوگرم</v>
      </c>
      <c r="J261" s="1" t="str">
        <f t="shared" si="52"/>
        <v>0000000076</v>
      </c>
      <c r="K261" s="1" t="str">
        <f t="shared" si="53"/>
        <v>قير 60/70 - فله</v>
      </c>
      <c r="L261" s="1">
        <v>100</v>
      </c>
      <c r="M261" s="1" t="str">
        <f t="shared" si="56"/>
        <v>مخازن قير اصفهان</v>
      </c>
      <c r="N261" s="1">
        <v>10663</v>
      </c>
      <c r="O261" s="1">
        <v>50031977</v>
      </c>
      <c r="P261" s="1" t="str">
        <f>"  شهرداري لايبيد"</f>
        <v xml:space="preserve">  شهرداري لايبيد</v>
      </c>
      <c r="Q261" s="1">
        <v>20</v>
      </c>
      <c r="R261" s="1" t="str">
        <f t="shared" si="59"/>
        <v>فروش داخلي - سازمان شهرداري ها و دهياري هاي كشور</v>
      </c>
      <c r="S261" s="1" t="str">
        <f t="shared" si="57"/>
        <v>قرارداد فروش</v>
      </c>
      <c r="T261" s="1" t="str">
        <f t="shared" si="58"/>
        <v>ندارد</v>
      </c>
      <c r="U261" s="1" t="str">
        <f>"ريسماني حسن(1007ج89)"</f>
        <v>ريسماني حسن(1007ج89)</v>
      </c>
      <c r="V261" s="1">
        <v>952000111</v>
      </c>
      <c r="W261" s="1">
        <v>952000111</v>
      </c>
      <c r="X261" s="1" t="str">
        <f>"1395433645"</f>
        <v>1395433645</v>
      </c>
      <c r="Y261" s="1" t="str">
        <f>"95/07/06"</f>
        <v>95/07/06</v>
      </c>
      <c r="Z261" s="1" t="str">
        <f>"27756"</f>
        <v>27756</v>
      </c>
      <c r="AA261" s="1" t="str">
        <f t="shared" si="60"/>
        <v>شهرداريها</v>
      </c>
      <c r="AB261" s="1" t="str">
        <f>"95/06/10"</f>
        <v>95/06/10</v>
      </c>
      <c r="AC261" s="1" t="str">
        <f t="shared" si="61"/>
        <v>استان اصفهان</v>
      </c>
      <c r="AD261" s="1" t="str">
        <f>"95/07/04"</f>
        <v>95/07/04</v>
      </c>
      <c r="AE261" s="1" t="str">
        <f t="shared" si="54"/>
        <v>اختتام</v>
      </c>
      <c r="AF261" s="1" t="str">
        <f>""</f>
        <v/>
      </c>
      <c r="AG261" s="1" t="str">
        <f>""</f>
        <v/>
      </c>
      <c r="AH261" s="1" t="str">
        <f>""</f>
        <v/>
      </c>
      <c r="AI261" s="1" t="str">
        <f>""</f>
        <v/>
      </c>
      <c r="AJ261" s="1" t="str">
        <f>""</f>
        <v/>
      </c>
      <c r="AK261" s="1" t="str">
        <f>""</f>
        <v/>
      </c>
    </row>
    <row r="262" spans="1:37" x14ac:dyDescent="0.2">
      <c r="A262" s="1">
        <v>132000</v>
      </c>
      <c r="B262" s="1">
        <v>952000244</v>
      </c>
      <c r="C262" s="1" t="str">
        <f>"تخليه اصفهان جاده نجف آبادبه فولادشهربالاترازمسكن مهرفولادشهركارخانه آسفالت نمابتن مهاب"</f>
        <v>تخليه اصفهان جاده نجف آبادبه فولادشهربالاترازمسكن مهرفولادشهركارخانه آسفالت نمابتن مهاب</v>
      </c>
      <c r="D262" s="1">
        <v>7026</v>
      </c>
      <c r="E262" s="1">
        <v>130880</v>
      </c>
      <c r="F262" s="1">
        <v>95</v>
      </c>
      <c r="G262" s="1">
        <v>1120</v>
      </c>
      <c r="H262" s="1" t="str">
        <f>"95/09/07"</f>
        <v>95/09/07</v>
      </c>
      <c r="I262" s="1" t="str">
        <f t="shared" si="55"/>
        <v>كيلوگرم</v>
      </c>
      <c r="J262" s="1" t="str">
        <f t="shared" si="52"/>
        <v>0000000076</v>
      </c>
      <c r="K262" s="1" t="str">
        <f t="shared" si="53"/>
        <v>قير 60/70 - فله</v>
      </c>
      <c r="L262" s="1">
        <v>100</v>
      </c>
      <c r="M262" s="1" t="str">
        <f t="shared" si="56"/>
        <v>مخازن قير اصفهان</v>
      </c>
      <c r="N262" s="1">
        <v>10665</v>
      </c>
      <c r="O262" s="1">
        <v>50032706</v>
      </c>
      <c r="P262" s="1" t="str">
        <f>"  شهرداري خورزوق"</f>
        <v xml:space="preserve">  شهرداري خورزوق</v>
      </c>
      <c r="Q262" s="1">
        <v>20</v>
      </c>
      <c r="R262" s="1" t="str">
        <f t="shared" si="59"/>
        <v>فروش داخلي - سازمان شهرداري ها و دهياري هاي كشور</v>
      </c>
      <c r="S262" s="1" t="str">
        <f t="shared" si="57"/>
        <v>قرارداد فروش</v>
      </c>
      <c r="T262" s="1" t="str">
        <f t="shared" si="58"/>
        <v>ندارد</v>
      </c>
      <c r="U262" s="1" t="str">
        <f>"معماريان سعيد(1004ج89)"</f>
        <v>معماريان سعيد(1004ج89)</v>
      </c>
      <c r="V262" s="1">
        <v>952000244</v>
      </c>
      <c r="W262" s="1">
        <v>952000244</v>
      </c>
      <c r="X262" s="1" t="str">
        <f>"1395447617"</f>
        <v>1395447617</v>
      </c>
      <c r="Y262" s="1" t="str">
        <f>"95/09/07"</f>
        <v>95/09/07</v>
      </c>
      <c r="Z262" s="1" t="str">
        <f>"42133"</f>
        <v>42133</v>
      </c>
      <c r="AA262" s="1" t="str">
        <f t="shared" si="60"/>
        <v>شهرداريها</v>
      </c>
      <c r="AB262" s="1" t="str">
        <f>"95/08/25"</f>
        <v>95/08/25</v>
      </c>
      <c r="AC262" s="1" t="str">
        <f t="shared" si="61"/>
        <v>استان اصفهان</v>
      </c>
      <c r="AD262" s="1" t="str">
        <f>"95/09/06"</f>
        <v>95/09/06</v>
      </c>
      <c r="AE262" s="1" t="str">
        <f t="shared" si="54"/>
        <v>اختتام</v>
      </c>
      <c r="AF262" s="1" t="str">
        <f>""</f>
        <v/>
      </c>
      <c r="AG262" s="1" t="str">
        <f>""</f>
        <v/>
      </c>
      <c r="AH262" s="1" t="str">
        <f>""</f>
        <v/>
      </c>
      <c r="AI262" s="1" t="str">
        <f>""</f>
        <v/>
      </c>
      <c r="AJ262" s="1" t="str">
        <f>""</f>
        <v/>
      </c>
      <c r="AK262" s="1" t="str">
        <f>""</f>
        <v/>
      </c>
    </row>
    <row r="263" spans="1:37" x14ac:dyDescent="0.2">
      <c r="A263" s="1">
        <v>69000</v>
      </c>
      <c r="B263" s="1">
        <v>952000169</v>
      </c>
      <c r="C263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263" s="1">
        <v>8023</v>
      </c>
      <c r="E263" s="1">
        <v>67400</v>
      </c>
      <c r="F263" s="1">
        <v>95</v>
      </c>
      <c r="G263" s="1">
        <v>1600</v>
      </c>
      <c r="H263" s="1" t="str">
        <f>"95/08/10"</f>
        <v>95/08/10</v>
      </c>
      <c r="I263" s="1" t="str">
        <f t="shared" si="55"/>
        <v>كيلوگرم</v>
      </c>
      <c r="J263" s="1" t="str">
        <f t="shared" si="52"/>
        <v>0000000076</v>
      </c>
      <c r="K263" s="1" t="str">
        <f t="shared" si="53"/>
        <v>قير 60/70 - فله</v>
      </c>
      <c r="L263" s="1">
        <v>100</v>
      </c>
      <c r="M263" s="1" t="str">
        <f t="shared" si="56"/>
        <v>مخازن قير اصفهان</v>
      </c>
      <c r="N263" s="1">
        <v>10670</v>
      </c>
      <c r="O263" s="1">
        <v>50032433</v>
      </c>
      <c r="P263" s="1" t="str">
        <f>"  شهرداري بافران"</f>
        <v xml:space="preserve">  شهرداري بافران</v>
      </c>
      <c r="Q263" s="1">
        <v>20</v>
      </c>
      <c r="R263" s="1" t="str">
        <f t="shared" si="59"/>
        <v>فروش داخلي - سازمان شهرداري ها و دهياري هاي كشور</v>
      </c>
      <c r="S263" s="1" t="str">
        <f t="shared" si="57"/>
        <v>قرارداد فروش</v>
      </c>
      <c r="T263" s="1" t="str">
        <f t="shared" si="58"/>
        <v>ندارد</v>
      </c>
      <c r="U263" s="1" t="str">
        <f>"ريسماني حسن(1007ج89)"</f>
        <v>ريسماني حسن(1007ج89)</v>
      </c>
      <c r="V263" s="1">
        <v>952000169</v>
      </c>
      <c r="W263" s="1">
        <v>952000169</v>
      </c>
      <c r="X263" s="1" t="str">
        <f>"1395441430"</f>
        <v>1395441430</v>
      </c>
      <c r="Y263" s="1" t="str">
        <f>"95/08/10"</f>
        <v>95/08/10</v>
      </c>
      <c r="Z263" s="1" t="str">
        <f>"27783"</f>
        <v>27783</v>
      </c>
      <c r="AA263" s="1" t="str">
        <f t="shared" si="60"/>
        <v>شهرداريها</v>
      </c>
      <c r="AB263" s="1" t="str">
        <f>"95/06/10"</f>
        <v>95/06/10</v>
      </c>
      <c r="AC263" s="1" t="str">
        <f t="shared" si="61"/>
        <v>استان اصفهان</v>
      </c>
      <c r="AD263" s="1" t="str">
        <f>"95/08/09"</f>
        <v>95/08/09</v>
      </c>
      <c r="AE263" s="1" t="str">
        <f t="shared" si="54"/>
        <v>اختتام</v>
      </c>
      <c r="AF263" s="1" t="str">
        <f>""</f>
        <v/>
      </c>
      <c r="AG263" s="1" t="str">
        <f>""</f>
        <v/>
      </c>
      <c r="AH263" s="1" t="str">
        <f>""</f>
        <v/>
      </c>
      <c r="AI263" s="1" t="str">
        <f>""</f>
        <v/>
      </c>
      <c r="AJ263" s="1" t="str">
        <f>""</f>
        <v/>
      </c>
      <c r="AK263" s="1" t="str">
        <f>""</f>
        <v/>
      </c>
    </row>
    <row r="264" spans="1:37" x14ac:dyDescent="0.2">
      <c r="A264" s="1">
        <v>73000</v>
      </c>
      <c r="B264" s="1">
        <v>952000326</v>
      </c>
      <c r="C264" s="1" t="str">
        <f>"تخليه اصفهان اردستان كيلومتر7جاده اردستان به اصفهان شركت عمراني بسترسازان كوير"</f>
        <v>تخليه اصفهان اردستان كيلومتر7جاده اردستان به اصفهان شركت عمراني بسترسازان كوير</v>
      </c>
      <c r="D264" s="1">
        <v>9361</v>
      </c>
      <c r="E264" s="1">
        <v>70160</v>
      </c>
      <c r="F264" s="1">
        <v>95</v>
      </c>
      <c r="G264" s="1">
        <v>2840</v>
      </c>
      <c r="H264" s="1" t="str">
        <f>"95/11/23"</f>
        <v>95/11/23</v>
      </c>
      <c r="I264" s="1" t="str">
        <f t="shared" si="55"/>
        <v>كيلوگرم</v>
      </c>
      <c r="J264" s="1" t="str">
        <f t="shared" si="52"/>
        <v>0000000076</v>
      </c>
      <c r="K264" s="1" t="str">
        <f t="shared" si="53"/>
        <v>قير 60/70 - فله</v>
      </c>
      <c r="L264" s="1">
        <v>100</v>
      </c>
      <c r="M264" s="1" t="str">
        <f t="shared" si="56"/>
        <v>مخازن قير اصفهان</v>
      </c>
      <c r="N264" s="1">
        <v>10674</v>
      </c>
      <c r="O264" s="1">
        <v>50033683</v>
      </c>
      <c r="P264" s="1" t="str">
        <f>"  شهرداري مهاباداصفهان"</f>
        <v xml:space="preserve">  شهرداري مهاباداصفهان</v>
      </c>
      <c r="Q264" s="1">
        <v>20</v>
      </c>
      <c r="R264" s="1" t="str">
        <f t="shared" si="59"/>
        <v>فروش داخلي - سازمان شهرداري ها و دهياري هاي كشور</v>
      </c>
      <c r="S264" s="1" t="str">
        <f t="shared" si="57"/>
        <v>قرارداد فروش</v>
      </c>
      <c r="T264" s="1" t="str">
        <f t="shared" si="58"/>
        <v>ندارد</v>
      </c>
      <c r="U264" s="1" t="str">
        <f>"عزيزي صفر(1006ج 89)"</f>
        <v>عزيزي صفر(1006ج 89)</v>
      </c>
      <c r="V264" s="1">
        <v>952000326</v>
      </c>
      <c r="W264" s="1">
        <v>952000326</v>
      </c>
      <c r="X264" s="1" t="str">
        <f>"1395464401"</f>
        <v>1395464401</v>
      </c>
      <c r="Y264" s="1" t="str">
        <f>"95/11/23"</f>
        <v>95/11/23</v>
      </c>
      <c r="Z264" s="1" t="str">
        <f>"43477"</f>
        <v>43477</v>
      </c>
      <c r="AA264" s="1" t="str">
        <f t="shared" si="60"/>
        <v>شهرداريها</v>
      </c>
      <c r="AB264" s="1" t="str">
        <f>"95/09/02"</f>
        <v>95/09/02</v>
      </c>
      <c r="AC264" s="1" t="str">
        <f t="shared" si="61"/>
        <v>استان اصفهان</v>
      </c>
      <c r="AD264" s="1" t="str">
        <f>"95/11/23"</f>
        <v>95/11/23</v>
      </c>
      <c r="AE264" s="1" t="str">
        <f t="shared" si="54"/>
        <v>اختتام</v>
      </c>
      <c r="AF264" s="1" t="str">
        <f>""</f>
        <v/>
      </c>
      <c r="AG264" s="1" t="str">
        <f>""</f>
        <v/>
      </c>
      <c r="AH264" s="1" t="str">
        <f>""</f>
        <v/>
      </c>
      <c r="AI264" s="1" t="str">
        <f>""</f>
        <v/>
      </c>
      <c r="AJ264" s="1" t="str">
        <f>""</f>
        <v/>
      </c>
      <c r="AK264" s="1" t="str">
        <f>""</f>
        <v/>
      </c>
    </row>
    <row r="265" spans="1:37" x14ac:dyDescent="0.2">
      <c r="A265" s="1">
        <v>94000</v>
      </c>
      <c r="B265" s="1">
        <v>952000295</v>
      </c>
      <c r="C265" s="1" t="str">
        <f>"تخليه -اصفهان -كيلومتر20جاده علويجه -شركت اصفهان مترو"</f>
        <v>تخليه -اصفهان -كيلومتر20جاده علويجه -شركت اصفهان مترو</v>
      </c>
      <c r="D265" s="1">
        <v>7026</v>
      </c>
      <c r="E265" s="1">
        <v>92920</v>
      </c>
      <c r="F265" s="1">
        <v>95</v>
      </c>
      <c r="G265" s="1">
        <v>1080</v>
      </c>
      <c r="H265" s="1" t="str">
        <f>"95/09/09"</f>
        <v>95/09/09</v>
      </c>
      <c r="I265" s="1" t="str">
        <f t="shared" si="55"/>
        <v>كيلوگرم</v>
      </c>
      <c r="J265" s="1" t="str">
        <f t="shared" si="52"/>
        <v>0000000076</v>
      </c>
      <c r="K265" s="1" t="str">
        <f t="shared" si="53"/>
        <v>قير 60/70 - فله</v>
      </c>
      <c r="L265" s="1">
        <v>100</v>
      </c>
      <c r="M265" s="1" t="str">
        <f t="shared" si="56"/>
        <v>مخازن قير اصفهان</v>
      </c>
      <c r="N265" s="1">
        <v>10677</v>
      </c>
      <c r="O265" s="1">
        <v>50032776</v>
      </c>
      <c r="P265" s="1" t="str">
        <f>"  شهرداري علويجه"</f>
        <v xml:space="preserve">  شهرداري علويجه</v>
      </c>
      <c r="Q265" s="1">
        <v>20</v>
      </c>
      <c r="R265" s="1" t="str">
        <f t="shared" si="59"/>
        <v>فروش داخلي - سازمان شهرداري ها و دهياري هاي كشور</v>
      </c>
      <c r="S265" s="1" t="str">
        <f t="shared" si="57"/>
        <v>قرارداد فروش</v>
      </c>
      <c r="T265" s="1" t="str">
        <f t="shared" si="58"/>
        <v>ندارد</v>
      </c>
      <c r="U265" s="1" t="str">
        <f>"عزيزي صفر(1006ج 89)"</f>
        <v>عزيزي صفر(1006ج 89)</v>
      </c>
      <c r="V265" s="1">
        <v>952000295</v>
      </c>
      <c r="W265" s="1">
        <v>952000295</v>
      </c>
      <c r="X265" s="1" t="str">
        <f>"1395447798"</f>
        <v>1395447798</v>
      </c>
      <c r="Y265" s="1" t="str">
        <f>"95/09/09"</f>
        <v>95/09/09</v>
      </c>
      <c r="Z265" s="1" t="str">
        <f>"43284"</f>
        <v>43284</v>
      </c>
      <c r="AA265" s="1" t="str">
        <f t="shared" si="60"/>
        <v>شهرداريها</v>
      </c>
      <c r="AB265" s="1" t="str">
        <f>"95/09/02"</f>
        <v>95/09/02</v>
      </c>
      <c r="AC265" s="1" t="str">
        <f t="shared" si="61"/>
        <v>استان اصفهان</v>
      </c>
      <c r="AD265" s="1" t="str">
        <f>"95/09/07"</f>
        <v>95/09/07</v>
      </c>
      <c r="AE265" s="1" t="str">
        <f t="shared" si="54"/>
        <v>اختتام</v>
      </c>
      <c r="AF265" s="1" t="str">
        <f>""</f>
        <v/>
      </c>
      <c r="AG265" s="1" t="str">
        <f>""</f>
        <v/>
      </c>
      <c r="AH265" s="1" t="str">
        <f>""</f>
        <v/>
      </c>
      <c r="AI265" s="1" t="str">
        <f>""</f>
        <v/>
      </c>
      <c r="AJ265" s="1" t="str">
        <f>""</f>
        <v/>
      </c>
      <c r="AK265" s="1" t="str">
        <f>""</f>
        <v/>
      </c>
    </row>
    <row r="266" spans="1:37" x14ac:dyDescent="0.2">
      <c r="A266" s="1">
        <v>75000</v>
      </c>
      <c r="B266" s="1">
        <v>951100020</v>
      </c>
      <c r="C266" s="1" t="str">
        <f>"تخليه- کرمان کيلومتر 22 جاده سيرجان شيراز شرکت محور گستر شرق"</f>
        <v>تخليه- کرمان کيلومتر 22 جاده سيرجان شيراز شرکت محور گستر شرق</v>
      </c>
      <c r="D266" s="1">
        <v>5200</v>
      </c>
      <c r="E266" s="1">
        <v>73700</v>
      </c>
      <c r="F266" s="1">
        <v>95</v>
      </c>
      <c r="G266" s="1">
        <v>1300</v>
      </c>
      <c r="H266" s="1" t="str">
        <f>"95/01/31"</f>
        <v>95/01/31</v>
      </c>
      <c r="I266" s="1" t="str">
        <f t="shared" si="55"/>
        <v>كيلوگرم</v>
      </c>
      <c r="J266" s="1" t="str">
        <f t="shared" si="52"/>
        <v>0000000076</v>
      </c>
      <c r="K266" s="1" t="str">
        <f t="shared" si="53"/>
        <v>قير 60/70 - فله</v>
      </c>
      <c r="L266" s="1">
        <v>100</v>
      </c>
      <c r="M266" s="1" t="str">
        <f t="shared" si="56"/>
        <v>مخازن قير اصفهان</v>
      </c>
      <c r="N266" s="1">
        <v>10161</v>
      </c>
      <c r="O266" s="1">
        <v>50030601</v>
      </c>
      <c r="P266" s="1" t="str">
        <f>"  محورگسترشرق"</f>
        <v xml:space="preserve">  محورگسترشرق</v>
      </c>
      <c r="Q266" s="1">
        <v>11</v>
      </c>
      <c r="R266" s="1" t="str">
        <f>"فروش داخلي تهران - بورس"</f>
        <v>فروش داخلي تهران - بورس</v>
      </c>
      <c r="S266" s="1" t="str">
        <f t="shared" si="57"/>
        <v>قرارداد فروش</v>
      </c>
      <c r="T266" s="1" t="str">
        <f t="shared" si="58"/>
        <v>ندارد</v>
      </c>
      <c r="U266" s="1" t="str">
        <f>"خضرائي فريدون(4844003)"</f>
        <v>خضرائي فريدون(4844003)</v>
      </c>
      <c r="V266" s="1">
        <v>951100020</v>
      </c>
      <c r="W266" s="1">
        <v>951100020</v>
      </c>
      <c r="X266" s="1" t="str">
        <f>"1395400075"</f>
        <v>1395400075</v>
      </c>
      <c r="Y266" s="1" t="str">
        <f>"95/01/31"</f>
        <v>95/01/31</v>
      </c>
      <c r="Z266" s="1" t="str">
        <f>"95-34223"</f>
        <v>95-34223</v>
      </c>
      <c r="AA266" s="1" t="str">
        <f>"وزارت راه و ترابري-استانها"</f>
        <v>وزارت راه و ترابري-استانها</v>
      </c>
      <c r="AB266" s="1" t="str">
        <f>"95/01/30"</f>
        <v>95/01/30</v>
      </c>
      <c r="AC266" s="1" t="str">
        <f>"استان كرمان"</f>
        <v>استان كرمان</v>
      </c>
      <c r="AD266" s="1" t="str">
        <f>"95/01/29"</f>
        <v>95/01/29</v>
      </c>
      <c r="AE266" s="1" t="str">
        <f t="shared" si="54"/>
        <v>اختتام</v>
      </c>
      <c r="AF266" s="1" t="str">
        <f>""</f>
        <v/>
      </c>
      <c r="AG266" s="1" t="str">
        <f>""</f>
        <v/>
      </c>
      <c r="AH266" s="1" t="str">
        <f>""</f>
        <v/>
      </c>
      <c r="AI266" s="1" t="str">
        <f>""</f>
        <v/>
      </c>
      <c r="AJ266" s="1" t="str">
        <f>""</f>
        <v/>
      </c>
      <c r="AK266" s="1" t="str">
        <f>""</f>
        <v/>
      </c>
    </row>
    <row r="267" spans="1:37" x14ac:dyDescent="0.2">
      <c r="A267" s="1">
        <v>63000</v>
      </c>
      <c r="B267" s="1">
        <v>952000112</v>
      </c>
      <c r="C267" s="1" t="str">
        <f>"تخليه -اصفهان -كيلومتر20جاده علويجه -شركت اصفهان مترو"</f>
        <v>تخليه -اصفهان -كيلومتر20جاده علويجه -شركت اصفهان مترو</v>
      </c>
      <c r="D267" s="1">
        <v>6976</v>
      </c>
      <c r="E267" s="1">
        <v>61840</v>
      </c>
      <c r="F267" s="1">
        <v>95</v>
      </c>
      <c r="G267" s="1">
        <v>1160</v>
      </c>
      <c r="H267" s="1" t="str">
        <f>"95/07/06"</f>
        <v>95/07/06</v>
      </c>
      <c r="I267" s="1" t="str">
        <f t="shared" si="55"/>
        <v>كيلوگرم</v>
      </c>
      <c r="J267" s="1" t="str">
        <f t="shared" si="52"/>
        <v>0000000076</v>
      </c>
      <c r="K267" s="1" t="str">
        <f t="shared" si="53"/>
        <v>قير 60/70 - فله</v>
      </c>
      <c r="L267" s="1">
        <v>100</v>
      </c>
      <c r="M267" s="1" t="str">
        <f t="shared" si="56"/>
        <v>مخازن قير اصفهان</v>
      </c>
      <c r="N267" s="1">
        <v>10677</v>
      </c>
      <c r="O267" s="1">
        <v>50031980</v>
      </c>
      <c r="P267" s="1" t="str">
        <f>"  شهرداري علويجه"</f>
        <v xml:space="preserve">  شهرداري علويجه</v>
      </c>
      <c r="Q267" s="1">
        <v>20</v>
      </c>
      <c r="R267" s="1" t="str">
        <f>"فروش داخلي - سازمان شهرداري ها و دهياري هاي كشور"</f>
        <v>فروش داخلي - سازمان شهرداري ها و دهياري هاي كشور</v>
      </c>
      <c r="S267" s="1" t="str">
        <f t="shared" si="57"/>
        <v>قرارداد فروش</v>
      </c>
      <c r="T267" s="1" t="str">
        <f t="shared" si="58"/>
        <v>ندارد</v>
      </c>
      <c r="U267" s="1" t="str">
        <f>"عزيزي صفر(1006ج 89)"</f>
        <v>عزيزي صفر(1006ج 89)</v>
      </c>
      <c r="V267" s="1">
        <v>952000112</v>
      </c>
      <c r="W267" s="1">
        <v>952000112</v>
      </c>
      <c r="X267" s="1" t="str">
        <f>"1395433645"</f>
        <v>1395433645</v>
      </c>
      <c r="Y267" s="1" t="str">
        <f>"95/07/06"</f>
        <v>95/07/06</v>
      </c>
      <c r="Z267" s="1" t="str">
        <f>"27741"</f>
        <v>27741</v>
      </c>
      <c r="AA267" s="1" t="str">
        <f>"شهرداريها"</f>
        <v>شهرداريها</v>
      </c>
      <c r="AB267" s="1" t="str">
        <f>"95/06/10"</f>
        <v>95/06/10</v>
      </c>
      <c r="AC267" s="1" t="str">
        <f>"استان اصفهان"</f>
        <v>استان اصفهان</v>
      </c>
      <c r="AD267" s="1" t="str">
        <f>"95/07/04"</f>
        <v>95/07/04</v>
      </c>
      <c r="AE267" s="1" t="str">
        <f t="shared" si="54"/>
        <v>اختتام</v>
      </c>
      <c r="AF267" s="1" t="str">
        <f>""</f>
        <v/>
      </c>
      <c r="AG267" s="1" t="str">
        <f>""</f>
        <v/>
      </c>
      <c r="AH267" s="1" t="str">
        <f>""</f>
        <v/>
      </c>
      <c r="AI267" s="1" t="str">
        <f>""</f>
        <v/>
      </c>
      <c r="AJ267" s="1" t="str">
        <f>""</f>
        <v/>
      </c>
      <c r="AK267" s="1" t="str">
        <f>""</f>
        <v/>
      </c>
    </row>
    <row r="268" spans="1:37" x14ac:dyDescent="0.2">
      <c r="A268" s="1">
        <v>67000</v>
      </c>
      <c r="B268" s="1">
        <v>952000054</v>
      </c>
      <c r="C268" s="1" t="str">
        <f>"تخليه اصفهان مباركه جاده هفت تيركارخانه آسفالت مباركه"</f>
        <v>تخليه اصفهان مباركه جاده هفت تيركارخانه آسفالت مباركه</v>
      </c>
      <c r="D268" s="1">
        <v>6876</v>
      </c>
      <c r="E268" s="1">
        <v>66820</v>
      </c>
      <c r="F268" s="1">
        <v>95</v>
      </c>
      <c r="G268" s="1">
        <v>180</v>
      </c>
      <c r="H268" s="1" t="str">
        <f>"95/06/08"</f>
        <v>95/06/08</v>
      </c>
      <c r="I268" s="1" t="str">
        <f t="shared" si="55"/>
        <v>كيلوگرم</v>
      </c>
      <c r="J268" s="1" t="str">
        <f t="shared" si="52"/>
        <v>0000000076</v>
      </c>
      <c r="K268" s="1" t="str">
        <f t="shared" si="53"/>
        <v>قير 60/70 - فله</v>
      </c>
      <c r="L268" s="1">
        <v>100</v>
      </c>
      <c r="M268" s="1" t="str">
        <f t="shared" si="56"/>
        <v>مخازن قير اصفهان</v>
      </c>
      <c r="N268" s="1">
        <v>10684</v>
      </c>
      <c r="O268" s="1">
        <v>50031709</v>
      </c>
      <c r="P268" s="1" t="str">
        <f>"  شهرداري زيار"</f>
        <v xml:space="preserve">  شهرداري زيار</v>
      </c>
      <c r="Q268" s="1">
        <v>20</v>
      </c>
      <c r="R268" s="1" t="str">
        <f>"فروش داخلي - سازمان شهرداري ها و دهياري هاي كشور"</f>
        <v>فروش داخلي - سازمان شهرداري ها و دهياري هاي كشور</v>
      </c>
      <c r="S268" s="1" t="str">
        <f t="shared" si="57"/>
        <v>قرارداد فروش</v>
      </c>
      <c r="T268" s="1" t="str">
        <f t="shared" si="58"/>
        <v>ندارد</v>
      </c>
      <c r="U268" s="1" t="str">
        <f>"شهبازي محمدرضا(1029ج89)"</f>
        <v>شهبازي محمدرضا(1029ج89)</v>
      </c>
      <c r="V268" s="1">
        <v>952000054</v>
      </c>
      <c r="W268" s="1">
        <v>952000054</v>
      </c>
      <c r="X268" s="1" t="str">
        <f>"1395427143"</f>
        <v>1395427143</v>
      </c>
      <c r="Y268" s="1" t="str">
        <f>"95/06/08"</f>
        <v>95/06/08</v>
      </c>
      <c r="Z268" s="1" t="str">
        <f>"25951"</f>
        <v>25951</v>
      </c>
      <c r="AA268" s="1" t="str">
        <f>"شهرداريها"</f>
        <v>شهرداريها</v>
      </c>
      <c r="AB268" s="1" t="str">
        <f>"95/06/03"</f>
        <v>95/06/03</v>
      </c>
      <c r="AC268" s="1" t="str">
        <f>"استان اصفهان"</f>
        <v>استان اصفهان</v>
      </c>
      <c r="AD268" s="1" t="str">
        <f>"95/06/07"</f>
        <v>95/06/07</v>
      </c>
      <c r="AE268" s="1" t="str">
        <f t="shared" si="54"/>
        <v>اختتام</v>
      </c>
      <c r="AF268" s="1" t="str">
        <f>""</f>
        <v/>
      </c>
      <c r="AG268" s="1" t="str">
        <f>""</f>
        <v/>
      </c>
      <c r="AH268" s="1" t="str">
        <f>""</f>
        <v/>
      </c>
      <c r="AI268" s="1" t="str">
        <f>""</f>
        <v/>
      </c>
      <c r="AJ268" s="1" t="str">
        <f>""</f>
        <v/>
      </c>
      <c r="AK268" s="1" t="str">
        <f>""</f>
        <v/>
      </c>
    </row>
    <row r="269" spans="1:37" x14ac:dyDescent="0.2">
      <c r="A269" s="1">
        <v>104000</v>
      </c>
      <c r="B269" s="1">
        <v>952000282</v>
      </c>
      <c r="C269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269" s="1">
        <v>7026</v>
      </c>
      <c r="E269" s="1">
        <v>103400</v>
      </c>
      <c r="F269" s="1">
        <v>95</v>
      </c>
      <c r="G269" s="1">
        <v>600</v>
      </c>
      <c r="H269" s="1" t="str">
        <f>"95/09/09"</f>
        <v>95/09/09</v>
      </c>
      <c r="I269" s="1" t="str">
        <f t="shared" si="55"/>
        <v>كيلوگرم</v>
      </c>
      <c r="J269" s="1" t="str">
        <f t="shared" si="52"/>
        <v>0000000076</v>
      </c>
      <c r="K269" s="1" t="str">
        <f t="shared" si="53"/>
        <v>قير 60/70 - فله</v>
      </c>
      <c r="L269" s="1">
        <v>100</v>
      </c>
      <c r="M269" s="1" t="str">
        <f t="shared" si="56"/>
        <v>مخازن قير اصفهان</v>
      </c>
      <c r="N269" s="1">
        <v>10685</v>
      </c>
      <c r="O269" s="1">
        <v>50032762</v>
      </c>
      <c r="P269" s="1" t="str">
        <f>"  شهرداري بادرود"</f>
        <v xml:space="preserve">  شهرداري بادرود</v>
      </c>
      <c r="Q269" s="1">
        <v>20</v>
      </c>
      <c r="R269" s="1" t="str">
        <f>"فروش داخلي - سازمان شهرداري ها و دهياري هاي كشور"</f>
        <v>فروش داخلي - سازمان شهرداري ها و دهياري هاي كشور</v>
      </c>
      <c r="S269" s="1" t="str">
        <f t="shared" si="57"/>
        <v>قرارداد فروش</v>
      </c>
      <c r="T269" s="1" t="str">
        <f t="shared" si="58"/>
        <v>ندارد</v>
      </c>
      <c r="U269" s="1" t="str">
        <f>"معماريان سعيد(1004ج89)"</f>
        <v>معماريان سعيد(1004ج89)</v>
      </c>
      <c r="V269" s="1">
        <v>952000282</v>
      </c>
      <c r="W269" s="1">
        <v>952000282</v>
      </c>
      <c r="X269" s="1" t="str">
        <f>"1395447768"</f>
        <v>1395447768</v>
      </c>
      <c r="Y269" s="1" t="str">
        <f>"95/09/09"</f>
        <v>95/09/09</v>
      </c>
      <c r="Z269" s="1" t="str">
        <f>"43236"</f>
        <v>43236</v>
      </c>
      <c r="AA269" s="1" t="str">
        <f>"شهرداريها"</f>
        <v>شهرداريها</v>
      </c>
      <c r="AB269" s="1" t="str">
        <f>"95/09/01"</f>
        <v>95/09/01</v>
      </c>
      <c r="AC269" s="1" t="str">
        <f>"استان اصفهان"</f>
        <v>استان اصفهان</v>
      </c>
      <c r="AD269" s="1" t="str">
        <f>"95/09/07"</f>
        <v>95/09/07</v>
      </c>
      <c r="AE269" s="1" t="str">
        <f t="shared" si="54"/>
        <v>اختتام</v>
      </c>
      <c r="AF269" s="1" t="str">
        <f>""</f>
        <v/>
      </c>
      <c r="AG269" s="1" t="str">
        <f>""</f>
        <v/>
      </c>
      <c r="AH269" s="1" t="str">
        <f>""</f>
        <v/>
      </c>
      <c r="AI269" s="1" t="str">
        <f>""</f>
        <v/>
      </c>
      <c r="AJ269" s="1" t="str">
        <f>""</f>
        <v/>
      </c>
      <c r="AK269" s="1" t="str">
        <f>""</f>
        <v/>
      </c>
    </row>
    <row r="270" spans="1:37" x14ac:dyDescent="0.2">
      <c r="A270" s="1">
        <v>25000</v>
      </c>
      <c r="B270" s="1">
        <v>951100063</v>
      </c>
      <c r="C270" s="1" t="str">
        <f>"تخليه-شهرستان آباده-روبروي کارخانه سيمان"</f>
        <v>تخليه-شهرستان آباده-روبروي کارخانه سيمان</v>
      </c>
      <c r="D270" s="1">
        <v>5750</v>
      </c>
      <c r="E270" s="1">
        <v>25000</v>
      </c>
      <c r="F270" s="1">
        <v>95</v>
      </c>
      <c r="G270" s="1">
        <v>0</v>
      </c>
      <c r="H270" s="1" t="str">
        <f>"95/03/17"</f>
        <v>95/03/17</v>
      </c>
      <c r="I270" s="1" t="str">
        <f t="shared" si="55"/>
        <v>كيلوگرم</v>
      </c>
      <c r="J270" s="1" t="str">
        <f t="shared" si="52"/>
        <v>0000000076</v>
      </c>
      <c r="K270" s="1" t="str">
        <f t="shared" si="53"/>
        <v>قير 60/70 - فله</v>
      </c>
      <c r="L270" s="1">
        <v>100</v>
      </c>
      <c r="M270" s="1" t="str">
        <f t="shared" si="56"/>
        <v>مخازن قير اصفهان</v>
      </c>
      <c r="N270" s="1">
        <v>10683</v>
      </c>
      <c r="O270" s="1">
        <v>50030974</v>
      </c>
      <c r="P270" s="1" t="str">
        <f>"  عايق اندود شرق سيصدو دو آسيا"</f>
        <v xml:space="preserve">  عايق اندود شرق سيصدو دو آسيا</v>
      </c>
      <c r="Q270" s="1">
        <v>11</v>
      </c>
      <c r="R270" s="1" t="str">
        <f>"فروش داخلي تهران - بورس"</f>
        <v>فروش داخلي تهران - بورس</v>
      </c>
      <c r="S270" s="1" t="str">
        <f t="shared" si="57"/>
        <v>قرارداد فروش</v>
      </c>
      <c r="T270" s="1" t="str">
        <f t="shared" si="58"/>
        <v>ندارد</v>
      </c>
      <c r="U270" s="1" t="str">
        <f>"تاج سعيد هوشنگ (1031ج 89)"</f>
        <v>تاج سعيد هوشنگ (1031ج 89)</v>
      </c>
      <c r="V270" s="1">
        <v>951100063</v>
      </c>
      <c r="W270" s="1">
        <v>951100063</v>
      </c>
      <c r="X270" s="1" t="str">
        <f>"1395406472"</f>
        <v>1395406472</v>
      </c>
      <c r="Y270" s="1" t="str">
        <f>"95/03/16"</f>
        <v>95/03/16</v>
      </c>
      <c r="Z270" s="1" t="str">
        <f>"95-34455"</f>
        <v>95-34455</v>
      </c>
      <c r="AA270" s="1" t="str">
        <f>"راه سازي"</f>
        <v>راه سازي</v>
      </c>
      <c r="AB270" s="1" t="str">
        <f>"95/03/16"</f>
        <v>95/03/16</v>
      </c>
      <c r="AC270" s="1" t="str">
        <f>"استان فارس"</f>
        <v>استان فارس</v>
      </c>
      <c r="AD270" s="1" t="str">
        <f>"95/03/10"</f>
        <v>95/03/10</v>
      </c>
      <c r="AE270" s="1" t="str">
        <f>"تاييدشده"</f>
        <v>تاييدشده</v>
      </c>
      <c r="AF270" s="1" t="str">
        <f>""</f>
        <v/>
      </c>
      <c r="AG270" s="1" t="str">
        <f>""</f>
        <v/>
      </c>
      <c r="AH270" s="1" t="str">
        <f>""</f>
        <v/>
      </c>
      <c r="AI270" s="1" t="str">
        <f>""</f>
        <v/>
      </c>
      <c r="AJ270" s="1" t="str">
        <f>""</f>
        <v/>
      </c>
      <c r="AK270" s="1" t="str">
        <f>""</f>
        <v/>
      </c>
    </row>
    <row r="271" spans="1:37" x14ac:dyDescent="0.2">
      <c r="A271" s="1">
        <v>50000</v>
      </c>
      <c r="B271" s="1">
        <v>951100134</v>
      </c>
      <c r="C271" s="1" t="str">
        <f>"تخليه-شهرستان آباده-روبروي کارخانه سيمان"</f>
        <v>تخليه-شهرستان آباده-روبروي کارخانه سيمان</v>
      </c>
      <c r="D271" s="1">
        <v>8973</v>
      </c>
      <c r="E271" s="1">
        <v>49360</v>
      </c>
      <c r="F271" s="1">
        <v>95</v>
      </c>
      <c r="G271" s="1">
        <v>640</v>
      </c>
      <c r="H271" s="1" t="str">
        <f>"95/08/11"</f>
        <v>95/08/11</v>
      </c>
      <c r="I271" s="1" t="str">
        <f t="shared" si="55"/>
        <v>كيلوگرم</v>
      </c>
      <c r="J271" s="1" t="str">
        <f t="shared" si="52"/>
        <v>0000000076</v>
      </c>
      <c r="K271" s="1" t="str">
        <f t="shared" si="53"/>
        <v>قير 60/70 - فله</v>
      </c>
      <c r="L271" s="1">
        <v>100</v>
      </c>
      <c r="M271" s="1" t="str">
        <f t="shared" si="56"/>
        <v>مخازن قير اصفهان</v>
      </c>
      <c r="N271" s="1">
        <v>10683</v>
      </c>
      <c r="O271" s="1">
        <v>50032465</v>
      </c>
      <c r="P271" s="1" t="str">
        <f>"  عايق اندود شرق سيصدو دو آسيا"</f>
        <v xml:space="preserve">  عايق اندود شرق سيصدو دو آسيا</v>
      </c>
      <c r="Q271" s="1">
        <v>11</v>
      </c>
      <c r="R271" s="1" t="str">
        <f>"فروش داخلي تهران - بورس"</f>
        <v>فروش داخلي تهران - بورس</v>
      </c>
      <c r="S271" s="1" t="str">
        <f t="shared" si="57"/>
        <v>قرارداد فروش</v>
      </c>
      <c r="T271" s="1" t="str">
        <f t="shared" si="58"/>
        <v>ندارد</v>
      </c>
      <c r="U271" s="1" t="str">
        <f>"تاج سعيد هوشنگ (1031ج 89)"</f>
        <v>تاج سعيد هوشنگ (1031ج 89)</v>
      </c>
      <c r="V271" s="1">
        <v>951100134</v>
      </c>
      <c r="W271" s="1">
        <v>951100134</v>
      </c>
      <c r="X271" s="1" t="str">
        <f>"1395441008"</f>
        <v>1395441008</v>
      </c>
      <c r="Y271" s="1" t="str">
        <f>"95/08/10"</f>
        <v>95/08/10</v>
      </c>
      <c r="Z271" s="1" t="str">
        <f>"95-34762"</f>
        <v>95-34762</v>
      </c>
      <c r="AA271" s="1" t="str">
        <f>"راه سازي"</f>
        <v>راه سازي</v>
      </c>
      <c r="AB271" s="1" t="str">
        <f>"95/08/10"</f>
        <v>95/08/10</v>
      </c>
      <c r="AC271" s="1" t="str">
        <f>"استان فارس"</f>
        <v>استان فارس</v>
      </c>
      <c r="AD271" s="1" t="str">
        <f>"95/08/05"</f>
        <v>95/08/05</v>
      </c>
      <c r="AE271" s="1" t="str">
        <f>"اختتام"</f>
        <v>اختتام</v>
      </c>
      <c r="AF271" s="1" t="str">
        <f>""</f>
        <v/>
      </c>
      <c r="AG271" s="1" t="str">
        <f>""</f>
        <v/>
      </c>
      <c r="AH271" s="1" t="str">
        <f>""</f>
        <v/>
      </c>
      <c r="AI271" s="1" t="str">
        <f>""</f>
        <v/>
      </c>
      <c r="AJ271" s="1" t="str">
        <f>""</f>
        <v/>
      </c>
      <c r="AK271" s="1" t="str">
        <f>""</f>
        <v/>
      </c>
    </row>
    <row r="272" spans="1:37" x14ac:dyDescent="0.2">
      <c r="A272" s="1">
        <v>67000</v>
      </c>
      <c r="B272" s="1">
        <v>952000242</v>
      </c>
      <c r="C272" s="1" t="str">
        <f>"تخليه - اصفهان-جاده نائين-ابتداي صفاران-جنب پمپ بنزين آزادي-آسفالت زنده رود"</f>
        <v>تخليه - اصفهان-جاده نائين-ابتداي صفاران-جنب پمپ بنزين آزادي-آسفالت زنده رود</v>
      </c>
      <c r="D272" s="1">
        <v>7026</v>
      </c>
      <c r="E272" s="1">
        <v>66340</v>
      </c>
      <c r="F272" s="1">
        <v>95</v>
      </c>
      <c r="G272" s="1">
        <v>660</v>
      </c>
      <c r="H272" s="1" t="str">
        <f>"95/09/07"</f>
        <v>95/09/07</v>
      </c>
      <c r="I272" s="1" t="str">
        <f t="shared" si="55"/>
        <v>كيلوگرم</v>
      </c>
      <c r="J272" s="1" t="str">
        <f t="shared" si="52"/>
        <v>0000000076</v>
      </c>
      <c r="K272" s="1" t="str">
        <f t="shared" si="53"/>
        <v>قير 60/70 - فله</v>
      </c>
      <c r="L272" s="1">
        <v>100</v>
      </c>
      <c r="M272" s="1" t="str">
        <f t="shared" si="56"/>
        <v>مخازن قير اصفهان</v>
      </c>
      <c r="N272" s="1">
        <v>10684</v>
      </c>
      <c r="O272" s="1">
        <v>50032704</v>
      </c>
      <c r="P272" s="1" t="str">
        <f>"  شهرداري زيار"</f>
        <v xml:space="preserve">  شهرداري زيار</v>
      </c>
      <c r="Q272" s="1">
        <v>20</v>
      </c>
      <c r="R272" s="1" t="str">
        <f>"فروش داخلي - سازمان شهرداري ها و دهياري هاي كشور"</f>
        <v>فروش داخلي - سازمان شهرداري ها و دهياري هاي كشور</v>
      </c>
      <c r="S272" s="1" t="str">
        <f t="shared" si="57"/>
        <v>قرارداد فروش</v>
      </c>
      <c r="T272" s="1" t="str">
        <f t="shared" si="58"/>
        <v>ندارد</v>
      </c>
      <c r="U272" s="1" t="str">
        <f>"قره باغي مجيد(1871065)"</f>
        <v>قره باغي مجيد(1871065)</v>
      </c>
      <c r="V272" s="1">
        <v>952000242</v>
      </c>
      <c r="W272" s="1">
        <v>952000242</v>
      </c>
      <c r="X272" s="1" t="str">
        <f>"1395447617"</f>
        <v>1395447617</v>
      </c>
      <c r="Y272" s="1" t="str">
        <f>"95/09/07"</f>
        <v>95/09/07</v>
      </c>
      <c r="Z272" s="1" t="str">
        <f>"41784"</f>
        <v>41784</v>
      </c>
      <c r="AA272" s="1" t="str">
        <f>"شهرداريها"</f>
        <v>شهرداريها</v>
      </c>
      <c r="AB272" s="1" t="str">
        <f>"95/08/23"</f>
        <v>95/08/23</v>
      </c>
      <c r="AC272" s="1" t="str">
        <f>"استان اصفهان"</f>
        <v>استان اصفهان</v>
      </c>
      <c r="AD272" s="1" t="str">
        <f>"95/09/06"</f>
        <v>95/09/06</v>
      </c>
      <c r="AE272" s="1" t="str">
        <f>"اختتام"</f>
        <v>اختتام</v>
      </c>
      <c r="AF272" s="1" t="str">
        <f>""</f>
        <v/>
      </c>
      <c r="AG272" s="1" t="str">
        <f>""</f>
        <v/>
      </c>
      <c r="AH272" s="1" t="str">
        <f>""</f>
        <v/>
      </c>
      <c r="AI272" s="1" t="str">
        <f>""</f>
        <v/>
      </c>
      <c r="AJ272" s="1" t="str">
        <f>""</f>
        <v/>
      </c>
      <c r="AK272" s="1" t="str">
        <f>""</f>
        <v/>
      </c>
    </row>
    <row r="273" spans="1:37" x14ac:dyDescent="0.2">
      <c r="A273" s="1">
        <v>50000</v>
      </c>
      <c r="B273" s="1">
        <v>951100080</v>
      </c>
      <c r="C273" s="1" t="str">
        <f>"تخليه-شهرستان آباده-روبروي کارخانه سيمان"</f>
        <v>تخليه-شهرستان آباده-روبروي کارخانه سيمان</v>
      </c>
      <c r="D273" s="1">
        <v>5950</v>
      </c>
      <c r="E273" s="1">
        <v>50000</v>
      </c>
      <c r="F273" s="1">
        <v>95</v>
      </c>
      <c r="G273" s="1">
        <v>0</v>
      </c>
      <c r="H273" s="1" t="str">
        <f>"95/04/09"</f>
        <v>95/04/09</v>
      </c>
      <c r="I273" s="1" t="str">
        <f t="shared" si="55"/>
        <v>كيلوگرم</v>
      </c>
      <c r="J273" s="1" t="str">
        <f t="shared" si="52"/>
        <v>0000000076</v>
      </c>
      <c r="K273" s="1" t="str">
        <f t="shared" si="53"/>
        <v>قير 60/70 - فله</v>
      </c>
      <c r="L273" s="1">
        <v>100</v>
      </c>
      <c r="M273" s="1" t="str">
        <f t="shared" si="56"/>
        <v>مخازن قير اصفهان</v>
      </c>
      <c r="N273" s="1">
        <v>10683</v>
      </c>
      <c r="O273" s="1">
        <v>50031172</v>
      </c>
      <c r="P273" s="1" t="str">
        <f>"  عايق اندود شرق سيصدو دو آسيا"</f>
        <v xml:space="preserve">  عايق اندود شرق سيصدو دو آسيا</v>
      </c>
      <c r="Q273" s="1">
        <v>11</v>
      </c>
      <c r="R273" s="1" t="str">
        <f>"فروش داخلي تهران - بورس"</f>
        <v>فروش داخلي تهران - بورس</v>
      </c>
      <c r="S273" s="1" t="str">
        <f t="shared" si="57"/>
        <v>قرارداد فروش</v>
      </c>
      <c r="T273" s="1" t="str">
        <f t="shared" si="58"/>
        <v>ندارد</v>
      </c>
      <c r="U273" s="1" t="str">
        <f>"تاج سعيد هوشنگ (1031ج 89)"</f>
        <v>تاج سعيد هوشنگ (1031ج 89)</v>
      </c>
      <c r="V273" s="1">
        <v>951100080</v>
      </c>
      <c r="W273" s="1">
        <v>951100080</v>
      </c>
      <c r="X273" s="1" t="str">
        <f>"1395411195"</f>
        <v>1395411195</v>
      </c>
      <c r="Y273" s="1" t="str">
        <f>"95/04/09"</f>
        <v>95/04/09</v>
      </c>
      <c r="Z273" s="1" t="str">
        <f>"95-34553"</f>
        <v>95-34553</v>
      </c>
      <c r="AA273" s="1" t="str">
        <f>"راه سازي"</f>
        <v>راه سازي</v>
      </c>
      <c r="AB273" s="1" t="str">
        <f>"95/04/09"</f>
        <v>95/04/09</v>
      </c>
      <c r="AC273" s="1" t="str">
        <f>"استان فارس"</f>
        <v>استان فارس</v>
      </c>
      <c r="AD273" s="1" t="str">
        <f>"95/04/05"</f>
        <v>95/04/05</v>
      </c>
      <c r="AE273" s="1" t="str">
        <f>"تاييدشده"</f>
        <v>تاييدشده</v>
      </c>
      <c r="AF273" s="1" t="str">
        <f>""</f>
        <v/>
      </c>
      <c r="AG273" s="1" t="str">
        <f>""</f>
        <v/>
      </c>
      <c r="AH273" s="1" t="str">
        <f>""</f>
        <v/>
      </c>
      <c r="AI273" s="1" t="str">
        <f>""</f>
        <v/>
      </c>
      <c r="AJ273" s="1" t="str">
        <f>""</f>
        <v/>
      </c>
      <c r="AK273" s="1" t="str">
        <f>""</f>
        <v/>
      </c>
    </row>
    <row r="274" spans="1:37" x14ac:dyDescent="0.2">
      <c r="A274" s="1">
        <v>100000</v>
      </c>
      <c r="B274" s="1">
        <v>951100117</v>
      </c>
      <c r="C274" s="1" t="str">
        <f>"تخليه-شهرستان آباده-روبروي کارخانه سيمان"</f>
        <v>تخليه-شهرستان آباده-روبروي کارخانه سيمان</v>
      </c>
      <c r="D274" s="1">
        <v>6876</v>
      </c>
      <c r="E274" s="1">
        <v>96400</v>
      </c>
      <c r="F274" s="1">
        <v>95</v>
      </c>
      <c r="G274" s="1">
        <v>3600</v>
      </c>
      <c r="H274" s="1" t="str">
        <f>"95/06/27"</f>
        <v>95/06/27</v>
      </c>
      <c r="I274" s="1" t="str">
        <f t="shared" si="55"/>
        <v>كيلوگرم</v>
      </c>
      <c r="J274" s="1" t="str">
        <f t="shared" si="52"/>
        <v>0000000076</v>
      </c>
      <c r="K274" s="1" t="str">
        <f t="shared" si="53"/>
        <v>قير 60/70 - فله</v>
      </c>
      <c r="L274" s="1">
        <v>100</v>
      </c>
      <c r="M274" s="1" t="str">
        <f t="shared" si="56"/>
        <v>مخازن قير اصفهان</v>
      </c>
      <c r="N274" s="1">
        <v>10683</v>
      </c>
      <c r="O274" s="1">
        <v>50031875</v>
      </c>
      <c r="P274" s="1" t="str">
        <f>"  عايق اندود شرق سيصدو دو آسيا"</f>
        <v xml:space="preserve">  عايق اندود شرق سيصدو دو آسيا</v>
      </c>
      <c r="Q274" s="1">
        <v>11</v>
      </c>
      <c r="R274" s="1" t="str">
        <f>"فروش داخلي تهران - بورس"</f>
        <v>فروش داخلي تهران - بورس</v>
      </c>
      <c r="S274" s="1" t="str">
        <f t="shared" si="57"/>
        <v>قرارداد فروش</v>
      </c>
      <c r="T274" s="1" t="str">
        <f t="shared" si="58"/>
        <v>ندارد</v>
      </c>
      <c r="U274" s="1" t="str">
        <f>"تاج سعيد هوشنگ (1031ج 89)"</f>
        <v>تاج سعيد هوشنگ (1031ج 89)</v>
      </c>
      <c r="V274" s="1">
        <v>951100117</v>
      </c>
      <c r="W274" s="1">
        <v>951100117</v>
      </c>
      <c r="X274" s="1" t="str">
        <f>"1395430574"</f>
        <v>1395430574</v>
      </c>
      <c r="Y274" s="1" t="str">
        <f>"95/06/24"</f>
        <v>95/06/24</v>
      </c>
      <c r="Z274" s="1" t="str">
        <f>"95-34596"</f>
        <v>95-34596</v>
      </c>
      <c r="AA274" s="1" t="str">
        <f>"راه سازي"</f>
        <v>راه سازي</v>
      </c>
      <c r="AB274" s="1" t="str">
        <f>"95/06/24"</f>
        <v>95/06/24</v>
      </c>
      <c r="AC274" s="1" t="str">
        <f>"استان فارس"</f>
        <v>استان فارس</v>
      </c>
      <c r="AD274" s="1" t="str">
        <f>"95/06/20"</f>
        <v>95/06/20</v>
      </c>
      <c r="AE274" s="1" t="str">
        <f t="shared" ref="AE274:AE315" si="62">"اختتام"</f>
        <v>اختتام</v>
      </c>
      <c r="AF274" s="1" t="str">
        <f>""</f>
        <v/>
      </c>
      <c r="AG274" s="1" t="str">
        <f>""</f>
        <v/>
      </c>
      <c r="AH274" s="1" t="str">
        <f>""</f>
        <v/>
      </c>
      <c r="AI274" s="1" t="str">
        <f>""</f>
        <v/>
      </c>
      <c r="AJ274" s="1" t="str">
        <f>""</f>
        <v/>
      </c>
      <c r="AK274" s="1" t="str">
        <f>""</f>
        <v/>
      </c>
    </row>
    <row r="275" spans="1:37" x14ac:dyDescent="0.2">
      <c r="A275" s="1">
        <v>103000</v>
      </c>
      <c r="B275" s="1">
        <v>952000099</v>
      </c>
      <c r="C275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275" s="1">
        <v>6976</v>
      </c>
      <c r="E275" s="1">
        <v>102600</v>
      </c>
      <c r="F275" s="1">
        <v>95</v>
      </c>
      <c r="G275" s="1">
        <v>400</v>
      </c>
      <c r="H275" s="1" t="str">
        <f>"95/07/05"</f>
        <v>95/07/05</v>
      </c>
      <c r="I275" s="1" t="str">
        <f t="shared" si="55"/>
        <v>كيلوگرم</v>
      </c>
      <c r="J275" s="1" t="str">
        <f t="shared" si="52"/>
        <v>0000000076</v>
      </c>
      <c r="K275" s="1" t="str">
        <f t="shared" si="53"/>
        <v>قير 60/70 - فله</v>
      </c>
      <c r="L275" s="1">
        <v>100</v>
      </c>
      <c r="M275" s="1" t="str">
        <f t="shared" si="56"/>
        <v>مخازن قير اصفهان</v>
      </c>
      <c r="N275" s="1">
        <v>10685</v>
      </c>
      <c r="O275" s="1">
        <v>50031958</v>
      </c>
      <c r="P275" s="1" t="str">
        <f>"  شهرداري بادرود"</f>
        <v xml:space="preserve">  شهرداري بادرود</v>
      </c>
      <c r="Q275" s="1">
        <v>20</v>
      </c>
      <c r="R275" s="1" t="str">
        <f t="shared" ref="R275:R292" si="63">"فروش داخلي - سازمان شهرداري ها و دهياري هاي كشور"</f>
        <v>فروش داخلي - سازمان شهرداري ها و دهياري هاي كشور</v>
      </c>
      <c r="S275" s="1" t="str">
        <f t="shared" si="57"/>
        <v>قرارداد فروش</v>
      </c>
      <c r="T275" s="1" t="str">
        <f t="shared" si="58"/>
        <v>ندارد</v>
      </c>
      <c r="U275" s="1" t="str">
        <f>"معماريان سعيد(1004ج89)"</f>
        <v>معماريان سعيد(1004ج89)</v>
      </c>
      <c r="V275" s="1">
        <v>952000099</v>
      </c>
      <c r="W275" s="1">
        <v>952000099</v>
      </c>
      <c r="X275" s="1" t="str">
        <f>"1395433645"</f>
        <v>1395433645</v>
      </c>
      <c r="Y275" s="1" t="str">
        <f>"95/07/05"</f>
        <v>95/07/05</v>
      </c>
      <c r="Z275" s="1" t="str">
        <f>"27778"</f>
        <v>27778</v>
      </c>
      <c r="AA275" s="1" t="str">
        <f t="shared" ref="AA275:AA292" si="64">"شهرداريها"</f>
        <v>شهرداريها</v>
      </c>
      <c r="AB275" s="1" t="str">
        <f>"95/06/10"</f>
        <v>95/06/10</v>
      </c>
      <c r="AC275" s="1" t="str">
        <f t="shared" ref="AC275:AC289" si="65">"استان اصفهان"</f>
        <v>استان اصفهان</v>
      </c>
      <c r="AD275" s="1" t="str">
        <f>"95/07/04"</f>
        <v>95/07/04</v>
      </c>
      <c r="AE275" s="1" t="str">
        <f t="shared" si="62"/>
        <v>اختتام</v>
      </c>
      <c r="AF275" s="1" t="str">
        <f>""</f>
        <v/>
      </c>
      <c r="AG275" s="1" t="str">
        <f>""</f>
        <v/>
      </c>
      <c r="AH275" s="1" t="str">
        <f>""</f>
        <v/>
      </c>
      <c r="AI275" s="1" t="str">
        <f>""</f>
        <v/>
      </c>
      <c r="AJ275" s="1" t="str">
        <f>""</f>
        <v/>
      </c>
      <c r="AK275" s="1" t="str">
        <f>""</f>
        <v/>
      </c>
    </row>
    <row r="276" spans="1:37" x14ac:dyDescent="0.2">
      <c r="A276" s="1">
        <v>126000</v>
      </c>
      <c r="B276" s="1">
        <v>952000106</v>
      </c>
      <c r="C276" s="1" t="str">
        <f>"تخليه -اصفهان -شركت ميلادراه سپاهان محورتيران -نجف آباد-انتهاي منطقه صنعتي تيران"</f>
        <v>تخليه -اصفهان -شركت ميلادراه سپاهان محورتيران -نجف آباد-انتهاي منطقه صنعتي تيران</v>
      </c>
      <c r="D276" s="1">
        <v>6976</v>
      </c>
      <c r="E276" s="1">
        <v>125680</v>
      </c>
      <c r="F276" s="1">
        <v>95</v>
      </c>
      <c r="G276" s="1">
        <v>320</v>
      </c>
      <c r="H276" s="1" t="str">
        <f>"95/07/06"</f>
        <v>95/07/06</v>
      </c>
      <c r="I276" s="1" t="str">
        <f t="shared" si="55"/>
        <v>كيلوگرم</v>
      </c>
      <c r="J276" s="1" t="str">
        <f t="shared" si="52"/>
        <v>0000000076</v>
      </c>
      <c r="K276" s="1" t="str">
        <f t="shared" si="53"/>
        <v>قير 60/70 - فله</v>
      </c>
      <c r="L276" s="1">
        <v>100</v>
      </c>
      <c r="M276" s="1" t="str">
        <f t="shared" si="56"/>
        <v>مخازن قير اصفهان</v>
      </c>
      <c r="N276" s="1">
        <v>10691</v>
      </c>
      <c r="O276" s="1">
        <v>50031972</v>
      </c>
      <c r="P276" s="1" t="str">
        <f>"  شهرداري تيران"</f>
        <v xml:space="preserve">  شهرداري تيران</v>
      </c>
      <c r="Q276" s="1">
        <v>20</v>
      </c>
      <c r="R276" s="1" t="str">
        <f t="shared" si="63"/>
        <v>فروش داخلي - سازمان شهرداري ها و دهياري هاي كشور</v>
      </c>
      <c r="S276" s="1" t="str">
        <f t="shared" si="57"/>
        <v>قرارداد فروش</v>
      </c>
      <c r="T276" s="1" t="str">
        <f t="shared" si="58"/>
        <v>ندارد</v>
      </c>
      <c r="U276" s="1" t="str">
        <f>"مرادي نجاتعلي(1020ج89)"</f>
        <v>مرادي نجاتعلي(1020ج89)</v>
      </c>
      <c r="V276" s="1">
        <v>952000106</v>
      </c>
      <c r="W276" s="1">
        <v>952000106</v>
      </c>
      <c r="X276" s="1" t="str">
        <f>"1395433645"</f>
        <v>1395433645</v>
      </c>
      <c r="Y276" s="1" t="str">
        <f>"95/07/06"</f>
        <v>95/07/06</v>
      </c>
      <c r="Z276" s="1" t="str">
        <f>"27789"</f>
        <v>27789</v>
      </c>
      <c r="AA276" s="1" t="str">
        <f t="shared" si="64"/>
        <v>شهرداريها</v>
      </c>
      <c r="AB276" s="1" t="str">
        <f>"95/06/10"</f>
        <v>95/06/10</v>
      </c>
      <c r="AC276" s="1" t="str">
        <f t="shared" si="65"/>
        <v>استان اصفهان</v>
      </c>
      <c r="AD276" s="1" t="str">
        <f>"95/07/04"</f>
        <v>95/07/04</v>
      </c>
      <c r="AE276" s="1" t="str">
        <f t="shared" si="62"/>
        <v>اختتام</v>
      </c>
      <c r="AF276" s="1" t="str">
        <f>""</f>
        <v/>
      </c>
      <c r="AG276" s="1" t="str">
        <f>""</f>
        <v/>
      </c>
      <c r="AH276" s="1" t="str">
        <f>""</f>
        <v/>
      </c>
      <c r="AI276" s="1" t="str">
        <f>""</f>
        <v/>
      </c>
      <c r="AJ276" s="1" t="str">
        <f>""</f>
        <v/>
      </c>
      <c r="AK276" s="1" t="str">
        <f>""</f>
        <v/>
      </c>
    </row>
    <row r="277" spans="1:37" x14ac:dyDescent="0.2">
      <c r="A277" s="1">
        <v>127000</v>
      </c>
      <c r="B277" s="1">
        <v>952000279</v>
      </c>
      <c r="C277" s="1" t="str">
        <f>"تخليه -اصفهان -شركت ميلادراه سپاهان محورتيران -نجف آباد-انتهاي منطقه صنعتي تيران"</f>
        <v>تخليه -اصفهان -شركت ميلادراه سپاهان محورتيران -نجف آباد-انتهاي منطقه صنعتي تيران</v>
      </c>
      <c r="D277" s="1">
        <v>7026</v>
      </c>
      <c r="E277" s="1">
        <v>126380</v>
      </c>
      <c r="F277" s="1">
        <v>95</v>
      </c>
      <c r="G277" s="1">
        <v>620</v>
      </c>
      <c r="H277" s="1" t="str">
        <f>"95/09/09"</f>
        <v>95/09/09</v>
      </c>
      <c r="I277" s="1" t="str">
        <f t="shared" si="55"/>
        <v>كيلوگرم</v>
      </c>
      <c r="J277" s="1" t="str">
        <f t="shared" si="52"/>
        <v>0000000076</v>
      </c>
      <c r="K277" s="1" t="str">
        <f t="shared" si="53"/>
        <v>قير 60/70 - فله</v>
      </c>
      <c r="L277" s="1">
        <v>100</v>
      </c>
      <c r="M277" s="1" t="str">
        <f t="shared" si="56"/>
        <v>مخازن قير اصفهان</v>
      </c>
      <c r="N277" s="1">
        <v>10691</v>
      </c>
      <c r="O277" s="1">
        <v>50032758</v>
      </c>
      <c r="P277" s="1" t="str">
        <f>"  شهرداري تيران"</f>
        <v xml:space="preserve">  شهرداري تيران</v>
      </c>
      <c r="Q277" s="1">
        <v>20</v>
      </c>
      <c r="R277" s="1" t="str">
        <f t="shared" si="63"/>
        <v>فروش داخلي - سازمان شهرداري ها و دهياري هاي كشور</v>
      </c>
      <c r="S277" s="1" t="str">
        <f t="shared" si="57"/>
        <v>قرارداد فروش</v>
      </c>
      <c r="T277" s="1" t="str">
        <f t="shared" si="58"/>
        <v>ندارد</v>
      </c>
      <c r="U277" s="1" t="str">
        <f>"مرادي نجاتعلي(1020ج89)"</f>
        <v>مرادي نجاتعلي(1020ج89)</v>
      </c>
      <c r="V277" s="1">
        <v>952000279</v>
      </c>
      <c r="W277" s="1">
        <v>952000279</v>
      </c>
      <c r="X277" s="1" t="str">
        <f>"1395447768"</f>
        <v>1395447768</v>
      </c>
      <c r="Y277" s="1" t="str">
        <f>"95/09/09"</f>
        <v>95/09/09</v>
      </c>
      <c r="Z277" s="1" t="str">
        <f>"43232"</f>
        <v>43232</v>
      </c>
      <c r="AA277" s="1" t="str">
        <f t="shared" si="64"/>
        <v>شهرداريها</v>
      </c>
      <c r="AB277" s="1" t="str">
        <f>"95/09/01"</f>
        <v>95/09/01</v>
      </c>
      <c r="AC277" s="1" t="str">
        <f t="shared" si="65"/>
        <v>استان اصفهان</v>
      </c>
      <c r="AD277" s="1" t="str">
        <f>"95/09/07"</f>
        <v>95/09/07</v>
      </c>
      <c r="AE277" s="1" t="str">
        <f t="shared" si="62"/>
        <v>اختتام</v>
      </c>
      <c r="AF277" s="1" t="str">
        <f>""</f>
        <v/>
      </c>
      <c r="AG277" s="1" t="str">
        <f>""</f>
        <v/>
      </c>
      <c r="AH277" s="1" t="str">
        <f>""</f>
        <v/>
      </c>
      <c r="AI277" s="1" t="str">
        <f>""</f>
        <v/>
      </c>
      <c r="AJ277" s="1" t="str">
        <f>""</f>
        <v/>
      </c>
      <c r="AK277" s="1" t="str">
        <f>""</f>
        <v/>
      </c>
    </row>
    <row r="278" spans="1:37" x14ac:dyDescent="0.2">
      <c r="A278" s="1">
        <v>75000</v>
      </c>
      <c r="B278" s="1">
        <v>952000083</v>
      </c>
      <c r="C278" s="1" t="str">
        <f>"محل تخليه -اصفهان -كارخانه آسفالت شهرداري فريدونشهر"</f>
        <v>محل تخليه -اصفهان -كارخانه آسفالت شهرداري فريدونشهر</v>
      </c>
      <c r="D278" s="1">
        <v>6876</v>
      </c>
      <c r="E278" s="1">
        <v>73900</v>
      </c>
      <c r="F278" s="1">
        <v>95</v>
      </c>
      <c r="G278" s="1">
        <v>1100</v>
      </c>
      <c r="H278" s="1" t="str">
        <f>"95/06/23"</f>
        <v>95/06/23</v>
      </c>
      <c r="I278" s="1" t="str">
        <f t="shared" si="55"/>
        <v>كيلوگرم</v>
      </c>
      <c r="J278" s="1" t="str">
        <f t="shared" si="52"/>
        <v>0000000076</v>
      </c>
      <c r="K278" s="1" t="str">
        <f t="shared" si="53"/>
        <v>قير 60/70 - فله</v>
      </c>
      <c r="L278" s="1">
        <v>100</v>
      </c>
      <c r="M278" s="1" t="str">
        <f t="shared" si="56"/>
        <v>مخازن قير اصفهان</v>
      </c>
      <c r="N278" s="1">
        <v>10689</v>
      </c>
      <c r="O278" s="1">
        <v>50031848</v>
      </c>
      <c r="P278" s="1" t="str">
        <f>"  شهرداري برف انبار"</f>
        <v xml:space="preserve">  شهرداري برف انبار</v>
      </c>
      <c r="Q278" s="1">
        <v>20</v>
      </c>
      <c r="R278" s="1" t="str">
        <f t="shared" si="63"/>
        <v>فروش داخلي - سازمان شهرداري ها و دهياري هاي كشور</v>
      </c>
      <c r="S278" s="1" t="str">
        <f t="shared" si="57"/>
        <v>قرارداد فروش</v>
      </c>
      <c r="T278" s="1" t="str">
        <f t="shared" si="58"/>
        <v>ندارد</v>
      </c>
      <c r="U278" s="1" t="str">
        <f>"سيفي پور گودرز(1019ج89)"</f>
        <v>سيفي پور گودرز(1019ج89)</v>
      </c>
      <c r="V278" s="1">
        <v>952000083</v>
      </c>
      <c r="W278" s="1">
        <v>952000083</v>
      </c>
      <c r="X278" s="1" t="str">
        <f>"1395430748"</f>
        <v>1395430748</v>
      </c>
      <c r="Y278" s="1" t="str">
        <f>"95/06/23"</f>
        <v>95/06/23</v>
      </c>
      <c r="Z278" s="1" t="str">
        <f>"29109"</f>
        <v>29109</v>
      </c>
      <c r="AA278" s="1" t="str">
        <f t="shared" si="64"/>
        <v>شهرداريها</v>
      </c>
      <c r="AB278" s="1" t="str">
        <f>"95/06/17"</f>
        <v>95/06/17</v>
      </c>
      <c r="AC278" s="1" t="str">
        <f t="shared" si="65"/>
        <v>استان اصفهان</v>
      </c>
      <c r="AD278" s="1" t="str">
        <f>"95/06/21"</f>
        <v>95/06/21</v>
      </c>
      <c r="AE278" s="1" t="str">
        <f t="shared" si="62"/>
        <v>اختتام</v>
      </c>
      <c r="AF278" s="1" t="str">
        <f>""</f>
        <v/>
      </c>
      <c r="AG278" s="1" t="str">
        <f>""</f>
        <v/>
      </c>
      <c r="AH278" s="1" t="str">
        <f>""</f>
        <v/>
      </c>
      <c r="AI278" s="1" t="str">
        <f>""</f>
        <v/>
      </c>
      <c r="AJ278" s="1" t="str">
        <f>""</f>
        <v/>
      </c>
      <c r="AK278" s="1" t="str">
        <f>""</f>
        <v/>
      </c>
    </row>
    <row r="279" spans="1:37" x14ac:dyDescent="0.2">
      <c r="A279" s="1">
        <v>72000</v>
      </c>
      <c r="B279" s="1">
        <v>952000139</v>
      </c>
      <c r="C279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279" s="1">
        <v>6976</v>
      </c>
      <c r="E279" s="1">
        <v>71340</v>
      </c>
      <c r="F279" s="1">
        <v>95</v>
      </c>
      <c r="G279" s="1">
        <v>660</v>
      </c>
      <c r="H279" s="1" t="str">
        <f>"95/07/13"</f>
        <v>95/07/13</v>
      </c>
      <c r="I279" s="1" t="str">
        <f t="shared" si="55"/>
        <v>كيلوگرم</v>
      </c>
      <c r="J279" s="1" t="str">
        <f t="shared" si="52"/>
        <v>0000000076</v>
      </c>
      <c r="K279" s="1" t="str">
        <f t="shared" si="53"/>
        <v>قير 60/70 - فله</v>
      </c>
      <c r="L279" s="1">
        <v>100</v>
      </c>
      <c r="M279" s="1" t="str">
        <f t="shared" si="56"/>
        <v>مخازن قير اصفهان</v>
      </c>
      <c r="N279" s="1">
        <v>10700</v>
      </c>
      <c r="O279" s="1">
        <v>50032086</v>
      </c>
      <c r="P279" s="1" t="str">
        <f>"  شهرداري سجزي"</f>
        <v xml:space="preserve">  شهرداري سجزي</v>
      </c>
      <c r="Q279" s="1">
        <v>20</v>
      </c>
      <c r="R279" s="1" t="str">
        <f t="shared" si="63"/>
        <v>فروش داخلي - سازمان شهرداري ها و دهياري هاي كشور</v>
      </c>
      <c r="S279" s="1" t="str">
        <f t="shared" si="57"/>
        <v>قرارداد فروش</v>
      </c>
      <c r="T279" s="1" t="str">
        <f t="shared" si="58"/>
        <v>ندارد</v>
      </c>
      <c r="U279" s="1" t="str">
        <f>"ريسماني حسن(1007ج89)"</f>
        <v>ريسماني حسن(1007ج89)</v>
      </c>
      <c r="V279" s="1">
        <v>952000139</v>
      </c>
      <c r="W279" s="1">
        <v>952000139</v>
      </c>
      <c r="X279" s="1" t="str">
        <f>"1395435602"</f>
        <v>1395435602</v>
      </c>
      <c r="Y279" s="1" t="str">
        <f>"95/07/13"</f>
        <v>95/07/13</v>
      </c>
      <c r="Z279" s="1" t="str">
        <f>"24464"</f>
        <v>24464</v>
      </c>
      <c r="AA279" s="1" t="str">
        <f t="shared" si="64"/>
        <v>شهرداريها</v>
      </c>
      <c r="AB279" s="1" t="str">
        <f>"95/05/30"</f>
        <v>95/05/30</v>
      </c>
      <c r="AC279" s="1" t="str">
        <f t="shared" si="65"/>
        <v>استان اصفهان</v>
      </c>
      <c r="AD279" s="1" t="str">
        <f>"95/07/13"</f>
        <v>95/07/13</v>
      </c>
      <c r="AE279" s="1" t="str">
        <f t="shared" si="62"/>
        <v>اختتام</v>
      </c>
      <c r="AF279" s="1" t="str">
        <f>""</f>
        <v/>
      </c>
      <c r="AG279" s="1" t="str">
        <f>""</f>
        <v/>
      </c>
      <c r="AH279" s="1" t="str">
        <f>""</f>
        <v/>
      </c>
      <c r="AI279" s="1" t="str">
        <f>""</f>
        <v/>
      </c>
      <c r="AJ279" s="1" t="str">
        <f>""</f>
        <v/>
      </c>
      <c r="AK279" s="1" t="str">
        <f>""</f>
        <v/>
      </c>
    </row>
    <row r="280" spans="1:37" x14ac:dyDescent="0.2">
      <c r="A280" s="1">
        <v>68000</v>
      </c>
      <c r="B280" s="1">
        <v>952000320</v>
      </c>
      <c r="C280" s="1" t="str">
        <f>"تخليه -اصفهان -كيلومتر3جاده وزوان -اصفهان -شركت خاك پي"</f>
        <v>تخليه -اصفهان -كيلومتر3جاده وزوان -اصفهان -شركت خاك پي</v>
      </c>
      <c r="D280" s="1">
        <v>9361</v>
      </c>
      <c r="E280" s="1">
        <v>66640</v>
      </c>
      <c r="F280" s="1">
        <v>95</v>
      </c>
      <c r="G280" s="1">
        <v>1360</v>
      </c>
      <c r="H280" s="1" t="str">
        <f>"95/11/23"</f>
        <v>95/11/23</v>
      </c>
      <c r="I280" s="1" t="str">
        <f t="shared" si="55"/>
        <v>كيلوگرم</v>
      </c>
      <c r="J280" s="1" t="str">
        <f t="shared" si="52"/>
        <v>0000000076</v>
      </c>
      <c r="K280" s="1" t="str">
        <f t="shared" si="53"/>
        <v>قير 60/70 - فله</v>
      </c>
      <c r="L280" s="1">
        <v>100</v>
      </c>
      <c r="M280" s="1" t="str">
        <f t="shared" si="56"/>
        <v>مخازن قير اصفهان</v>
      </c>
      <c r="N280" s="1">
        <v>10701</v>
      </c>
      <c r="O280" s="1">
        <v>50033677</v>
      </c>
      <c r="P280" s="1" t="str">
        <f>"  شهرداري كامو و چوگان"</f>
        <v xml:space="preserve">  شهرداري كامو و چوگان</v>
      </c>
      <c r="Q280" s="1">
        <v>20</v>
      </c>
      <c r="R280" s="1" t="str">
        <f t="shared" si="63"/>
        <v>فروش داخلي - سازمان شهرداري ها و دهياري هاي كشور</v>
      </c>
      <c r="S280" s="1" t="str">
        <f t="shared" si="57"/>
        <v>قرارداد فروش</v>
      </c>
      <c r="T280" s="1" t="str">
        <f t="shared" si="58"/>
        <v>ندارد</v>
      </c>
      <c r="U280" s="1" t="str">
        <f>"ريسماني حسن(1007ج89)"</f>
        <v>ريسماني حسن(1007ج89)</v>
      </c>
      <c r="V280" s="1">
        <v>952000320</v>
      </c>
      <c r="W280" s="1">
        <v>952000320</v>
      </c>
      <c r="X280" s="1" t="str">
        <f>"1395464401"</f>
        <v>1395464401</v>
      </c>
      <c r="Y280" s="1" t="str">
        <f>"95/11/23"</f>
        <v>95/11/23</v>
      </c>
      <c r="Z280" s="1" t="str">
        <f>"43399"</f>
        <v>43399</v>
      </c>
      <c r="AA280" s="1" t="str">
        <f t="shared" si="64"/>
        <v>شهرداريها</v>
      </c>
      <c r="AB280" s="1" t="str">
        <f>"95/09/02"</f>
        <v>95/09/02</v>
      </c>
      <c r="AC280" s="1" t="str">
        <f t="shared" si="65"/>
        <v>استان اصفهان</v>
      </c>
      <c r="AD280" s="1" t="str">
        <f>"95/11/23"</f>
        <v>95/11/23</v>
      </c>
      <c r="AE280" s="1" t="str">
        <f t="shared" si="62"/>
        <v>اختتام</v>
      </c>
      <c r="AF280" s="1" t="str">
        <f>""</f>
        <v/>
      </c>
      <c r="AG280" s="1" t="str">
        <f>""</f>
        <v/>
      </c>
      <c r="AH280" s="1" t="str">
        <f>""</f>
        <v/>
      </c>
      <c r="AI280" s="1" t="str">
        <f>""</f>
        <v/>
      </c>
      <c r="AJ280" s="1" t="str">
        <f>""</f>
        <v/>
      </c>
      <c r="AK280" s="1" t="str">
        <f>""</f>
        <v/>
      </c>
    </row>
    <row r="281" spans="1:37" x14ac:dyDescent="0.2">
      <c r="A281" s="1">
        <v>73000</v>
      </c>
      <c r="B281" s="1">
        <v>952000179</v>
      </c>
      <c r="C281" s="1" t="str">
        <f>"تخليه اصفهان اتوبان اصفهان تهران جنب پليس راه شاهين شهركاشان جاده تخليه نخاله هاي سنگبري هاشركت زرين سپاهان"</f>
        <v>تخليه اصفهان اتوبان اصفهان تهران جنب پليس راه شاهين شهركاشان جاده تخليه نخاله هاي سنگبري هاشركت زرين سپاهان</v>
      </c>
      <c r="D281" s="1">
        <v>8023</v>
      </c>
      <c r="E281" s="1">
        <v>72620</v>
      </c>
      <c r="F281" s="1">
        <v>95</v>
      </c>
      <c r="G281" s="1">
        <v>380</v>
      </c>
      <c r="H281" s="1" t="str">
        <f>"95/08/10"</f>
        <v>95/08/10</v>
      </c>
      <c r="I281" s="1" t="str">
        <f t="shared" si="55"/>
        <v>كيلوگرم</v>
      </c>
      <c r="J281" s="1" t="str">
        <f t="shared" si="52"/>
        <v>0000000076</v>
      </c>
      <c r="K281" s="1" t="str">
        <f t="shared" si="53"/>
        <v>قير 60/70 - فله</v>
      </c>
      <c r="L281" s="1">
        <v>100</v>
      </c>
      <c r="M281" s="1" t="str">
        <f t="shared" si="56"/>
        <v>مخازن قير اصفهان</v>
      </c>
      <c r="N281" s="1">
        <v>10695</v>
      </c>
      <c r="O281" s="1">
        <v>50032447</v>
      </c>
      <c r="P281" s="1" t="str">
        <f>"  شهرداري جوشقان قالي"</f>
        <v xml:space="preserve">  شهرداري جوشقان قالي</v>
      </c>
      <c r="Q281" s="1">
        <v>20</v>
      </c>
      <c r="R281" s="1" t="str">
        <f t="shared" si="63"/>
        <v>فروش داخلي - سازمان شهرداري ها و دهياري هاي كشور</v>
      </c>
      <c r="S281" s="1" t="str">
        <f t="shared" si="57"/>
        <v>قرارداد فروش</v>
      </c>
      <c r="T281" s="1" t="str">
        <f t="shared" si="58"/>
        <v>ندارد</v>
      </c>
      <c r="U281" s="1" t="str">
        <f>"مرادي نجاتعلي(1020ج89)"</f>
        <v>مرادي نجاتعلي(1020ج89)</v>
      </c>
      <c r="V281" s="1">
        <v>952000179</v>
      </c>
      <c r="W281" s="1">
        <v>952000179</v>
      </c>
      <c r="X281" s="1" t="str">
        <f>"1395441430"</f>
        <v>1395441430</v>
      </c>
      <c r="Y281" s="1" t="str">
        <f>"95/08/10"</f>
        <v>95/08/10</v>
      </c>
      <c r="Z281" s="1" t="str">
        <f>"27716"</f>
        <v>27716</v>
      </c>
      <c r="AA281" s="1" t="str">
        <f t="shared" si="64"/>
        <v>شهرداريها</v>
      </c>
      <c r="AB281" s="1" t="str">
        <f>"95/06/10"</f>
        <v>95/06/10</v>
      </c>
      <c r="AC281" s="1" t="str">
        <f t="shared" si="65"/>
        <v>استان اصفهان</v>
      </c>
      <c r="AD281" s="1" t="str">
        <f>"95/08/09"</f>
        <v>95/08/09</v>
      </c>
      <c r="AE281" s="1" t="str">
        <f t="shared" si="62"/>
        <v>اختتام</v>
      </c>
      <c r="AF281" s="1" t="str">
        <f>""</f>
        <v/>
      </c>
      <c r="AG281" s="1" t="str">
        <f>""</f>
        <v/>
      </c>
      <c r="AH281" s="1" t="str">
        <f>""</f>
        <v/>
      </c>
      <c r="AI281" s="1" t="str">
        <f>""</f>
        <v/>
      </c>
      <c r="AJ281" s="1" t="str">
        <f>""</f>
        <v/>
      </c>
      <c r="AK281" s="1" t="str">
        <f>""</f>
        <v/>
      </c>
    </row>
    <row r="282" spans="1:37" x14ac:dyDescent="0.2">
      <c r="A282" s="1">
        <v>76000</v>
      </c>
      <c r="B282" s="1">
        <v>952000274</v>
      </c>
      <c r="C282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282" s="1">
        <v>7026</v>
      </c>
      <c r="E282" s="1">
        <v>75660</v>
      </c>
      <c r="F282" s="1">
        <v>95</v>
      </c>
      <c r="G282" s="1">
        <v>340</v>
      </c>
      <c r="H282" s="1" t="str">
        <f>"95/09/09"</f>
        <v>95/09/09</v>
      </c>
      <c r="I282" s="1" t="str">
        <f t="shared" si="55"/>
        <v>كيلوگرم</v>
      </c>
      <c r="J282" s="1" t="str">
        <f t="shared" si="52"/>
        <v>0000000076</v>
      </c>
      <c r="K282" s="1" t="str">
        <f t="shared" si="53"/>
        <v>قير 60/70 - فله</v>
      </c>
      <c r="L282" s="1">
        <v>100</v>
      </c>
      <c r="M282" s="1" t="str">
        <f t="shared" si="56"/>
        <v>مخازن قير اصفهان</v>
      </c>
      <c r="N282" s="1">
        <v>10698</v>
      </c>
      <c r="O282" s="1">
        <v>50032749</v>
      </c>
      <c r="P282" s="1" t="str">
        <f>"  شهرداري دهق"</f>
        <v xml:space="preserve">  شهرداري دهق</v>
      </c>
      <c r="Q282" s="1">
        <v>20</v>
      </c>
      <c r="R282" s="1" t="str">
        <f t="shared" si="63"/>
        <v>فروش داخلي - سازمان شهرداري ها و دهياري هاي كشور</v>
      </c>
      <c r="S282" s="1" t="str">
        <f t="shared" si="57"/>
        <v>قرارداد فروش</v>
      </c>
      <c r="T282" s="1" t="str">
        <f t="shared" si="58"/>
        <v>ندارد</v>
      </c>
      <c r="U282" s="1" t="str">
        <f>"مرادي نجاتعلي(1020ج89)"</f>
        <v>مرادي نجاتعلي(1020ج89)</v>
      </c>
      <c r="V282" s="1">
        <v>952000274</v>
      </c>
      <c r="W282" s="1">
        <v>952000274</v>
      </c>
      <c r="X282" s="1" t="str">
        <f>"1395447768"</f>
        <v>1395447768</v>
      </c>
      <c r="Y282" s="1" t="str">
        <f>"95/09/09"</f>
        <v>95/09/09</v>
      </c>
      <c r="Z282" s="1" t="str">
        <f>"43226"</f>
        <v>43226</v>
      </c>
      <c r="AA282" s="1" t="str">
        <f t="shared" si="64"/>
        <v>شهرداريها</v>
      </c>
      <c r="AB282" s="1" t="str">
        <f>"95/09/01"</f>
        <v>95/09/01</v>
      </c>
      <c r="AC282" s="1" t="str">
        <f t="shared" si="65"/>
        <v>استان اصفهان</v>
      </c>
      <c r="AD282" s="1" t="str">
        <f>"95/09/07"</f>
        <v>95/09/07</v>
      </c>
      <c r="AE282" s="1" t="str">
        <f t="shared" si="62"/>
        <v>اختتام</v>
      </c>
      <c r="AF282" s="1" t="str">
        <f>""</f>
        <v/>
      </c>
      <c r="AG282" s="1" t="str">
        <f>""</f>
        <v/>
      </c>
      <c r="AH282" s="1" t="str">
        <f>""</f>
        <v/>
      </c>
      <c r="AI282" s="1" t="str">
        <f>""</f>
        <v/>
      </c>
      <c r="AJ282" s="1" t="str">
        <f>""</f>
        <v/>
      </c>
      <c r="AK282" s="1" t="str">
        <f>""</f>
        <v/>
      </c>
    </row>
    <row r="283" spans="1:37" x14ac:dyDescent="0.2">
      <c r="A283" s="1">
        <v>76000</v>
      </c>
      <c r="B283" s="1">
        <v>952000039</v>
      </c>
      <c r="C283" s="1" t="str">
        <f>"تخليه -اصفهان جرقويه عليا5كيلومترمانده به شهرحسن آبادكارخانه آسفالت سيمين راه"</f>
        <v>تخليه -اصفهان جرقويه عليا5كيلومترمانده به شهرحسن آبادكارخانه آسفالت سيمين راه</v>
      </c>
      <c r="D283" s="1">
        <v>6876</v>
      </c>
      <c r="E283" s="1">
        <v>75860</v>
      </c>
      <c r="F283" s="1">
        <v>95</v>
      </c>
      <c r="G283" s="1">
        <v>140</v>
      </c>
      <c r="H283" s="1" t="str">
        <f>"95/06/07"</f>
        <v>95/06/07</v>
      </c>
      <c r="I283" s="1" t="str">
        <f t="shared" si="55"/>
        <v>كيلوگرم</v>
      </c>
      <c r="J283" s="1" t="str">
        <f t="shared" si="52"/>
        <v>0000000076</v>
      </c>
      <c r="K283" s="1" t="str">
        <f t="shared" si="53"/>
        <v>قير 60/70 - فله</v>
      </c>
      <c r="L283" s="1">
        <v>100</v>
      </c>
      <c r="M283" s="1" t="str">
        <f t="shared" si="56"/>
        <v>مخازن قير اصفهان</v>
      </c>
      <c r="N283" s="1">
        <v>10699</v>
      </c>
      <c r="O283" s="1">
        <v>50031677</v>
      </c>
      <c r="P283" s="1" t="str">
        <f>"  شهرداري نصرآباد"</f>
        <v xml:space="preserve">  شهرداري نصرآباد</v>
      </c>
      <c r="Q283" s="1">
        <v>20</v>
      </c>
      <c r="R283" s="1" t="str">
        <f t="shared" si="63"/>
        <v>فروش داخلي - سازمان شهرداري ها و دهياري هاي كشور</v>
      </c>
      <c r="S283" s="1" t="str">
        <f t="shared" si="57"/>
        <v>قرارداد فروش</v>
      </c>
      <c r="T283" s="1" t="str">
        <f t="shared" si="58"/>
        <v>ندارد</v>
      </c>
      <c r="U283" s="1" t="str">
        <f>"شهبازي محمدرضا(1029ج89)"</f>
        <v>شهبازي محمدرضا(1029ج89)</v>
      </c>
      <c r="V283" s="1">
        <v>952000039</v>
      </c>
      <c r="W283" s="1">
        <v>952000039</v>
      </c>
      <c r="X283" s="1" t="str">
        <f>"1395426944"</f>
        <v>1395426944</v>
      </c>
      <c r="Y283" s="1" t="str">
        <f>"95/06/07"</f>
        <v>95/06/07</v>
      </c>
      <c r="Z283" s="1" t="str">
        <f>"23834"</f>
        <v>23834</v>
      </c>
      <c r="AA283" s="1" t="str">
        <f t="shared" si="64"/>
        <v>شهرداريها</v>
      </c>
      <c r="AB283" s="1" t="str">
        <f>"95/05/26"</f>
        <v>95/05/26</v>
      </c>
      <c r="AC283" s="1" t="str">
        <f t="shared" si="65"/>
        <v>استان اصفهان</v>
      </c>
      <c r="AD283" s="1" t="str">
        <f>"95/06/06"</f>
        <v>95/06/06</v>
      </c>
      <c r="AE283" s="1" t="str">
        <f t="shared" si="62"/>
        <v>اختتام</v>
      </c>
      <c r="AF283" s="1" t="str">
        <f>""</f>
        <v/>
      </c>
      <c r="AG283" s="1" t="str">
        <f>""</f>
        <v/>
      </c>
      <c r="AH283" s="1" t="str">
        <f>""</f>
        <v/>
      </c>
      <c r="AI283" s="1" t="str">
        <f>""</f>
        <v/>
      </c>
      <c r="AJ283" s="1" t="str">
        <f>""</f>
        <v/>
      </c>
      <c r="AK283" s="1" t="str">
        <f>""</f>
        <v/>
      </c>
    </row>
    <row r="284" spans="1:37" x14ac:dyDescent="0.2">
      <c r="A284" s="1">
        <v>75000</v>
      </c>
      <c r="B284" s="1">
        <v>952000144</v>
      </c>
      <c r="C284" s="1" t="str">
        <f>"تخليه - اصفهان - اتوبان تهران روبروي جاده ديسمان -کارخانه آسفالت مصلحي"</f>
        <v>تخليه - اصفهان - اتوبان تهران روبروي جاده ديسمان -کارخانه آسفالت مصلحي</v>
      </c>
      <c r="D284" s="1">
        <v>6976</v>
      </c>
      <c r="E284" s="1">
        <v>74500</v>
      </c>
      <c r="F284" s="1">
        <v>95</v>
      </c>
      <c r="G284" s="1">
        <v>500</v>
      </c>
      <c r="H284" s="1" t="str">
        <f>"95/07/14"</f>
        <v>95/07/14</v>
      </c>
      <c r="I284" s="1" t="str">
        <f t="shared" si="55"/>
        <v>كيلوگرم</v>
      </c>
      <c r="J284" s="1" t="str">
        <f t="shared" si="52"/>
        <v>0000000076</v>
      </c>
      <c r="K284" s="1" t="str">
        <f t="shared" si="53"/>
        <v>قير 60/70 - فله</v>
      </c>
      <c r="L284" s="1">
        <v>100</v>
      </c>
      <c r="M284" s="1" t="str">
        <f t="shared" si="56"/>
        <v>مخازن قير اصفهان</v>
      </c>
      <c r="N284" s="1">
        <v>10706</v>
      </c>
      <c r="O284" s="1">
        <v>50032200</v>
      </c>
      <c r="P284" s="1" t="str">
        <f>"  شهرداري شاپورآباد"</f>
        <v xml:space="preserve">  شهرداري شاپورآباد</v>
      </c>
      <c r="Q284" s="1">
        <v>20</v>
      </c>
      <c r="R284" s="1" t="str">
        <f t="shared" si="63"/>
        <v>فروش داخلي - سازمان شهرداري ها و دهياري هاي كشور</v>
      </c>
      <c r="S284" s="1" t="str">
        <f t="shared" si="57"/>
        <v>قرارداد فروش</v>
      </c>
      <c r="T284" s="1" t="str">
        <f t="shared" si="58"/>
        <v>ندارد</v>
      </c>
      <c r="U284" s="1" t="str">
        <f>"تاج سعيد هوشنگ (1031ج 89)"</f>
        <v>تاج سعيد هوشنگ (1031ج 89)</v>
      </c>
      <c r="V284" s="1">
        <v>952000144</v>
      </c>
      <c r="W284" s="1">
        <v>952000144</v>
      </c>
      <c r="X284" s="1" t="str">
        <f>"1395436486"</f>
        <v>1395436486</v>
      </c>
      <c r="Y284" s="1" t="str">
        <f>"95/07/14"</f>
        <v>95/07/14</v>
      </c>
      <c r="Z284" s="1" t="str">
        <f>"27764"</f>
        <v>27764</v>
      </c>
      <c r="AA284" s="1" t="str">
        <f t="shared" si="64"/>
        <v>شهرداريها</v>
      </c>
      <c r="AB284" s="1" t="str">
        <f>"95/06/10"</f>
        <v>95/06/10</v>
      </c>
      <c r="AC284" s="1" t="str">
        <f t="shared" si="65"/>
        <v>استان اصفهان</v>
      </c>
      <c r="AD284" s="1" t="str">
        <f>"95/07/14"</f>
        <v>95/07/14</v>
      </c>
      <c r="AE284" s="1" t="str">
        <f t="shared" si="62"/>
        <v>اختتام</v>
      </c>
      <c r="AF284" s="1" t="str">
        <f>""</f>
        <v/>
      </c>
      <c r="AG284" s="1" t="str">
        <f>""</f>
        <v/>
      </c>
      <c r="AH284" s="1" t="str">
        <f>""</f>
        <v/>
      </c>
      <c r="AI284" s="1" t="str">
        <f>""</f>
        <v/>
      </c>
      <c r="AJ284" s="1" t="str">
        <f>""</f>
        <v/>
      </c>
      <c r="AK284" s="1" t="str">
        <f>""</f>
        <v/>
      </c>
    </row>
    <row r="285" spans="1:37" x14ac:dyDescent="0.2">
      <c r="A285" s="1">
        <v>93000</v>
      </c>
      <c r="B285" s="1">
        <v>952000265</v>
      </c>
      <c r="C285" s="1" t="str">
        <f>"تخليه -اصفهان -شهرك صنعتي اشترجان -خيابان يازدهم -کارخانه آسفالت شركت راه آژند"</f>
        <v>تخليه -اصفهان -شهرك صنعتي اشترجان -خيابان يازدهم -کارخانه آسفالت شركت راه آژند</v>
      </c>
      <c r="D285" s="1">
        <v>7026</v>
      </c>
      <c r="E285" s="1">
        <v>92700</v>
      </c>
      <c r="F285" s="1">
        <v>95</v>
      </c>
      <c r="G285" s="1">
        <v>300</v>
      </c>
      <c r="H285" s="1" t="str">
        <f>"95/09/09"</f>
        <v>95/09/09</v>
      </c>
      <c r="I285" s="1" t="str">
        <f t="shared" si="55"/>
        <v>كيلوگرم</v>
      </c>
      <c r="J285" s="1" t="str">
        <f t="shared" si="52"/>
        <v>0000000076</v>
      </c>
      <c r="K285" s="1" t="str">
        <f t="shared" si="53"/>
        <v>قير 60/70 - فله</v>
      </c>
      <c r="L285" s="1">
        <v>100</v>
      </c>
      <c r="M285" s="1" t="str">
        <f t="shared" si="56"/>
        <v>مخازن قير اصفهان</v>
      </c>
      <c r="N285" s="1">
        <v>10713</v>
      </c>
      <c r="O285" s="1">
        <v>50032738</v>
      </c>
      <c r="P285" s="1" t="str">
        <f>"  شهرداري كوشك"</f>
        <v xml:space="preserve">  شهرداري كوشك</v>
      </c>
      <c r="Q285" s="1">
        <v>20</v>
      </c>
      <c r="R285" s="1" t="str">
        <f t="shared" si="63"/>
        <v>فروش داخلي - سازمان شهرداري ها و دهياري هاي كشور</v>
      </c>
      <c r="S285" s="1" t="str">
        <f t="shared" si="57"/>
        <v>قرارداد فروش</v>
      </c>
      <c r="T285" s="1" t="str">
        <f t="shared" si="58"/>
        <v>ندارد</v>
      </c>
      <c r="U285" s="1" t="str">
        <f>"سيفي پور عبدالمجيد(1009ج89)"</f>
        <v>سيفي پور عبدالمجيد(1009ج89)</v>
      </c>
      <c r="V285" s="1">
        <v>952000265</v>
      </c>
      <c r="W285" s="1">
        <v>952000265</v>
      </c>
      <c r="X285" s="1" t="str">
        <f>"1395447768"</f>
        <v>1395447768</v>
      </c>
      <c r="Y285" s="1" t="str">
        <f>"95/09/09"</f>
        <v>95/09/09</v>
      </c>
      <c r="Z285" s="1" t="str">
        <f>"43211"</f>
        <v>43211</v>
      </c>
      <c r="AA285" s="1" t="str">
        <f t="shared" si="64"/>
        <v>شهرداريها</v>
      </c>
      <c r="AB285" s="1" t="str">
        <f>"95/09/01"</f>
        <v>95/09/01</v>
      </c>
      <c r="AC285" s="1" t="str">
        <f t="shared" si="65"/>
        <v>استان اصفهان</v>
      </c>
      <c r="AD285" s="1" t="str">
        <f>"95/09/07"</f>
        <v>95/09/07</v>
      </c>
      <c r="AE285" s="1" t="str">
        <f t="shared" si="62"/>
        <v>اختتام</v>
      </c>
      <c r="AF285" s="1" t="str">
        <f>""</f>
        <v/>
      </c>
      <c r="AG285" s="1" t="str">
        <f>""</f>
        <v/>
      </c>
      <c r="AH285" s="1" t="str">
        <f>""</f>
        <v/>
      </c>
      <c r="AI285" s="1" t="str">
        <f>""</f>
        <v/>
      </c>
      <c r="AJ285" s="1" t="str">
        <f>""</f>
        <v/>
      </c>
      <c r="AK285" s="1" t="str">
        <f>""</f>
        <v/>
      </c>
    </row>
    <row r="286" spans="1:37" x14ac:dyDescent="0.2">
      <c r="A286" s="1">
        <v>74000</v>
      </c>
      <c r="B286" s="1">
        <v>952000105</v>
      </c>
      <c r="C286" s="1" t="str">
        <f>"تخليه - اصفهان - کيلومتر 50جاده شهرضا کارخانه آسفالت سميرم افروز"</f>
        <v>تخليه - اصفهان - کيلومتر 50جاده شهرضا کارخانه آسفالت سميرم افروز</v>
      </c>
      <c r="D286" s="1">
        <v>6976</v>
      </c>
      <c r="E286" s="1">
        <v>73520</v>
      </c>
      <c r="F286" s="1">
        <v>95</v>
      </c>
      <c r="G286" s="1">
        <v>480</v>
      </c>
      <c r="H286" s="1" t="str">
        <f>"95/07/05"</f>
        <v>95/07/05</v>
      </c>
      <c r="I286" s="1" t="str">
        <f t="shared" si="55"/>
        <v>كيلوگرم</v>
      </c>
      <c r="J286" s="1" t="str">
        <f t="shared" si="52"/>
        <v>0000000076</v>
      </c>
      <c r="K286" s="1" t="str">
        <f t="shared" si="53"/>
        <v>قير 60/70 - فله</v>
      </c>
      <c r="L286" s="1">
        <v>100</v>
      </c>
      <c r="M286" s="1" t="str">
        <f t="shared" si="56"/>
        <v>مخازن قير اصفهان</v>
      </c>
      <c r="N286" s="1">
        <v>10721</v>
      </c>
      <c r="O286" s="1">
        <v>50031970</v>
      </c>
      <c r="P286" s="1" t="str">
        <f>"  شهرداري حنا"</f>
        <v xml:space="preserve">  شهرداري حنا</v>
      </c>
      <c r="Q286" s="1">
        <v>20</v>
      </c>
      <c r="R286" s="1" t="str">
        <f t="shared" si="63"/>
        <v>فروش داخلي - سازمان شهرداري ها و دهياري هاي كشور</v>
      </c>
      <c r="S286" s="1" t="str">
        <f t="shared" si="57"/>
        <v>قرارداد فروش</v>
      </c>
      <c r="T286" s="1" t="str">
        <f t="shared" si="58"/>
        <v>ندارد</v>
      </c>
      <c r="U286" s="1" t="str">
        <f>"سيفي پور عبدالمجيد(1009ج89)"</f>
        <v>سيفي پور عبدالمجيد(1009ج89)</v>
      </c>
      <c r="V286" s="1">
        <v>952000105</v>
      </c>
      <c r="W286" s="1">
        <v>952000105</v>
      </c>
      <c r="X286" s="1" t="str">
        <f>"1395433645"</f>
        <v>1395433645</v>
      </c>
      <c r="Y286" s="1" t="str">
        <f>"95/07/05"</f>
        <v>95/07/05</v>
      </c>
      <c r="Z286" s="1" t="str">
        <f>"27797"</f>
        <v>27797</v>
      </c>
      <c r="AA286" s="1" t="str">
        <f t="shared" si="64"/>
        <v>شهرداريها</v>
      </c>
      <c r="AB286" s="1" t="str">
        <f>"95/06/10"</f>
        <v>95/06/10</v>
      </c>
      <c r="AC286" s="1" t="str">
        <f t="shared" si="65"/>
        <v>استان اصفهان</v>
      </c>
      <c r="AD286" s="1" t="str">
        <f>"95/07/04"</f>
        <v>95/07/04</v>
      </c>
      <c r="AE286" s="1" t="str">
        <f t="shared" si="62"/>
        <v>اختتام</v>
      </c>
      <c r="AF286" s="1" t="str">
        <f>""</f>
        <v/>
      </c>
      <c r="AG286" s="1" t="str">
        <f>""</f>
        <v/>
      </c>
      <c r="AH286" s="1" t="str">
        <f>""</f>
        <v/>
      </c>
      <c r="AI286" s="1" t="str">
        <f>""</f>
        <v/>
      </c>
      <c r="AJ286" s="1" t="str">
        <f>""</f>
        <v/>
      </c>
      <c r="AK286" s="1" t="str">
        <f>""</f>
        <v/>
      </c>
    </row>
    <row r="287" spans="1:37" x14ac:dyDescent="0.2">
      <c r="A287" s="1">
        <v>111000</v>
      </c>
      <c r="B287" s="1">
        <v>952000348</v>
      </c>
      <c r="C287" s="1" t="str">
        <f>"تخليه اصفهان جاده فولادشهرنجف آبادروبروي منازل مسكوني مهر"</f>
        <v>تخليه اصفهان جاده فولادشهرنجف آبادروبروي منازل مسكوني مهر</v>
      </c>
      <c r="D287" s="1">
        <v>9361</v>
      </c>
      <c r="E287" s="1">
        <v>110160</v>
      </c>
      <c r="F287" s="1">
        <v>95</v>
      </c>
      <c r="G287" s="1">
        <v>840</v>
      </c>
      <c r="H287" s="1" t="str">
        <f>"95/11/24"</f>
        <v>95/11/24</v>
      </c>
      <c r="I287" s="1" t="str">
        <f t="shared" si="55"/>
        <v>كيلوگرم</v>
      </c>
      <c r="J287" s="1" t="str">
        <f t="shared" si="52"/>
        <v>0000000076</v>
      </c>
      <c r="K287" s="1" t="str">
        <f t="shared" si="53"/>
        <v>قير 60/70 - فله</v>
      </c>
      <c r="L287" s="1">
        <v>100</v>
      </c>
      <c r="M287" s="1" t="str">
        <f t="shared" si="56"/>
        <v>مخازن قير اصفهان</v>
      </c>
      <c r="N287" s="1">
        <v>10743</v>
      </c>
      <c r="O287" s="1">
        <v>50033719</v>
      </c>
      <c r="P287" s="1" t="str">
        <f>"  شهرداري دستگرد"</f>
        <v xml:space="preserve">  شهرداري دستگرد</v>
      </c>
      <c r="Q287" s="1">
        <v>20</v>
      </c>
      <c r="R287" s="1" t="str">
        <f t="shared" si="63"/>
        <v>فروش داخلي - سازمان شهرداري ها و دهياري هاي كشور</v>
      </c>
      <c r="S287" s="1" t="str">
        <f t="shared" si="57"/>
        <v>قرارداد فروش</v>
      </c>
      <c r="T287" s="1" t="str">
        <f t="shared" si="58"/>
        <v>ندارد</v>
      </c>
      <c r="U287" s="1" t="str">
        <f>"سيفي پور عبدالمجيد(1009ج89)"</f>
        <v>سيفي پور عبدالمجيد(1009ج89)</v>
      </c>
      <c r="V287" s="1">
        <v>952000348</v>
      </c>
      <c r="W287" s="1">
        <v>952000348</v>
      </c>
      <c r="X287" s="1" t="str">
        <f>"1395464401"</f>
        <v>1395464401</v>
      </c>
      <c r="Y287" s="1" t="str">
        <f>"95/11/24"</f>
        <v>95/11/24</v>
      </c>
      <c r="Z287" s="1" t="str">
        <f>"43403"</f>
        <v>43403</v>
      </c>
      <c r="AA287" s="1" t="str">
        <f t="shared" si="64"/>
        <v>شهرداريها</v>
      </c>
      <c r="AB287" s="1" t="str">
        <f>"95/09/02"</f>
        <v>95/09/02</v>
      </c>
      <c r="AC287" s="1" t="str">
        <f t="shared" si="65"/>
        <v>استان اصفهان</v>
      </c>
      <c r="AD287" s="1" t="str">
        <f>"95/11/23"</f>
        <v>95/11/23</v>
      </c>
      <c r="AE287" s="1" t="str">
        <f t="shared" si="62"/>
        <v>اختتام</v>
      </c>
      <c r="AF287" s="1" t="str">
        <f>""</f>
        <v/>
      </c>
      <c r="AG287" s="1" t="str">
        <f>""</f>
        <v/>
      </c>
      <c r="AH287" s="1" t="str">
        <f>""</f>
        <v/>
      </c>
      <c r="AI287" s="1" t="str">
        <f>""</f>
        <v/>
      </c>
      <c r="AJ287" s="1" t="str">
        <f>""</f>
        <v/>
      </c>
      <c r="AK287" s="1" t="str">
        <f>""</f>
        <v/>
      </c>
    </row>
    <row r="288" spans="1:37" x14ac:dyDescent="0.2">
      <c r="A288" s="1">
        <v>108000</v>
      </c>
      <c r="B288" s="1">
        <v>952000043</v>
      </c>
      <c r="C288" s="1" t="str">
        <f>"تخليه -اصفهان -اتوبان ذوب آهن اتوبان شهيدكاظمي كيلومتر7فولاشهرنجف آبادشركت توليدي آبادگران جنوب"</f>
        <v>تخليه -اصفهان -اتوبان ذوب آهن اتوبان شهيدكاظمي كيلومتر7فولاشهرنجف آبادشركت توليدي آبادگران جنوب</v>
      </c>
      <c r="D288" s="1">
        <v>6876</v>
      </c>
      <c r="E288" s="1">
        <v>107740</v>
      </c>
      <c r="F288" s="1">
        <v>95</v>
      </c>
      <c r="G288" s="1">
        <v>260</v>
      </c>
      <c r="H288" s="1" t="str">
        <f>"95/06/07"</f>
        <v>95/06/07</v>
      </c>
      <c r="I288" s="1" t="str">
        <f t="shared" si="55"/>
        <v>كيلوگرم</v>
      </c>
      <c r="J288" s="1" t="str">
        <f t="shared" si="52"/>
        <v>0000000076</v>
      </c>
      <c r="K288" s="1" t="str">
        <f t="shared" si="53"/>
        <v>قير 60/70 - فله</v>
      </c>
      <c r="L288" s="1">
        <v>100</v>
      </c>
      <c r="M288" s="1" t="str">
        <f t="shared" si="56"/>
        <v>مخازن قير اصفهان</v>
      </c>
      <c r="N288" s="1">
        <v>10743</v>
      </c>
      <c r="O288" s="1">
        <v>50031704</v>
      </c>
      <c r="P288" s="1" t="str">
        <f>"  شهرداري دستگرد"</f>
        <v xml:space="preserve">  شهرداري دستگرد</v>
      </c>
      <c r="Q288" s="1">
        <v>20</v>
      </c>
      <c r="R288" s="1" t="str">
        <f t="shared" si="63"/>
        <v>فروش داخلي - سازمان شهرداري ها و دهياري هاي كشور</v>
      </c>
      <c r="S288" s="1" t="str">
        <f t="shared" si="57"/>
        <v>قرارداد فروش</v>
      </c>
      <c r="T288" s="1" t="str">
        <f t="shared" si="58"/>
        <v>ندارد</v>
      </c>
      <c r="U288" s="1" t="str">
        <f>"سيفي پور عبدالمجيد(1009ج89)"</f>
        <v>سيفي پور عبدالمجيد(1009ج89)</v>
      </c>
      <c r="V288" s="1">
        <v>952000043</v>
      </c>
      <c r="W288" s="1">
        <v>952000043</v>
      </c>
      <c r="X288" s="1" t="str">
        <f>"1395426944"</f>
        <v>1395426944</v>
      </c>
      <c r="Y288" s="1" t="str">
        <f>"95/06/07"</f>
        <v>95/06/07</v>
      </c>
      <c r="Z288" s="1" t="str">
        <f>"25680"</f>
        <v>25680</v>
      </c>
      <c r="AA288" s="1" t="str">
        <f t="shared" si="64"/>
        <v>شهرداريها</v>
      </c>
      <c r="AB288" s="1" t="str">
        <f>"95/06/02"</f>
        <v>95/06/02</v>
      </c>
      <c r="AC288" s="1" t="str">
        <f t="shared" si="65"/>
        <v>استان اصفهان</v>
      </c>
      <c r="AD288" s="1" t="str">
        <f>"95/06/06"</f>
        <v>95/06/06</v>
      </c>
      <c r="AE288" s="1" t="str">
        <f t="shared" si="62"/>
        <v>اختتام</v>
      </c>
      <c r="AF288" s="1" t="str">
        <f>""</f>
        <v/>
      </c>
      <c r="AG288" s="1" t="str">
        <f>""</f>
        <v/>
      </c>
      <c r="AH288" s="1" t="str">
        <f>""</f>
        <v/>
      </c>
      <c r="AI288" s="1" t="str">
        <f>""</f>
        <v/>
      </c>
      <c r="AJ288" s="1" t="str">
        <f>""</f>
        <v/>
      </c>
      <c r="AK288" s="1" t="str">
        <f>""</f>
        <v/>
      </c>
    </row>
    <row r="289" spans="1:37" x14ac:dyDescent="0.2">
      <c r="A289" s="1">
        <v>81000</v>
      </c>
      <c r="B289" s="1">
        <v>952000317</v>
      </c>
      <c r="C289" s="1" t="str">
        <f>"تخليه اصفهان خوركيلومتر8جاده جعفرآبادكارخانه آسفالت رحيمي"</f>
        <v>تخليه اصفهان خوركيلومتر8جاده جعفرآبادكارخانه آسفالت رحيمي</v>
      </c>
      <c r="D289" s="1">
        <v>9361</v>
      </c>
      <c r="E289" s="1">
        <v>77260</v>
      </c>
      <c r="F289" s="1">
        <v>95</v>
      </c>
      <c r="G289" s="1">
        <v>3740</v>
      </c>
      <c r="H289" s="1" t="str">
        <f>"95/11/23"</f>
        <v>95/11/23</v>
      </c>
      <c r="I289" s="1" t="str">
        <f t="shared" si="55"/>
        <v>كيلوگرم</v>
      </c>
      <c r="J289" s="1" t="str">
        <f t="shared" si="52"/>
        <v>0000000076</v>
      </c>
      <c r="K289" s="1" t="str">
        <f t="shared" si="53"/>
        <v>قير 60/70 - فله</v>
      </c>
      <c r="L289" s="1">
        <v>100</v>
      </c>
      <c r="M289" s="1" t="str">
        <f t="shared" si="56"/>
        <v>مخازن قير اصفهان</v>
      </c>
      <c r="N289" s="1">
        <v>10748</v>
      </c>
      <c r="O289" s="1">
        <v>50033674</v>
      </c>
      <c r="P289" s="1" t="str">
        <f>"  شهرداري خور"</f>
        <v xml:space="preserve">  شهرداري خور</v>
      </c>
      <c r="Q289" s="1">
        <v>20</v>
      </c>
      <c r="R289" s="1" t="str">
        <f t="shared" si="63"/>
        <v>فروش داخلي - سازمان شهرداري ها و دهياري هاي كشور</v>
      </c>
      <c r="S289" s="1" t="str">
        <f t="shared" si="57"/>
        <v>قرارداد فروش</v>
      </c>
      <c r="T289" s="1" t="str">
        <f t="shared" si="58"/>
        <v>ندارد</v>
      </c>
      <c r="U289" s="1" t="str">
        <f>"غلام نجفي سيامك‌‌‌‌‌‌(1881082)"</f>
        <v>غلام نجفي سيامك‌‌‌‌‌‌(1881082)</v>
      </c>
      <c r="V289" s="1">
        <v>952000317</v>
      </c>
      <c r="W289" s="1">
        <v>952000317</v>
      </c>
      <c r="X289" s="1" t="str">
        <f>"1395464401"</f>
        <v>1395464401</v>
      </c>
      <c r="Y289" s="1" t="str">
        <f>"95/11/23"</f>
        <v>95/11/23</v>
      </c>
      <c r="Z289" s="1" t="str">
        <f>"43406"</f>
        <v>43406</v>
      </c>
      <c r="AA289" s="1" t="str">
        <f t="shared" si="64"/>
        <v>شهرداريها</v>
      </c>
      <c r="AB289" s="1" t="str">
        <f>"95/09/02"</f>
        <v>95/09/02</v>
      </c>
      <c r="AC289" s="1" t="str">
        <f t="shared" si="65"/>
        <v>استان اصفهان</v>
      </c>
      <c r="AD289" s="1" t="str">
        <f>"95/11/23"</f>
        <v>95/11/23</v>
      </c>
      <c r="AE289" s="1" t="str">
        <f t="shared" si="62"/>
        <v>اختتام</v>
      </c>
      <c r="AF289" s="1" t="str">
        <f>""</f>
        <v/>
      </c>
      <c r="AG289" s="1" t="str">
        <f>""</f>
        <v/>
      </c>
      <c r="AH289" s="1" t="str">
        <f>""</f>
        <v/>
      </c>
      <c r="AI289" s="1" t="str">
        <f>""</f>
        <v/>
      </c>
      <c r="AJ289" s="1" t="str">
        <f>""</f>
        <v/>
      </c>
      <c r="AK289" s="1" t="str">
        <f>""</f>
        <v/>
      </c>
    </row>
    <row r="290" spans="1:37" x14ac:dyDescent="0.2">
      <c r="A290" s="1">
        <v>70000</v>
      </c>
      <c r="B290" s="1">
        <v>952000075</v>
      </c>
      <c r="C290" s="1" t="str">
        <f>"تخليه -لرستان -شهرستان سلسله -شهرفيروزآبادكيلومتر2كارخانه آسفالت سعادتي"</f>
        <v>تخليه -لرستان -شهرستان سلسله -شهرفيروزآبادكيلومتر2كارخانه آسفالت سعادتي</v>
      </c>
      <c r="D290" s="1">
        <v>6876</v>
      </c>
      <c r="E290" s="1">
        <v>69340</v>
      </c>
      <c r="F290" s="1">
        <v>95</v>
      </c>
      <c r="G290" s="1">
        <v>660</v>
      </c>
      <c r="H290" s="1" t="str">
        <f>"95/06/15"</f>
        <v>95/06/15</v>
      </c>
      <c r="I290" s="1" t="str">
        <f t="shared" si="55"/>
        <v>كيلوگرم</v>
      </c>
      <c r="J290" s="1" t="str">
        <f t="shared" si="52"/>
        <v>0000000076</v>
      </c>
      <c r="K290" s="1" t="str">
        <f t="shared" si="53"/>
        <v>قير 60/70 - فله</v>
      </c>
      <c r="L290" s="1">
        <v>100</v>
      </c>
      <c r="M290" s="1" t="str">
        <f t="shared" si="56"/>
        <v>مخازن قير اصفهان</v>
      </c>
      <c r="N290" s="1">
        <v>10775</v>
      </c>
      <c r="O290" s="1">
        <v>50031802</v>
      </c>
      <c r="P290" s="1" t="str">
        <f>"  شهرداري فيروزآبادلرستان"</f>
        <v xml:space="preserve">  شهرداري فيروزآبادلرستان</v>
      </c>
      <c r="Q290" s="1">
        <v>20</v>
      </c>
      <c r="R290" s="1" t="str">
        <f t="shared" si="63"/>
        <v>فروش داخلي - سازمان شهرداري ها و دهياري هاي كشور</v>
      </c>
      <c r="S290" s="1" t="str">
        <f t="shared" si="57"/>
        <v>قرارداد فروش</v>
      </c>
      <c r="T290" s="1" t="str">
        <f t="shared" si="58"/>
        <v>ندارد</v>
      </c>
      <c r="U290" s="1" t="str">
        <f>"عظيمي محمد(2842015)"</f>
        <v>عظيمي محمد(2842015)</v>
      </c>
      <c r="V290" s="1">
        <v>952000075</v>
      </c>
      <c r="W290" s="1">
        <v>952000075</v>
      </c>
      <c r="X290" s="1" t="str">
        <f>"1395428997"</f>
        <v>1395428997</v>
      </c>
      <c r="Y290" s="1" t="str">
        <f>"95/06/15"</f>
        <v>95/06/15</v>
      </c>
      <c r="Z290" s="1" t="str">
        <f>"27679"</f>
        <v>27679</v>
      </c>
      <c r="AA290" s="1" t="str">
        <f t="shared" si="64"/>
        <v>شهرداريها</v>
      </c>
      <c r="AB290" s="1" t="str">
        <f>"95/06/10"</f>
        <v>95/06/10</v>
      </c>
      <c r="AC290" s="1" t="str">
        <f>"لرستان"</f>
        <v>لرستان</v>
      </c>
      <c r="AD290" s="1" t="str">
        <f>"95/06/14"</f>
        <v>95/06/14</v>
      </c>
      <c r="AE290" s="1" t="str">
        <f t="shared" si="62"/>
        <v>اختتام</v>
      </c>
      <c r="AF290" s="1" t="str">
        <f>""</f>
        <v/>
      </c>
      <c r="AG290" s="1" t="str">
        <f>""</f>
        <v/>
      </c>
      <c r="AH290" s="1" t="str">
        <f>""</f>
        <v/>
      </c>
      <c r="AI290" s="1" t="str">
        <f>""</f>
        <v/>
      </c>
      <c r="AJ290" s="1" t="str">
        <f>""</f>
        <v/>
      </c>
      <c r="AK290" s="1" t="str">
        <f>""</f>
        <v/>
      </c>
    </row>
    <row r="291" spans="1:37" x14ac:dyDescent="0.2">
      <c r="A291" s="1">
        <v>68000</v>
      </c>
      <c r="B291" s="1">
        <v>952000131</v>
      </c>
      <c r="C291" s="1" t="str">
        <f>"تخليه كهگيلويه وبويراحمد-پاتاوه شهرستان دنا"</f>
        <v>تخليه كهگيلويه وبويراحمد-پاتاوه شهرستان دنا</v>
      </c>
      <c r="D291" s="1">
        <v>6976</v>
      </c>
      <c r="E291" s="1">
        <v>66180</v>
      </c>
      <c r="F291" s="1">
        <v>95</v>
      </c>
      <c r="G291" s="1">
        <v>1820</v>
      </c>
      <c r="H291" s="1" t="str">
        <f>"95/07/11"</f>
        <v>95/07/11</v>
      </c>
      <c r="I291" s="1" t="str">
        <f t="shared" si="55"/>
        <v>كيلوگرم</v>
      </c>
      <c r="J291" s="1" t="str">
        <f t="shared" si="52"/>
        <v>0000000076</v>
      </c>
      <c r="K291" s="1" t="str">
        <f t="shared" si="53"/>
        <v>قير 60/70 - فله</v>
      </c>
      <c r="L291" s="1">
        <v>100</v>
      </c>
      <c r="M291" s="1" t="str">
        <f t="shared" si="56"/>
        <v>مخازن قير اصفهان</v>
      </c>
      <c r="N291" s="1">
        <v>10779</v>
      </c>
      <c r="O291" s="1">
        <v>50032056</v>
      </c>
      <c r="P291" s="1" t="str">
        <f>"  شهرداري پاتاوه"</f>
        <v xml:space="preserve">  شهرداري پاتاوه</v>
      </c>
      <c r="Q291" s="1">
        <v>20</v>
      </c>
      <c r="R291" s="1" t="str">
        <f t="shared" si="63"/>
        <v>فروش داخلي - سازمان شهرداري ها و دهياري هاي كشور</v>
      </c>
      <c r="S291" s="1" t="str">
        <f t="shared" si="57"/>
        <v>قرارداد فروش</v>
      </c>
      <c r="T291" s="1" t="str">
        <f t="shared" si="58"/>
        <v>ندارد</v>
      </c>
      <c r="U291" s="1" t="str">
        <f>"افناني اسفندآبادي سعيد(4844002)"</f>
        <v>افناني اسفندآبادي سعيد(4844002)</v>
      </c>
      <c r="V291" s="1">
        <v>952000131</v>
      </c>
      <c r="W291" s="1">
        <v>952000131</v>
      </c>
      <c r="X291" s="1" t="str">
        <f>"1395435297"</f>
        <v>1395435297</v>
      </c>
      <c r="Y291" s="1" t="str">
        <f>"95/07/11"</f>
        <v>95/07/11</v>
      </c>
      <c r="Z291" s="1" t="str">
        <f>"32759"</f>
        <v>32759</v>
      </c>
      <c r="AA291" s="1" t="str">
        <f t="shared" si="64"/>
        <v>شهرداريها</v>
      </c>
      <c r="AB291" s="1" t="str">
        <f>"95/07/06"</f>
        <v>95/07/06</v>
      </c>
      <c r="AC291" s="1" t="str">
        <f>"كهكيلويه و بوير احمد"</f>
        <v>كهكيلويه و بوير احمد</v>
      </c>
      <c r="AD291" s="1" t="str">
        <f>"95/07/11"</f>
        <v>95/07/11</v>
      </c>
      <c r="AE291" s="1" t="str">
        <f t="shared" si="62"/>
        <v>اختتام</v>
      </c>
      <c r="AF291" s="1" t="str">
        <f>""</f>
        <v/>
      </c>
      <c r="AG291" s="1" t="str">
        <f>""</f>
        <v/>
      </c>
      <c r="AH291" s="1" t="str">
        <f>""</f>
        <v/>
      </c>
      <c r="AI291" s="1" t="str">
        <f>""</f>
        <v/>
      </c>
      <c r="AJ291" s="1" t="str">
        <f>""</f>
        <v/>
      </c>
      <c r="AK291" s="1" t="str">
        <f>""</f>
        <v/>
      </c>
    </row>
    <row r="292" spans="1:37" x14ac:dyDescent="0.2">
      <c r="A292" s="1">
        <v>75000</v>
      </c>
      <c r="B292" s="1">
        <v>952000068</v>
      </c>
      <c r="C292" s="1" t="str">
        <f>"تخليه - همدان شهرستان ملاير-شهر سامن -کارخانه آسفالت شهرداري سامن"</f>
        <v>تخليه - همدان شهرستان ملاير-شهر سامن -کارخانه آسفالت شهرداري سامن</v>
      </c>
      <c r="D292" s="1">
        <v>6876</v>
      </c>
      <c r="E292" s="1">
        <v>73780</v>
      </c>
      <c r="F292" s="1">
        <v>95</v>
      </c>
      <c r="G292" s="1">
        <v>1220</v>
      </c>
      <c r="H292" s="1" t="str">
        <f>"95/06/15"</f>
        <v>95/06/15</v>
      </c>
      <c r="I292" s="1" t="str">
        <f t="shared" si="55"/>
        <v>كيلوگرم</v>
      </c>
      <c r="J292" s="1" t="str">
        <f t="shared" si="52"/>
        <v>0000000076</v>
      </c>
      <c r="K292" s="1" t="str">
        <f t="shared" si="53"/>
        <v>قير 60/70 - فله</v>
      </c>
      <c r="L292" s="1">
        <v>100</v>
      </c>
      <c r="M292" s="1" t="str">
        <f t="shared" si="56"/>
        <v>مخازن قير اصفهان</v>
      </c>
      <c r="N292" s="1">
        <v>10800</v>
      </c>
      <c r="O292" s="1">
        <v>50031781</v>
      </c>
      <c r="P292" s="1" t="str">
        <f>"  شهرداري اشترينان"</f>
        <v xml:space="preserve">  شهرداري اشترينان</v>
      </c>
      <c r="Q292" s="1">
        <v>20</v>
      </c>
      <c r="R292" s="1" t="str">
        <f t="shared" si="63"/>
        <v>فروش داخلي - سازمان شهرداري ها و دهياري هاي كشور</v>
      </c>
      <c r="S292" s="1" t="str">
        <f t="shared" si="57"/>
        <v>قرارداد فروش</v>
      </c>
      <c r="T292" s="1" t="str">
        <f t="shared" si="58"/>
        <v>ندارد</v>
      </c>
      <c r="U292" s="1" t="str">
        <f>"حاجيلوئي علي اصغر(2842019)"</f>
        <v>حاجيلوئي علي اصغر(2842019)</v>
      </c>
      <c r="V292" s="1">
        <v>952000068</v>
      </c>
      <c r="W292" s="1">
        <v>952000068</v>
      </c>
      <c r="X292" s="1" t="str">
        <f>"1395428997"</f>
        <v>1395428997</v>
      </c>
      <c r="Y292" s="1" t="str">
        <f>"95/06/15"</f>
        <v>95/06/15</v>
      </c>
      <c r="Z292" s="1" t="str">
        <f>"27671"</f>
        <v>27671</v>
      </c>
      <c r="AA292" s="1" t="str">
        <f t="shared" si="64"/>
        <v>شهرداريها</v>
      </c>
      <c r="AB292" s="1" t="str">
        <f>"95/06/10"</f>
        <v>95/06/10</v>
      </c>
      <c r="AC292" s="1" t="str">
        <f>"لرستان"</f>
        <v>لرستان</v>
      </c>
      <c r="AD292" s="1" t="str">
        <f>"95/06/14"</f>
        <v>95/06/14</v>
      </c>
      <c r="AE292" s="1" t="str">
        <f t="shared" si="62"/>
        <v>اختتام</v>
      </c>
      <c r="AF292" s="1" t="str">
        <f>""</f>
        <v/>
      </c>
      <c r="AG292" s="1" t="str">
        <f>""</f>
        <v/>
      </c>
      <c r="AH292" s="1" t="str">
        <f>""</f>
        <v/>
      </c>
      <c r="AI292" s="1" t="str">
        <f>""</f>
        <v/>
      </c>
      <c r="AJ292" s="1" t="str">
        <f>""</f>
        <v/>
      </c>
      <c r="AK292" s="1" t="str">
        <f>""</f>
        <v/>
      </c>
    </row>
    <row r="293" spans="1:37" x14ac:dyDescent="0.2">
      <c r="A293" s="1">
        <v>85000</v>
      </c>
      <c r="B293" s="1">
        <v>956200340</v>
      </c>
      <c r="C293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293" s="1">
        <v>8848</v>
      </c>
      <c r="E293" s="1">
        <v>85000</v>
      </c>
      <c r="F293" s="1">
        <v>95</v>
      </c>
      <c r="G293" s="1">
        <v>0</v>
      </c>
      <c r="H293" s="1" t="str">
        <f>"95/12/22"</f>
        <v>95/12/22</v>
      </c>
      <c r="I293" s="1" t="str">
        <f t="shared" si="55"/>
        <v>كيلوگرم</v>
      </c>
      <c r="J293" s="1" t="str">
        <f t="shared" si="52"/>
        <v>0000000076</v>
      </c>
      <c r="K293" s="1" t="str">
        <f t="shared" si="53"/>
        <v>قير 60/70 - فله</v>
      </c>
      <c r="L293" s="1">
        <v>100</v>
      </c>
      <c r="M293" s="1" t="str">
        <f t="shared" si="56"/>
        <v>مخازن قير اصفهان</v>
      </c>
      <c r="N293" s="1">
        <v>10828</v>
      </c>
      <c r="O293" s="1">
        <v>50034120</v>
      </c>
      <c r="P293" s="1" t="str">
        <f>"  زرين گستربيستون"</f>
        <v xml:space="preserve">  زرين گستربيستون</v>
      </c>
      <c r="Q293" s="1">
        <v>62</v>
      </c>
      <c r="R293" s="1" t="str">
        <f>"فروش داخلي - سازمان بنيادمسكن انقلاب اسلامي"</f>
        <v>فروش داخلي - سازمان بنيادمسكن انقلاب اسلامي</v>
      </c>
      <c r="S293" s="1" t="str">
        <f t="shared" si="57"/>
        <v>قرارداد فروش</v>
      </c>
      <c r="T293" s="1" t="str">
        <f t="shared" si="58"/>
        <v>ندارد</v>
      </c>
      <c r="U293" s="1" t="str">
        <f>"هيزچي مرتضي(1841036)"</f>
        <v>هيزچي مرتضي(1841036)</v>
      </c>
      <c r="V293" s="1">
        <v>956200340</v>
      </c>
      <c r="W293" s="1">
        <v>956200340</v>
      </c>
      <c r="X293" s="1" t="str">
        <f>"1395470439"</f>
        <v>1395470439</v>
      </c>
      <c r="Y293" s="1" t="str">
        <f>"95/12/22"</f>
        <v>95/12/22</v>
      </c>
      <c r="Z293" s="1" t="str">
        <f>"56762/د"</f>
        <v>56762/د</v>
      </c>
      <c r="AA293" s="1" t="str">
        <f>"بنيادمسكن انقلاب اسلامي"</f>
        <v>بنيادمسكن انقلاب اسلامي</v>
      </c>
      <c r="AB293" s="1" t="str">
        <f>"95/12/21"</f>
        <v>95/12/21</v>
      </c>
      <c r="AC293" s="1" t="str">
        <f>"استان كرمانشاه"</f>
        <v>استان كرمانشاه</v>
      </c>
      <c r="AD293" s="1" t="str">
        <f>"95/12/22"</f>
        <v>95/12/22</v>
      </c>
      <c r="AE293" s="1" t="str">
        <f t="shared" si="62"/>
        <v>اختتام</v>
      </c>
      <c r="AF293" s="1" t="str">
        <f>""</f>
        <v/>
      </c>
      <c r="AG293" s="1" t="str">
        <f>""</f>
        <v/>
      </c>
      <c r="AH293" s="1" t="str">
        <f>""</f>
        <v/>
      </c>
      <c r="AI293" s="1" t="str">
        <f>""</f>
        <v/>
      </c>
      <c r="AJ293" s="1" t="str">
        <f>""</f>
        <v/>
      </c>
      <c r="AK293" s="1" t="str">
        <f>""</f>
        <v/>
      </c>
    </row>
    <row r="294" spans="1:37" x14ac:dyDescent="0.2">
      <c r="A294" s="1">
        <v>101000</v>
      </c>
      <c r="B294" s="1">
        <v>952000121</v>
      </c>
      <c r="C294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294" s="1">
        <v>6976</v>
      </c>
      <c r="E294" s="1">
        <v>101000</v>
      </c>
      <c r="F294" s="1">
        <v>95</v>
      </c>
      <c r="G294" s="1">
        <v>0</v>
      </c>
      <c r="H294" s="1" t="str">
        <f>"95/07/08"</f>
        <v>95/07/08</v>
      </c>
      <c r="I294" s="1" t="str">
        <f t="shared" si="55"/>
        <v>كيلوگرم</v>
      </c>
      <c r="J294" s="1" t="str">
        <f t="shared" si="52"/>
        <v>0000000076</v>
      </c>
      <c r="K294" s="1" t="str">
        <f t="shared" si="53"/>
        <v>قير 60/70 - فله</v>
      </c>
      <c r="L294" s="1">
        <v>100</v>
      </c>
      <c r="M294" s="1" t="str">
        <f t="shared" si="56"/>
        <v>مخازن قير اصفهان</v>
      </c>
      <c r="N294" s="1">
        <v>10043</v>
      </c>
      <c r="O294" s="1">
        <v>50032032</v>
      </c>
      <c r="P294" s="1" t="str">
        <f>"  شهرداري ورزنه"</f>
        <v xml:space="preserve">  شهرداري ورزنه</v>
      </c>
      <c r="Q294" s="1">
        <v>20</v>
      </c>
      <c r="R294" s="1" t="str">
        <f t="shared" ref="R294:R299" si="66">"فروش داخلي - سازمان شهرداري ها و دهياري هاي كشور"</f>
        <v>فروش داخلي - سازمان شهرداري ها و دهياري هاي كشور</v>
      </c>
      <c r="S294" s="1" t="str">
        <f t="shared" si="57"/>
        <v>قرارداد فروش</v>
      </c>
      <c r="T294" s="1" t="str">
        <f t="shared" si="58"/>
        <v>ندارد</v>
      </c>
      <c r="U294" s="1" t="str">
        <f>"اسماعيلي پور امين (1013ج89)"</f>
        <v>اسماعيلي پور امين (1013ج89)</v>
      </c>
      <c r="V294" s="1">
        <v>952000121</v>
      </c>
      <c r="W294" s="1">
        <v>952000121</v>
      </c>
      <c r="X294" s="1" t="str">
        <f>"1395434881"</f>
        <v>1395434881</v>
      </c>
      <c r="Y294" s="1" t="str">
        <f>"95/07/08"</f>
        <v>95/07/08</v>
      </c>
      <c r="Z294" s="1" t="str">
        <f>"32738"</f>
        <v>32738</v>
      </c>
      <c r="AA294" s="1" t="str">
        <f t="shared" ref="AA294:AA299" si="67">"شهرداريها"</f>
        <v>شهرداريها</v>
      </c>
      <c r="AB294" s="1" t="str">
        <f>"95/07/06"</f>
        <v>95/07/06</v>
      </c>
      <c r="AC294" s="1" t="str">
        <f>"استان اصفهان"</f>
        <v>استان اصفهان</v>
      </c>
      <c r="AD294" s="1" t="str">
        <f>"95/07/07"</f>
        <v>95/07/07</v>
      </c>
      <c r="AE294" s="1" t="str">
        <f t="shared" si="62"/>
        <v>اختتام</v>
      </c>
      <c r="AF294" s="1" t="str">
        <f>""</f>
        <v/>
      </c>
      <c r="AG294" s="1" t="str">
        <f>""</f>
        <v/>
      </c>
      <c r="AH294" s="1" t="str">
        <f>""</f>
        <v/>
      </c>
      <c r="AI294" s="1" t="str">
        <f>""</f>
        <v/>
      </c>
      <c r="AJ294" s="1" t="str">
        <f>""</f>
        <v/>
      </c>
      <c r="AK294" s="1" t="str">
        <f>""</f>
        <v/>
      </c>
    </row>
    <row r="295" spans="1:37" x14ac:dyDescent="0.2">
      <c r="A295" s="1">
        <v>101000</v>
      </c>
      <c r="B295" s="1">
        <v>952000240</v>
      </c>
      <c r="C295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295" s="1">
        <v>7026</v>
      </c>
      <c r="E295" s="1">
        <v>100120</v>
      </c>
      <c r="F295" s="1">
        <v>95</v>
      </c>
      <c r="G295" s="1">
        <v>880</v>
      </c>
      <c r="H295" s="1" t="str">
        <f>"95/09/07"</f>
        <v>95/09/07</v>
      </c>
      <c r="I295" s="1" t="str">
        <f t="shared" si="55"/>
        <v>كيلوگرم</v>
      </c>
      <c r="J295" s="1" t="str">
        <f t="shared" si="52"/>
        <v>0000000076</v>
      </c>
      <c r="K295" s="1" t="str">
        <f t="shared" si="53"/>
        <v>قير 60/70 - فله</v>
      </c>
      <c r="L295" s="1">
        <v>100</v>
      </c>
      <c r="M295" s="1" t="str">
        <f t="shared" si="56"/>
        <v>مخازن قير اصفهان</v>
      </c>
      <c r="N295" s="1">
        <v>10043</v>
      </c>
      <c r="O295" s="1">
        <v>50032701</v>
      </c>
      <c r="P295" s="1" t="str">
        <f>"  شهرداري ورزنه"</f>
        <v xml:space="preserve">  شهرداري ورزنه</v>
      </c>
      <c r="Q295" s="1">
        <v>20</v>
      </c>
      <c r="R295" s="1" t="str">
        <f t="shared" si="66"/>
        <v>فروش داخلي - سازمان شهرداري ها و دهياري هاي كشور</v>
      </c>
      <c r="S295" s="1" t="str">
        <f t="shared" si="57"/>
        <v>قرارداد فروش</v>
      </c>
      <c r="T295" s="1" t="str">
        <f t="shared" si="58"/>
        <v>ندارد</v>
      </c>
      <c r="U295" s="1" t="str">
        <f>"اسماعيلي پور امين (1013ج89)"</f>
        <v>اسماعيلي پور امين (1013ج89)</v>
      </c>
      <c r="V295" s="1">
        <v>952000240</v>
      </c>
      <c r="W295" s="1">
        <v>952000240</v>
      </c>
      <c r="X295" s="1" t="str">
        <f>"1395447617"</f>
        <v>1395447617</v>
      </c>
      <c r="Y295" s="1" t="str">
        <f>"95/09/07"</f>
        <v>95/09/07</v>
      </c>
      <c r="Z295" s="1" t="str">
        <f>"43279"</f>
        <v>43279</v>
      </c>
      <c r="AA295" s="1" t="str">
        <f t="shared" si="67"/>
        <v>شهرداريها</v>
      </c>
      <c r="AB295" s="1" t="str">
        <f>"95/09/02"</f>
        <v>95/09/02</v>
      </c>
      <c r="AC295" s="1" t="str">
        <f>"استان اصفهان"</f>
        <v>استان اصفهان</v>
      </c>
      <c r="AD295" s="1" t="str">
        <f>"95/09/06"</f>
        <v>95/09/06</v>
      </c>
      <c r="AE295" s="1" t="str">
        <f t="shared" si="62"/>
        <v>اختتام</v>
      </c>
      <c r="AF295" s="1" t="str">
        <f>""</f>
        <v/>
      </c>
      <c r="AG295" s="1" t="str">
        <f>""</f>
        <v/>
      </c>
      <c r="AH295" s="1" t="str">
        <f>""</f>
        <v/>
      </c>
      <c r="AI295" s="1" t="str">
        <f>""</f>
        <v/>
      </c>
      <c r="AJ295" s="1" t="str">
        <f>""</f>
        <v/>
      </c>
      <c r="AK295" s="1" t="str">
        <f>""</f>
        <v/>
      </c>
    </row>
    <row r="296" spans="1:37" x14ac:dyDescent="0.2">
      <c r="A296" s="1">
        <v>74000</v>
      </c>
      <c r="B296" s="1">
        <v>952000304</v>
      </c>
      <c r="C296" s="1" t="str">
        <f>"تخليه -اصفهان گردنه زينل كارخانه كاشمر"</f>
        <v>تخليه -اصفهان گردنه زينل كارخانه كاشمر</v>
      </c>
      <c r="D296" s="1">
        <v>7026</v>
      </c>
      <c r="E296" s="1">
        <v>72540</v>
      </c>
      <c r="F296" s="1">
        <v>95</v>
      </c>
      <c r="G296" s="1">
        <v>1460</v>
      </c>
      <c r="H296" s="1" t="str">
        <f>"95/09/11"</f>
        <v>95/09/11</v>
      </c>
      <c r="I296" s="1" t="str">
        <f t="shared" si="55"/>
        <v>كيلوگرم</v>
      </c>
      <c r="J296" s="1" t="str">
        <f t="shared" si="52"/>
        <v>0000000076</v>
      </c>
      <c r="K296" s="1" t="str">
        <f t="shared" si="53"/>
        <v>قير 60/70 - فله</v>
      </c>
      <c r="L296" s="1">
        <v>100</v>
      </c>
      <c r="M296" s="1" t="str">
        <f t="shared" si="56"/>
        <v>مخازن قير اصفهان</v>
      </c>
      <c r="N296" s="1">
        <v>10060</v>
      </c>
      <c r="O296" s="1">
        <v>50032788</v>
      </c>
      <c r="P296" s="1" t="str">
        <f>"  شهرداري قهجاورستان"</f>
        <v xml:space="preserve">  شهرداري قهجاورستان</v>
      </c>
      <c r="Q296" s="1">
        <v>20</v>
      </c>
      <c r="R296" s="1" t="str">
        <f t="shared" si="66"/>
        <v>فروش داخلي - سازمان شهرداري ها و دهياري هاي كشور</v>
      </c>
      <c r="S296" s="1" t="str">
        <f t="shared" si="57"/>
        <v>قرارداد فروش</v>
      </c>
      <c r="T296" s="1" t="str">
        <f t="shared" si="58"/>
        <v>ندارد</v>
      </c>
      <c r="U296" s="1" t="str">
        <f>"معماريان حميد(1032ج89)"</f>
        <v>معماريان حميد(1032ج89)</v>
      </c>
      <c r="V296" s="1">
        <v>952000304</v>
      </c>
      <c r="W296" s="1">
        <v>952000304</v>
      </c>
      <c r="X296" s="1" t="str">
        <f>"1395447798"</f>
        <v>1395447798</v>
      </c>
      <c r="Y296" s="1" t="str">
        <f>"95/09/09"</f>
        <v>95/09/09</v>
      </c>
      <c r="Z296" s="1" t="str">
        <f>"43378"</f>
        <v>43378</v>
      </c>
      <c r="AA296" s="1" t="str">
        <f t="shared" si="67"/>
        <v>شهرداريها</v>
      </c>
      <c r="AB296" s="1" t="str">
        <f>"95/09/02"</f>
        <v>95/09/02</v>
      </c>
      <c r="AC296" s="1" t="str">
        <f>"استان اصفهان"</f>
        <v>استان اصفهان</v>
      </c>
      <c r="AD296" s="1" t="str">
        <f>"95/09/07"</f>
        <v>95/09/07</v>
      </c>
      <c r="AE296" s="1" t="str">
        <f t="shared" si="62"/>
        <v>اختتام</v>
      </c>
      <c r="AF296" s="1" t="str">
        <f>""</f>
        <v/>
      </c>
      <c r="AG296" s="1" t="str">
        <f>""</f>
        <v/>
      </c>
      <c r="AH296" s="1" t="str">
        <f>""</f>
        <v/>
      </c>
      <c r="AI296" s="1" t="str">
        <f>""</f>
        <v/>
      </c>
      <c r="AJ296" s="1" t="str">
        <f>""</f>
        <v/>
      </c>
      <c r="AK296" s="1" t="str">
        <f>""</f>
        <v/>
      </c>
    </row>
    <row r="297" spans="1:37" x14ac:dyDescent="0.2">
      <c r="A297" s="1">
        <v>69000</v>
      </c>
      <c r="B297" s="1">
        <v>952000199</v>
      </c>
      <c r="C297" s="1" t="str">
        <f>"تخليه -لرستان -درودكيلومتر15جاده درودازنا-كارخانه آسفالت راه شكاف زاگرس"</f>
        <v>تخليه -لرستان -درودكيلومتر15جاده درودازنا-كارخانه آسفالت راه شكاف زاگرس</v>
      </c>
      <c r="D297" s="1">
        <v>8023</v>
      </c>
      <c r="E297" s="1">
        <v>68720</v>
      </c>
      <c r="F297" s="1">
        <v>95</v>
      </c>
      <c r="G297" s="1">
        <v>280</v>
      </c>
      <c r="H297" s="1" t="str">
        <f>"95/08/16"</f>
        <v>95/08/16</v>
      </c>
      <c r="I297" s="1" t="str">
        <f t="shared" si="55"/>
        <v>كيلوگرم</v>
      </c>
      <c r="J297" s="1" t="str">
        <f t="shared" si="52"/>
        <v>0000000076</v>
      </c>
      <c r="K297" s="1" t="str">
        <f t="shared" si="53"/>
        <v>قير 60/70 - فله</v>
      </c>
      <c r="L297" s="1">
        <v>100</v>
      </c>
      <c r="M297" s="1" t="str">
        <f t="shared" si="56"/>
        <v>مخازن قير اصفهان</v>
      </c>
      <c r="N297" s="1">
        <v>10859</v>
      </c>
      <c r="O297" s="1">
        <v>50032505</v>
      </c>
      <c r="P297" s="1" t="str">
        <f>"  شهرداري زاغه"</f>
        <v xml:space="preserve">  شهرداري زاغه</v>
      </c>
      <c r="Q297" s="1">
        <v>20</v>
      </c>
      <c r="R297" s="1" t="str">
        <f t="shared" si="66"/>
        <v>فروش داخلي - سازمان شهرداري ها و دهياري هاي كشور</v>
      </c>
      <c r="S297" s="1" t="str">
        <f t="shared" si="57"/>
        <v>قرارداد فروش</v>
      </c>
      <c r="T297" s="1" t="str">
        <f t="shared" si="58"/>
        <v>ندارد</v>
      </c>
      <c r="U297" s="1" t="str">
        <f>"اميري علي(2842011)"</f>
        <v>اميري علي(2842011)</v>
      </c>
      <c r="V297" s="1">
        <v>952000199</v>
      </c>
      <c r="W297" s="1">
        <v>952000199</v>
      </c>
      <c r="X297" s="1" t="str">
        <f>"1395443199"</f>
        <v>1395443199</v>
      </c>
      <c r="Y297" s="1" t="str">
        <f>"95/08/16"</f>
        <v>95/08/16</v>
      </c>
      <c r="Z297" s="1" t="str">
        <f>"39490"</f>
        <v>39490</v>
      </c>
      <c r="AA297" s="1" t="str">
        <f t="shared" si="67"/>
        <v>شهرداريها</v>
      </c>
      <c r="AB297" s="1" t="str">
        <f>"95/08/11"</f>
        <v>95/08/11</v>
      </c>
      <c r="AC297" s="1" t="str">
        <f>"لرستان"</f>
        <v>لرستان</v>
      </c>
      <c r="AD297" s="1" t="str">
        <f>"95/08/15"</f>
        <v>95/08/15</v>
      </c>
      <c r="AE297" s="1" t="str">
        <f t="shared" si="62"/>
        <v>اختتام</v>
      </c>
      <c r="AF297" s="1" t="str">
        <f>""</f>
        <v/>
      </c>
      <c r="AG297" s="1" t="str">
        <f>""</f>
        <v/>
      </c>
      <c r="AH297" s="1" t="str">
        <f>""</f>
        <v/>
      </c>
      <c r="AI297" s="1" t="str">
        <f>""</f>
        <v/>
      </c>
      <c r="AJ297" s="1" t="str">
        <f>""</f>
        <v/>
      </c>
      <c r="AK297" s="1" t="str">
        <f>""</f>
        <v/>
      </c>
    </row>
    <row r="298" spans="1:37" x14ac:dyDescent="0.2">
      <c r="A298" s="1">
        <v>113000</v>
      </c>
      <c r="B298" s="1">
        <v>952000249</v>
      </c>
      <c r="C298" s="1" t="str">
        <f>"تخليه - اصفهان- فريدونشهر کارخانه آسفالت شهرداري"</f>
        <v>تخليه - اصفهان- فريدونشهر کارخانه آسفالت شهرداري</v>
      </c>
      <c r="D298" s="1">
        <v>7026</v>
      </c>
      <c r="E298" s="1">
        <v>112060</v>
      </c>
      <c r="F298" s="1">
        <v>95</v>
      </c>
      <c r="G298" s="1">
        <v>940</v>
      </c>
      <c r="H298" s="1" t="str">
        <f>"95/09/07"</f>
        <v>95/09/07</v>
      </c>
      <c r="I298" s="1" t="str">
        <f t="shared" si="55"/>
        <v>كيلوگرم</v>
      </c>
      <c r="J298" s="1" t="str">
        <f t="shared" si="52"/>
        <v>0000000076</v>
      </c>
      <c r="K298" s="1" t="str">
        <f t="shared" si="53"/>
        <v>قير 60/70 - فله</v>
      </c>
      <c r="L298" s="1">
        <v>100</v>
      </c>
      <c r="M298" s="1" t="str">
        <f t="shared" si="56"/>
        <v>مخازن قير اصفهان</v>
      </c>
      <c r="N298" s="1">
        <v>10866</v>
      </c>
      <c r="O298" s="1">
        <v>50032715</v>
      </c>
      <c r="P298" s="1" t="str">
        <f>"  شهرداري بوئين و مياندشت"</f>
        <v xml:space="preserve">  شهرداري بوئين و مياندشت</v>
      </c>
      <c r="Q298" s="1">
        <v>20</v>
      </c>
      <c r="R298" s="1" t="str">
        <f t="shared" si="66"/>
        <v>فروش داخلي - سازمان شهرداري ها و دهياري هاي كشور</v>
      </c>
      <c r="S298" s="1" t="str">
        <f t="shared" si="57"/>
        <v>قرارداد فروش</v>
      </c>
      <c r="T298" s="1" t="str">
        <f t="shared" si="58"/>
        <v>ندارد</v>
      </c>
      <c r="U298" s="1" t="str">
        <f>"سيفي پور گودرز(1019ج89)"</f>
        <v>سيفي پور گودرز(1019ج89)</v>
      </c>
      <c r="V298" s="1">
        <v>952000249</v>
      </c>
      <c r="W298" s="1">
        <v>952000249</v>
      </c>
      <c r="X298" s="1" t="str">
        <f>"1395447617"</f>
        <v>1395447617</v>
      </c>
      <c r="Y298" s="1" t="str">
        <f>"95/09/07"</f>
        <v>95/09/07</v>
      </c>
      <c r="Z298" s="1" t="str">
        <f>"42454"</f>
        <v>42454</v>
      </c>
      <c r="AA298" s="1" t="str">
        <f t="shared" si="67"/>
        <v>شهرداريها</v>
      </c>
      <c r="AB298" s="1" t="str">
        <f>"95/08/26"</f>
        <v>95/08/26</v>
      </c>
      <c r="AC298" s="1" t="str">
        <f>"استان اصفهان"</f>
        <v>استان اصفهان</v>
      </c>
      <c r="AD298" s="1" t="str">
        <f>"95/09/06"</f>
        <v>95/09/06</v>
      </c>
      <c r="AE298" s="1" t="str">
        <f t="shared" si="62"/>
        <v>اختتام</v>
      </c>
      <c r="AF298" s="1" t="str">
        <f>""</f>
        <v/>
      </c>
      <c r="AG298" s="1" t="str">
        <f>""</f>
        <v/>
      </c>
      <c r="AH298" s="1" t="str">
        <f>""</f>
        <v/>
      </c>
      <c r="AI298" s="1" t="str">
        <f>""</f>
        <v/>
      </c>
      <c r="AJ298" s="1" t="str">
        <f>""</f>
        <v/>
      </c>
      <c r="AK298" s="1" t="str">
        <f>""</f>
        <v/>
      </c>
    </row>
    <row r="299" spans="1:37" x14ac:dyDescent="0.2">
      <c r="A299" s="1">
        <v>72000</v>
      </c>
      <c r="B299" s="1">
        <v>952000251</v>
      </c>
      <c r="C299" s="1" t="str">
        <f>"تخليه - اصفهان - کارخانه آسفالت شهرداري  فريدونشهر"</f>
        <v>تخليه - اصفهان - کارخانه آسفالت شهرداري  فريدونشهر</v>
      </c>
      <c r="D299" s="1">
        <v>7026</v>
      </c>
      <c r="E299" s="1">
        <v>71760</v>
      </c>
      <c r="F299" s="1">
        <v>95</v>
      </c>
      <c r="G299" s="1">
        <v>240</v>
      </c>
      <c r="H299" s="1" t="str">
        <f>"95/09/07"</f>
        <v>95/09/07</v>
      </c>
      <c r="I299" s="1" t="str">
        <f t="shared" si="55"/>
        <v>كيلوگرم</v>
      </c>
      <c r="J299" s="1" t="str">
        <f t="shared" si="52"/>
        <v>0000000076</v>
      </c>
      <c r="K299" s="1" t="str">
        <f t="shared" si="53"/>
        <v>قير 60/70 - فله</v>
      </c>
      <c r="L299" s="1">
        <v>100</v>
      </c>
      <c r="M299" s="1" t="str">
        <f t="shared" si="56"/>
        <v>مخازن قير اصفهان</v>
      </c>
      <c r="N299" s="1">
        <v>10817</v>
      </c>
      <c r="O299" s="1">
        <v>50032718</v>
      </c>
      <c r="P299" s="1" t="str">
        <f>"  شهرداري افوس"</f>
        <v xml:space="preserve">  شهرداري افوس</v>
      </c>
      <c r="Q299" s="1">
        <v>20</v>
      </c>
      <c r="R299" s="1" t="str">
        <f t="shared" si="66"/>
        <v>فروش داخلي - سازمان شهرداري ها و دهياري هاي كشور</v>
      </c>
      <c r="S299" s="1" t="str">
        <f t="shared" si="57"/>
        <v>قرارداد فروش</v>
      </c>
      <c r="T299" s="1" t="str">
        <f t="shared" si="58"/>
        <v>ندارد</v>
      </c>
      <c r="U299" s="1" t="str">
        <f>"سيفي پور گودرز(1019ج89)"</f>
        <v>سيفي پور گودرز(1019ج89)</v>
      </c>
      <c r="V299" s="1">
        <v>952000251</v>
      </c>
      <c r="W299" s="1">
        <v>952000251</v>
      </c>
      <c r="X299" s="1" t="str">
        <f>"1395447617"</f>
        <v>1395447617</v>
      </c>
      <c r="Y299" s="1" t="str">
        <f>"95/09/07"</f>
        <v>95/09/07</v>
      </c>
      <c r="Z299" s="1" t="str">
        <f>"42451"</f>
        <v>42451</v>
      </c>
      <c r="AA299" s="1" t="str">
        <f t="shared" si="67"/>
        <v>شهرداريها</v>
      </c>
      <c r="AB299" s="1" t="str">
        <f>"95/08/26"</f>
        <v>95/08/26</v>
      </c>
      <c r="AC299" s="1" t="str">
        <f>"استان اصفهان"</f>
        <v>استان اصفهان</v>
      </c>
      <c r="AD299" s="1" t="str">
        <f>"95/09/06"</f>
        <v>95/09/06</v>
      </c>
      <c r="AE299" s="1" t="str">
        <f t="shared" si="62"/>
        <v>اختتام</v>
      </c>
      <c r="AF299" s="1" t="str">
        <f>""</f>
        <v/>
      </c>
      <c r="AG299" s="1" t="str">
        <f>""</f>
        <v/>
      </c>
      <c r="AH299" s="1" t="str">
        <f>""</f>
        <v/>
      </c>
      <c r="AI299" s="1" t="str">
        <f>""</f>
        <v/>
      </c>
      <c r="AJ299" s="1" t="str">
        <f>""</f>
        <v/>
      </c>
      <c r="AK299" s="1" t="str">
        <f>""</f>
        <v/>
      </c>
    </row>
    <row r="300" spans="1:37" x14ac:dyDescent="0.2">
      <c r="A300" s="1">
        <v>118000</v>
      </c>
      <c r="B300" s="1">
        <v>956200339</v>
      </c>
      <c r="C300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300" s="1">
        <v>8848</v>
      </c>
      <c r="E300" s="1">
        <v>118000</v>
      </c>
      <c r="F300" s="1">
        <v>95</v>
      </c>
      <c r="G300" s="1">
        <v>0</v>
      </c>
      <c r="H300" s="1" t="str">
        <f>"95/12/22"</f>
        <v>95/12/22</v>
      </c>
      <c r="I300" s="1" t="str">
        <f t="shared" si="55"/>
        <v>كيلوگرم</v>
      </c>
      <c r="J300" s="1" t="str">
        <f t="shared" si="52"/>
        <v>0000000076</v>
      </c>
      <c r="K300" s="1" t="str">
        <f t="shared" si="53"/>
        <v>قير 60/70 - فله</v>
      </c>
      <c r="L300" s="1">
        <v>100</v>
      </c>
      <c r="M300" s="1" t="str">
        <f t="shared" si="56"/>
        <v>مخازن قير اصفهان</v>
      </c>
      <c r="N300" s="1">
        <v>10828</v>
      </c>
      <c r="O300" s="1">
        <v>50034119</v>
      </c>
      <c r="P300" s="1" t="str">
        <f>"  زرين گستربيستون"</f>
        <v xml:space="preserve">  زرين گستربيستون</v>
      </c>
      <c r="Q300" s="1">
        <v>62</v>
      </c>
      <c r="R300" s="1" t="str">
        <f>"فروش داخلي - سازمان بنيادمسكن انقلاب اسلامي"</f>
        <v>فروش داخلي - سازمان بنيادمسكن انقلاب اسلامي</v>
      </c>
      <c r="S300" s="1" t="str">
        <f t="shared" si="57"/>
        <v>قرارداد فروش</v>
      </c>
      <c r="T300" s="1" t="str">
        <f t="shared" si="58"/>
        <v>ندارد</v>
      </c>
      <c r="U300" s="1" t="str">
        <f>"پيرالي مجيد(1045ج 94)"</f>
        <v>پيرالي مجيد(1045ج 94)</v>
      </c>
      <c r="V300" s="1">
        <v>956200339</v>
      </c>
      <c r="W300" s="1">
        <v>956200339</v>
      </c>
      <c r="X300" s="1" t="str">
        <f>"1395470439"</f>
        <v>1395470439</v>
      </c>
      <c r="Y300" s="1" t="str">
        <f>"95/12/22"</f>
        <v>95/12/22</v>
      </c>
      <c r="Z300" s="1" t="str">
        <f>"56763/د"</f>
        <v>56763/د</v>
      </c>
      <c r="AA300" s="1" t="str">
        <f>"بنيادمسكن انقلاب اسلامي"</f>
        <v>بنيادمسكن انقلاب اسلامي</v>
      </c>
      <c r="AB300" s="1" t="str">
        <f>"95/12/21"</f>
        <v>95/12/21</v>
      </c>
      <c r="AC300" s="1" t="str">
        <f>"استان كرمانشاه"</f>
        <v>استان كرمانشاه</v>
      </c>
      <c r="AD300" s="1" t="str">
        <f>"95/12/22"</f>
        <v>95/12/22</v>
      </c>
      <c r="AE300" s="1" t="str">
        <f t="shared" si="62"/>
        <v>اختتام</v>
      </c>
      <c r="AF300" s="1" t="str">
        <f>""</f>
        <v/>
      </c>
      <c r="AG300" s="1" t="str">
        <f>""</f>
        <v/>
      </c>
      <c r="AH300" s="1" t="str">
        <f>""</f>
        <v/>
      </c>
      <c r="AI300" s="1" t="str">
        <f>""</f>
        <v/>
      </c>
      <c r="AJ300" s="1" t="str">
        <f>""</f>
        <v/>
      </c>
      <c r="AK300" s="1" t="str">
        <f>""</f>
        <v/>
      </c>
    </row>
    <row r="301" spans="1:37" x14ac:dyDescent="0.2">
      <c r="A301" s="1">
        <v>112000</v>
      </c>
      <c r="B301" s="1">
        <v>956200341</v>
      </c>
      <c r="C301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301" s="1">
        <v>8848</v>
      </c>
      <c r="E301" s="1">
        <v>112000</v>
      </c>
      <c r="F301" s="1">
        <v>95</v>
      </c>
      <c r="G301" s="1">
        <v>0</v>
      </c>
      <c r="H301" s="1" t="str">
        <f>"95/12/22"</f>
        <v>95/12/22</v>
      </c>
      <c r="I301" s="1" t="str">
        <f t="shared" si="55"/>
        <v>كيلوگرم</v>
      </c>
      <c r="J301" s="1" t="str">
        <f t="shared" si="52"/>
        <v>0000000076</v>
      </c>
      <c r="K301" s="1" t="str">
        <f t="shared" si="53"/>
        <v>قير 60/70 - فله</v>
      </c>
      <c r="L301" s="1">
        <v>100</v>
      </c>
      <c r="M301" s="1" t="str">
        <f t="shared" si="56"/>
        <v>مخازن قير اصفهان</v>
      </c>
      <c r="N301" s="1">
        <v>10828</v>
      </c>
      <c r="O301" s="1">
        <v>50034122</v>
      </c>
      <c r="P301" s="1" t="str">
        <f>"  زرين گستربيستون"</f>
        <v xml:space="preserve">  زرين گستربيستون</v>
      </c>
      <c r="Q301" s="1">
        <v>62</v>
      </c>
      <c r="R301" s="1" t="str">
        <f>"فروش داخلي - سازمان بنيادمسكن انقلاب اسلامي"</f>
        <v>فروش داخلي - سازمان بنيادمسكن انقلاب اسلامي</v>
      </c>
      <c r="S301" s="1" t="str">
        <f t="shared" si="57"/>
        <v>قرارداد فروش</v>
      </c>
      <c r="T301" s="1" t="str">
        <f t="shared" si="58"/>
        <v>ندارد</v>
      </c>
      <c r="U301" s="1" t="str">
        <f>"پيرالي مجيد(1045ج 94)"</f>
        <v>پيرالي مجيد(1045ج 94)</v>
      </c>
      <c r="V301" s="1">
        <v>956200341</v>
      </c>
      <c r="W301" s="1">
        <v>956200341</v>
      </c>
      <c r="X301" s="1" t="str">
        <f>"1395470439"</f>
        <v>1395470439</v>
      </c>
      <c r="Y301" s="1" t="str">
        <f>"95/12/22"</f>
        <v>95/12/22</v>
      </c>
      <c r="Z301" s="1" t="str">
        <f>"56774/د"</f>
        <v>56774/د</v>
      </c>
      <c r="AA301" s="1" t="str">
        <f>"بنيادمسكن انقلاب اسلامي"</f>
        <v>بنيادمسكن انقلاب اسلامي</v>
      </c>
      <c r="AB301" s="1" t="str">
        <f>"95/12/21"</f>
        <v>95/12/21</v>
      </c>
      <c r="AC301" s="1" t="str">
        <f>"استان كرمانشاه"</f>
        <v>استان كرمانشاه</v>
      </c>
      <c r="AD301" s="1" t="str">
        <f>"95/12/22"</f>
        <v>95/12/22</v>
      </c>
      <c r="AE301" s="1" t="str">
        <f t="shared" si="62"/>
        <v>اختتام</v>
      </c>
      <c r="AF301" s="1" t="str">
        <f>""</f>
        <v/>
      </c>
      <c r="AG301" s="1" t="str">
        <f>""</f>
        <v/>
      </c>
      <c r="AH301" s="1" t="str">
        <f>""</f>
        <v/>
      </c>
      <c r="AI301" s="1" t="str">
        <f>""</f>
        <v/>
      </c>
      <c r="AJ301" s="1" t="str">
        <f>""</f>
        <v/>
      </c>
      <c r="AK301" s="1" t="str">
        <f>""</f>
        <v/>
      </c>
    </row>
    <row r="302" spans="1:37" x14ac:dyDescent="0.2">
      <c r="A302" s="1">
        <v>67000</v>
      </c>
      <c r="B302" s="1">
        <v>956200374</v>
      </c>
      <c r="C302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302" s="1">
        <v>8848</v>
      </c>
      <c r="E302" s="1">
        <v>67000</v>
      </c>
      <c r="F302" s="1">
        <v>95</v>
      </c>
      <c r="G302" s="1">
        <v>0</v>
      </c>
      <c r="H302" s="1" t="str">
        <f>"95/12/23"</f>
        <v>95/12/23</v>
      </c>
      <c r="I302" s="1" t="str">
        <f t="shared" si="55"/>
        <v>كيلوگرم</v>
      </c>
      <c r="J302" s="1" t="str">
        <f t="shared" si="52"/>
        <v>0000000076</v>
      </c>
      <c r="K302" s="1" t="str">
        <f t="shared" si="53"/>
        <v>قير 60/70 - فله</v>
      </c>
      <c r="L302" s="1">
        <v>100</v>
      </c>
      <c r="M302" s="1" t="str">
        <f t="shared" si="56"/>
        <v>مخازن قير اصفهان</v>
      </c>
      <c r="N302" s="1">
        <v>10828</v>
      </c>
      <c r="O302" s="1">
        <v>50034172</v>
      </c>
      <c r="P302" s="1" t="str">
        <f>"  زرين گستربيستون"</f>
        <v xml:space="preserve">  زرين گستربيستون</v>
      </c>
      <c r="Q302" s="1">
        <v>62</v>
      </c>
      <c r="R302" s="1" t="str">
        <f>"فروش داخلي - سازمان بنيادمسكن انقلاب اسلامي"</f>
        <v>فروش داخلي - سازمان بنيادمسكن انقلاب اسلامي</v>
      </c>
      <c r="S302" s="1" t="str">
        <f t="shared" si="57"/>
        <v>قرارداد فروش</v>
      </c>
      <c r="T302" s="1" t="str">
        <f t="shared" si="58"/>
        <v>ندارد</v>
      </c>
      <c r="U302" s="1" t="str">
        <f>"پيرالي مجيد(1045ج 94)"</f>
        <v>پيرالي مجيد(1045ج 94)</v>
      </c>
      <c r="V302" s="1">
        <v>956200374</v>
      </c>
      <c r="W302" s="1">
        <v>956200374</v>
      </c>
      <c r="X302" s="1" t="str">
        <f>"1395470885"</f>
        <v>1395470885</v>
      </c>
      <c r="Y302" s="1" t="str">
        <f>"95/12/23"</f>
        <v>95/12/23</v>
      </c>
      <c r="Z302" s="1" t="str">
        <f>"56999/د"</f>
        <v>56999/د</v>
      </c>
      <c r="AA302" s="1" t="str">
        <f>"بنيادمسكن انقلاب اسلامي"</f>
        <v>بنيادمسكن انقلاب اسلامي</v>
      </c>
      <c r="AB302" s="1" t="str">
        <f>"95/12/22"</f>
        <v>95/12/22</v>
      </c>
      <c r="AC302" s="1" t="str">
        <f>"استان كرمانشاه"</f>
        <v>استان كرمانشاه</v>
      </c>
      <c r="AD302" s="1" t="str">
        <f>"95/12/23"</f>
        <v>95/12/23</v>
      </c>
      <c r="AE302" s="1" t="str">
        <f t="shared" si="62"/>
        <v>اختتام</v>
      </c>
      <c r="AF302" s="1" t="str">
        <f>""</f>
        <v/>
      </c>
      <c r="AG302" s="1" t="str">
        <f>""</f>
        <v/>
      </c>
      <c r="AH302" s="1" t="str">
        <f>""</f>
        <v/>
      </c>
      <c r="AI302" s="1" t="str">
        <f>""</f>
        <v/>
      </c>
      <c r="AJ302" s="1" t="str">
        <f>""</f>
        <v/>
      </c>
      <c r="AK302" s="1" t="str">
        <f>""</f>
        <v/>
      </c>
    </row>
    <row r="303" spans="1:37" x14ac:dyDescent="0.2">
      <c r="A303" s="1">
        <v>74000</v>
      </c>
      <c r="B303" s="1">
        <v>952000087</v>
      </c>
      <c r="C303" s="1" t="str">
        <f>"تخليه - اصفهان-پليس راه شاهين شهر -کيلومتر 15 جاده علويچه -کارخانه آسفالت مزروعي"</f>
        <v>تخليه - اصفهان-پليس راه شاهين شهر -کيلومتر 15 جاده علويچه -کارخانه آسفالت مزروعي</v>
      </c>
      <c r="D303" s="1">
        <v>6876</v>
      </c>
      <c r="E303" s="1">
        <v>73420</v>
      </c>
      <c r="F303" s="1">
        <v>95</v>
      </c>
      <c r="G303" s="1">
        <v>580</v>
      </c>
      <c r="H303" s="1" t="str">
        <f>"95/06/23"</f>
        <v>95/06/23</v>
      </c>
      <c r="I303" s="1" t="str">
        <f t="shared" si="55"/>
        <v>كيلوگرم</v>
      </c>
      <c r="J303" s="1" t="str">
        <f t="shared" si="52"/>
        <v>0000000076</v>
      </c>
      <c r="K303" s="1" t="str">
        <f t="shared" si="53"/>
        <v>قير 60/70 - فله</v>
      </c>
      <c r="L303" s="1">
        <v>100</v>
      </c>
      <c r="M303" s="1" t="str">
        <f t="shared" si="56"/>
        <v>مخازن قير اصفهان</v>
      </c>
      <c r="N303" s="1">
        <v>10065</v>
      </c>
      <c r="O303" s="1">
        <v>50031852</v>
      </c>
      <c r="P303" s="1" t="str">
        <f>"  شهرداري عسگران"</f>
        <v xml:space="preserve">  شهرداري عسگران</v>
      </c>
      <c r="Q303" s="1">
        <v>20</v>
      </c>
      <c r="R303" s="1" t="str">
        <f t="shared" ref="R303:R309" si="68">"فروش داخلي - سازمان شهرداري ها و دهياري هاي كشور"</f>
        <v>فروش داخلي - سازمان شهرداري ها و دهياري هاي كشور</v>
      </c>
      <c r="S303" s="1" t="str">
        <f t="shared" si="57"/>
        <v>قرارداد فروش</v>
      </c>
      <c r="T303" s="1" t="str">
        <f t="shared" si="58"/>
        <v>ندارد</v>
      </c>
      <c r="U303" s="1" t="str">
        <f>"معماريان سعيد(1004ج89)"</f>
        <v>معماريان سعيد(1004ج89)</v>
      </c>
      <c r="V303" s="1">
        <v>952000087</v>
      </c>
      <c r="W303" s="1">
        <v>952000087</v>
      </c>
      <c r="X303" s="1" t="str">
        <f>"1395430748"</f>
        <v>1395430748</v>
      </c>
      <c r="Y303" s="1" t="str">
        <f>"95/06/23"</f>
        <v>95/06/23</v>
      </c>
      <c r="Z303" s="1" t="str">
        <f>"27762"</f>
        <v>27762</v>
      </c>
      <c r="AA303" s="1" t="str">
        <f t="shared" ref="AA303:AA309" si="69">"شهرداريها"</f>
        <v>شهرداريها</v>
      </c>
      <c r="AB303" s="1" t="str">
        <f>"95/06/10"</f>
        <v>95/06/10</v>
      </c>
      <c r="AC303" s="1" t="str">
        <f>"استان اصفهان"</f>
        <v>استان اصفهان</v>
      </c>
      <c r="AD303" s="1" t="str">
        <f>"95/06/21"</f>
        <v>95/06/21</v>
      </c>
      <c r="AE303" s="1" t="str">
        <f t="shared" si="62"/>
        <v>اختتام</v>
      </c>
      <c r="AF303" s="1" t="str">
        <f>""</f>
        <v/>
      </c>
      <c r="AG303" s="1" t="str">
        <f>""</f>
        <v/>
      </c>
      <c r="AH303" s="1" t="str">
        <f>""</f>
        <v/>
      </c>
      <c r="AI303" s="1" t="str">
        <f>""</f>
        <v/>
      </c>
      <c r="AJ303" s="1" t="str">
        <f>""</f>
        <v/>
      </c>
      <c r="AK303" s="1" t="str">
        <f>""</f>
        <v/>
      </c>
    </row>
    <row r="304" spans="1:37" x14ac:dyDescent="0.2">
      <c r="A304" s="1">
        <v>79000</v>
      </c>
      <c r="B304" s="1">
        <v>952000180</v>
      </c>
      <c r="C304" s="1" t="str">
        <f>"تخليه كهگيلويه وبويراحمد-باشت پل بريم تعاوني 1853"</f>
        <v>تخليه كهگيلويه وبويراحمد-باشت پل بريم تعاوني 1853</v>
      </c>
      <c r="D304" s="1">
        <v>8023</v>
      </c>
      <c r="E304" s="1">
        <v>78800</v>
      </c>
      <c r="F304" s="1">
        <v>95</v>
      </c>
      <c r="G304" s="1">
        <v>200</v>
      </c>
      <c r="H304" s="1" t="str">
        <f>"95/08/10"</f>
        <v>95/08/10</v>
      </c>
      <c r="I304" s="1" t="str">
        <f t="shared" si="55"/>
        <v>كيلوگرم</v>
      </c>
      <c r="J304" s="1" t="str">
        <f t="shared" si="52"/>
        <v>0000000076</v>
      </c>
      <c r="K304" s="1" t="str">
        <f t="shared" si="53"/>
        <v>قير 60/70 - فله</v>
      </c>
      <c r="L304" s="1">
        <v>100</v>
      </c>
      <c r="M304" s="1" t="str">
        <f t="shared" si="56"/>
        <v>مخازن قير اصفهان</v>
      </c>
      <c r="N304" s="1">
        <v>10071</v>
      </c>
      <c r="O304" s="1">
        <v>50032448</v>
      </c>
      <c r="P304" s="1" t="str">
        <f>"  شهرداري باشت"</f>
        <v xml:space="preserve">  شهرداري باشت</v>
      </c>
      <c r="Q304" s="1">
        <v>20</v>
      </c>
      <c r="R304" s="1" t="str">
        <f t="shared" si="68"/>
        <v>فروش داخلي - سازمان شهرداري ها و دهياري هاي كشور</v>
      </c>
      <c r="S304" s="1" t="str">
        <f t="shared" si="57"/>
        <v>قرارداد فروش</v>
      </c>
      <c r="T304" s="1" t="str">
        <f t="shared" si="58"/>
        <v>ندارد</v>
      </c>
      <c r="U304" s="1" t="str">
        <f>"دشت بشي پودنگ وبرادران رضا(4844014)"</f>
        <v>دشت بشي پودنگ وبرادران رضا(4844014)</v>
      </c>
      <c r="V304" s="1">
        <v>952000180</v>
      </c>
      <c r="W304" s="1">
        <v>952000180</v>
      </c>
      <c r="X304" s="1" t="str">
        <f>"1395441430"</f>
        <v>1395441430</v>
      </c>
      <c r="Y304" s="1" t="str">
        <f>"95/08/10"</f>
        <v>95/08/10</v>
      </c>
      <c r="Z304" s="1" t="str">
        <f>"36850"</f>
        <v>36850</v>
      </c>
      <c r="AA304" s="1" t="str">
        <f t="shared" si="69"/>
        <v>شهرداريها</v>
      </c>
      <c r="AB304" s="1" t="str">
        <f>"95/08/01"</f>
        <v>95/08/01</v>
      </c>
      <c r="AC304" s="1" t="str">
        <f>"كهكيلويه و بوير احمد"</f>
        <v>كهكيلويه و بوير احمد</v>
      </c>
      <c r="AD304" s="1" t="str">
        <f>"95/08/09"</f>
        <v>95/08/09</v>
      </c>
      <c r="AE304" s="1" t="str">
        <f t="shared" si="62"/>
        <v>اختتام</v>
      </c>
      <c r="AF304" s="1" t="str">
        <f>""</f>
        <v/>
      </c>
      <c r="AG304" s="1" t="str">
        <f>""</f>
        <v/>
      </c>
      <c r="AH304" s="1" t="str">
        <f>""</f>
        <v/>
      </c>
      <c r="AI304" s="1" t="str">
        <f>""</f>
        <v/>
      </c>
      <c r="AJ304" s="1" t="str">
        <f>""</f>
        <v/>
      </c>
      <c r="AK304" s="1" t="str">
        <f>""</f>
        <v/>
      </c>
    </row>
    <row r="305" spans="1:37" x14ac:dyDescent="0.2">
      <c r="A305" s="1">
        <v>73000</v>
      </c>
      <c r="B305" s="1">
        <v>952000241</v>
      </c>
      <c r="C305" s="1" t="str">
        <f>"تخليه اصفهان سه راهي محمدآبادكارخانه آسفالت جرقويه"</f>
        <v>تخليه اصفهان سه راهي محمدآبادكارخانه آسفالت جرقويه</v>
      </c>
      <c r="D305" s="1">
        <v>7026</v>
      </c>
      <c r="E305" s="1">
        <v>71540</v>
      </c>
      <c r="F305" s="1">
        <v>95</v>
      </c>
      <c r="G305" s="1">
        <v>1460</v>
      </c>
      <c r="H305" s="1" t="str">
        <f>"95/09/07"</f>
        <v>95/09/07</v>
      </c>
      <c r="I305" s="1" t="str">
        <f t="shared" si="55"/>
        <v>كيلوگرم</v>
      </c>
      <c r="J305" s="1" t="str">
        <f t="shared" si="52"/>
        <v>0000000076</v>
      </c>
      <c r="K305" s="1" t="str">
        <f t="shared" si="53"/>
        <v>قير 60/70 - فله</v>
      </c>
      <c r="L305" s="1">
        <v>100</v>
      </c>
      <c r="M305" s="1" t="str">
        <f t="shared" si="56"/>
        <v>مخازن قير اصفهان</v>
      </c>
      <c r="N305" s="1">
        <v>10073</v>
      </c>
      <c r="O305" s="1">
        <v>50032703</v>
      </c>
      <c r="P305" s="1" t="str">
        <f>"  شهرداري محمدآباد"</f>
        <v xml:space="preserve">  شهرداري محمدآباد</v>
      </c>
      <c r="Q305" s="1">
        <v>20</v>
      </c>
      <c r="R305" s="1" t="str">
        <f t="shared" si="68"/>
        <v>فروش داخلي - سازمان شهرداري ها و دهياري هاي كشور</v>
      </c>
      <c r="S305" s="1" t="str">
        <f t="shared" si="57"/>
        <v>قرارداد فروش</v>
      </c>
      <c r="T305" s="1" t="str">
        <f t="shared" si="58"/>
        <v>ندارد</v>
      </c>
      <c r="U305" s="1" t="str">
        <f>"علي عابدي ابوالقاسم(1003ج89)"</f>
        <v>علي عابدي ابوالقاسم(1003ج89)</v>
      </c>
      <c r="V305" s="1">
        <v>952000241</v>
      </c>
      <c r="W305" s="1">
        <v>952000241</v>
      </c>
      <c r="X305" s="1" t="str">
        <f>"1395447617"</f>
        <v>1395447617</v>
      </c>
      <c r="Y305" s="1" t="str">
        <f>"95/09/07"</f>
        <v>95/09/07</v>
      </c>
      <c r="Z305" s="1" t="str">
        <f>"41424"</f>
        <v>41424</v>
      </c>
      <c r="AA305" s="1" t="str">
        <f t="shared" si="69"/>
        <v>شهرداريها</v>
      </c>
      <c r="AB305" s="1" t="str">
        <f>"95/08/22"</f>
        <v>95/08/22</v>
      </c>
      <c r="AC305" s="1" t="str">
        <f>"استان اصفهان"</f>
        <v>استان اصفهان</v>
      </c>
      <c r="AD305" s="1" t="str">
        <f>"95/09/06"</f>
        <v>95/09/06</v>
      </c>
      <c r="AE305" s="1" t="str">
        <f t="shared" si="62"/>
        <v>اختتام</v>
      </c>
      <c r="AF305" s="1" t="str">
        <f>""</f>
        <v/>
      </c>
      <c r="AG305" s="1" t="str">
        <f>""</f>
        <v/>
      </c>
      <c r="AH305" s="1" t="str">
        <f>""</f>
        <v/>
      </c>
      <c r="AI305" s="1" t="str">
        <f>""</f>
        <v/>
      </c>
      <c r="AJ305" s="1" t="str">
        <f>""</f>
        <v/>
      </c>
      <c r="AK305" s="1" t="str">
        <f>""</f>
        <v/>
      </c>
    </row>
    <row r="306" spans="1:37" x14ac:dyDescent="0.2">
      <c r="A306" s="1">
        <v>71000</v>
      </c>
      <c r="B306" s="1">
        <v>952000006</v>
      </c>
      <c r="C306" s="1" t="str">
        <f>"تخليه -چهارمحال بختياري -شهرستان كوهرنگ بخش بازفت سنگ شكن جنب پل شرمك كارخانه آسفالت پارساكوشان زاگرس"</f>
        <v>تخليه -چهارمحال بختياري -شهرستان كوهرنگ بخش بازفت سنگ شكن جنب پل شرمك كارخانه آسفالت پارساكوشان زاگرس</v>
      </c>
      <c r="D306" s="1">
        <v>6426</v>
      </c>
      <c r="E306" s="1">
        <v>68360</v>
      </c>
      <c r="F306" s="1">
        <v>95</v>
      </c>
      <c r="G306" s="1">
        <v>2640</v>
      </c>
      <c r="H306" s="1" t="str">
        <f>"95/05/25"</f>
        <v>95/05/25</v>
      </c>
      <c r="I306" s="1" t="str">
        <f t="shared" si="55"/>
        <v>كيلوگرم</v>
      </c>
      <c r="J306" s="1" t="str">
        <f t="shared" si="52"/>
        <v>0000000076</v>
      </c>
      <c r="K306" s="1" t="str">
        <f t="shared" si="53"/>
        <v>قير 60/70 - فله</v>
      </c>
      <c r="L306" s="1">
        <v>100</v>
      </c>
      <c r="M306" s="1" t="str">
        <f t="shared" si="56"/>
        <v>مخازن قير اصفهان</v>
      </c>
      <c r="N306" s="1">
        <v>10872</v>
      </c>
      <c r="O306" s="1">
        <v>50031540</v>
      </c>
      <c r="P306" s="1" t="str">
        <f>"  شهرداري بازفت"</f>
        <v xml:space="preserve">  شهرداري بازفت</v>
      </c>
      <c r="Q306" s="1">
        <v>20</v>
      </c>
      <c r="R306" s="1" t="str">
        <f t="shared" si="68"/>
        <v>فروش داخلي - سازمان شهرداري ها و دهياري هاي كشور</v>
      </c>
      <c r="S306" s="1" t="str">
        <f t="shared" si="57"/>
        <v>قرارداد فروش</v>
      </c>
      <c r="T306" s="1" t="str">
        <f t="shared" si="58"/>
        <v>ندارد</v>
      </c>
      <c r="U306" s="1" t="str">
        <f>"قره باغي مجيد(1871065)"</f>
        <v>قره باغي مجيد(1871065)</v>
      </c>
      <c r="V306" s="1">
        <v>952000006</v>
      </c>
      <c r="W306" s="1">
        <v>952000006</v>
      </c>
      <c r="X306" s="1" t="str">
        <f>"1395423680"</f>
        <v>1395423680</v>
      </c>
      <c r="Y306" s="1" t="str">
        <f>"95/05/24"</f>
        <v>95/05/24</v>
      </c>
      <c r="Z306" s="1" t="str">
        <f>"18397"</f>
        <v>18397</v>
      </c>
      <c r="AA306" s="1" t="str">
        <f t="shared" si="69"/>
        <v>شهرداريها</v>
      </c>
      <c r="AB306" s="1" t="str">
        <f>"95/04/30"</f>
        <v>95/04/30</v>
      </c>
      <c r="AC306" s="1" t="str">
        <f>"استان چهارمحال بختياري"</f>
        <v>استان چهارمحال بختياري</v>
      </c>
      <c r="AD306" s="1" t="str">
        <f>"95/05/24"</f>
        <v>95/05/24</v>
      </c>
      <c r="AE306" s="1" t="str">
        <f t="shared" si="62"/>
        <v>اختتام</v>
      </c>
      <c r="AF306" s="1" t="str">
        <f>""</f>
        <v/>
      </c>
      <c r="AG306" s="1" t="str">
        <f>""</f>
        <v/>
      </c>
      <c r="AH306" s="1" t="str">
        <f>""</f>
        <v/>
      </c>
      <c r="AI306" s="1" t="str">
        <f>""</f>
        <v/>
      </c>
      <c r="AJ306" s="1" t="str">
        <f>""</f>
        <v/>
      </c>
      <c r="AK306" s="1" t="str">
        <f>""</f>
        <v/>
      </c>
    </row>
    <row r="307" spans="1:37" x14ac:dyDescent="0.2">
      <c r="A307" s="1">
        <v>70000</v>
      </c>
      <c r="B307" s="1">
        <v>952000303</v>
      </c>
      <c r="C307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307" s="1">
        <v>7026</v>
      </c>
      <c r="E307" s="1">
        <v>69920</v>
      </c>
      <c r="F307" s="1">
        <v>95</v>
      </c>
      <c r="G307" s="1">
        <v>80</v>
      </c>
      <c r="H307" s="1" t="str">
        <f>"95/09/11"</f>
        <v>95/09/11</v>
      </c>
      <c r="I307" s="1" t="str">
        <f t="shared" si="55"/>
        <v>كيلوگرم</v>
      </c>
      <c r="J307" s="1" t="str">
        <f t="shared" si="52"/>
        <v>0000000076</v>
      </c>
      <c r="K307" s="1" t="str">
        <f t="shared" si="53"/>
        <v>قير 60/70 - فله</v>
      </c>
      <c r="L307" s="1">
        <v>100</v>
      </c>
      <c r="M307" s="1" t="str">
        <f t="shared" si="56"/>
        <v>مخازن قير اصفهان</v>
      </c>
      <c r="N307" s="1">
        <v>10122</v>
      </c>
      <c r="O307" s="1">
        <v>50032787</v>
      </c>
      <c r="P307" s="1" t="str">
        <f>"  شهرداري فرخي"</f>
        <v xml:space="preserve">  شهرداري فرخي</v>
      </c>
      <c r="Q307" s="1">
        <v>20</v>
      </c>
      <c r="R307" s="1" t="str">
        <f t="shared" si="68"/>
        <v>فروش داخلي - سازمان شهرداري ها و دهياري هاي كشور</v>
      </c>
      <c r="S307" s="1" t="str">
        <f t="shared" si="57"/>
        <v>قرارداد فروش</v>
      </c>
      <c r="T307" s="1" t="str">
        <f t="shared" si="58"/>
        <v>ندارد</v>
      </c>
      <c r="U307" s="1" t="str">
        <f>"غلام نجفي سيامك‌‌‌‌‌‌(1881082)"</f>
        <v>غلام نجفي سيامك‌‌‌‌‌‌(1881082)</v>
      </c>
      <c r="V307" s="1">
        <v>952000303</v>
      </c>
      <c r="W307" s="1">
        <v>952000303</v>
      </c>
      <c r="X307" s="1" t="str">
        <f>"1395447798"</f>
        <v>1395447798</v>
      </c>
      <c r="Y307" s="1" t="str">
        <f>"95/09/09"</f>
        <v>95/09/09</v>
      </c>
      <c r="Z307" s="1" t="str">
        <f>"43376"</f>
        <v>43376</v>
      </c>
      <c r="AA307" s="1" t="str">
        <f t="shared" si="69"/>
        <v>شهرداريها</v>
      </c>
      <c r="AB307" s="1" t="str">
        <f>"95/09/02"</f>
        <v>95/09/02</v>
      </c>
      <c r="AC307" s="1" t="str">
        <f>"استان اصفهان"</f>
        <v>استان اصفهان</v>
      </c>
      <c r="AD307" s="1" t="str">
        <f>"95/09/07"</f>
        <v>95/09/07</v>
      </c>
      <c r="AE307" s="1" t="str">
        <f t="shared" si="62"/>
        <v>اختتام</v>
      </c>
      <c r="AF307" s="1" t="str">
        <f>""</f>
        <v/>
      </c>
      <c r="AG307" s="1" t="str">
        <f>""</f>
        <v/>
      </c>
      <c r="AH307" s="1" t="str">
        <f>""</f>
        <v/>
      </c>
      <c r="AI307" s="1" t="str">
        <f>""</f>
        <v/>
      </c>
      <c r="AJ307" s="1" t="str">
        <f>""</f>
        <v/>
      </c>
      <c r="AK307" s="1" t="str">
        <f>""</f>
        <v/>
      </c>
    </row>
    <row r="308" spans="1:37" x14ac:dyDescent="0.2">
      <c r="A308" s="1">
        <v>70000</v>
      </c>
      <c r="B308" s="1">
        <v>952000173</v>
      </c>
      <c r="C308" s="1" t="str">
        <f>"تخليه: كهگيلويه و بويراحمد- شهرستان كهگيلويه- شهرداري قلعه رئيسي"</f>
        <v>تخليه: كهگيلويه و بويراحمد- شهرستان كهگيلويه- شهرداري قلعه رئيسي</v>
      </c>
      <c r="D308" s="1">
        <v>8023</v>
      </c>
      <c r="E308" s="1">
        <v>68940</v>
      </c>
      <c r="F308" s="1">
        <v>95</v>
      </c>
      <c r="G308" s="1">
        <v>1060</v>
      </c>
      <c r="H308" s="1" t="str">
        <f>"95/08/10"</f>
        <v>95/08/10</v>
      </c>
      <c r="I308" s="1" t="str">
        <f t="shared" si="55"/>
        <v>كيلوگرم</v>
      </c>
      <c r="J308" s="1" t="str">
        <f t="shared" ref="J308:J371" si="70">"0000000076"</f>
        <v>0000000076</v>
      </c>
      <c r="K308" s="1" t="str">
        <f t="shared" ref="K308:K371" si="71">"قير 60/70 - فله"</f>
        <v>قير 60/70 - فله</v>
      </c>
      <c r="L308" s="1">
        <v>100</v>
      </c>
      <c r="M308" s="1" t="str">
        <f t="shared" si="56"/>
        <v>مخازن قير اصفهان</v>
      </c>
      <c r="N308" s="1">
        <v>10882</v>
      </c>
      <c r="O308" s="1">
        <v>50032820</v>
      </c>
      <c r="P308" s="1" t="str">
        <f>"  شهرداري قلعه رئيسي"</f>
        <v xml:space="preserve">  شهرداري قلعه رئيسي</v>
      </c>
      <c r="Q308" s="1">
        <v>20</v>
      </c>
      <c r="R308" s="1" t="str">
        <f t="shared" si="68"/>
        <v>فروش داخلي - سازمان شهرداري ها و دهياري هاي كشور</v>
      </c>
      <c r="S308" s="1" t="str">
        <f t="shared" si="57"/>
        <v>قرارداد فروش</v>
      </c>
      <c r="T308" s="1" t="str">
        <f t="shared" si="58"/>
        <v>ندارد</v>
      </c>
      <c r="U308" s="1" t="str">
        <f>"دشت بشي پودنگ وبرادران رضا(4844014)"</f>
        <v>دشت بشي پودنگ وبرادران رضا(4844014)</v>
      </c>
      <c r="V308" s="1">
        <v>952000173</v>
      </c>
      <c r="W308" s="1">
        <v>952000173</v>
      </c>
      <c r="X308" s="1" t="str">
        <f>"1395441430"</f>
        <v>1395441430</v>
      </c>
      <c r="Y308" s="1" t="str">
        <f>"95/08/10"</f>
        <v>95/08/10</v>
      </c>
      <c r="Z308" s="1" t="str">
        <f>"35409"</f>
        <v>35409</v>
      </c>
      <c r="AA308" s="1" t="str">
        <f t="shared" si="69"/>
        <v>شهرداريها</v>
      </c>
      <c r="AB308" s="1" t="str">
        <f>"95/07/24"</f>
        <v>95/07/24</v>
      </c>
      <c r="AC308" s="1" t="str">
        <f>"كهكيلويه و بوير احمد"</f>
        <v>كهكيلويه و بوير احمد</v>
      </c>
      <c r="AD308" s="1" t="str">
        <f>"95/08/09"</f>
        <v>95/08/09</v>
      </c>
      <c r="AE308" s="1" t="str">
        <f t="shared" si="62"/>
        <v>اختتام</v>
      </c>
      <c r="AF308" s="1" t="str">
        <f>""</f>
        <v/>
      </c>
      <c r="AG308" s="1" t="str">
        <f>""</f>
        <v/>
      </c>
      <c r="AH308" s="1" t="str">
        <f>""</f>
        <v/>
      </c>
      <c r="AI308" s="1" t="str">
        <f>""</f>
        <v/>
      </c>
      <c r="AJ308" s="1" t="str">
        <f>""</f>
        <v/>
      </c>
      <c r="AK308" s="1" t="str">
        <f>""</f>
        <v/>
      </c>
    </row>
    <row r="309" spans="1:37" x14ac:dyDescent="0.2">
      <c r="A309" s="1">
        <v>68000</v>
      </c>
      <c r="B309" s="1">
        <v>952000076</v>
      </c>
      <c r="C309" s="1" t="str">
        <f>"تخليه لرستان خرم آبادكيلومتر10جاده خرم آبادبروجردكارخانه آسفالت سازمان همياري"</f>
        <v>تخليه لرستان خرم آبادكيلومتر10جاده خرم آبادبروجردكارخانه آسفالت سازمان همياري</v>
      </c>
      <c r="D309" s="1">
        <v>6876</v>
      </c>
      <c r="E309" s="1">
        <v>66760</v>
      </c>
      <c r="F309" s="1">
        <v>95</v>
      </c>
      <c r="G309" s="1">
        <v>1240</v>
      </c>
      <c r="H309" s="1" t="str">
        <f>"95/06/15"</f>
        <v>95/06/15</v>
      </c>
      <c r="I309" s="1" t="str">
        <f t="shared" si="55"/>
        <v>كيلوگرم</v>
      </c>
      <c r="J309" s="1" t="str">
        <f t="shared" si="70"/>
        <v>0000000076</v>
      </c>
      <c r="K309" s="1" t="str">
        <f t="shared" si="71"/>
        <v>قير 60/70 - فله</v>
      </c>
      <c r="L309" s="1">
        <v>100</v>
      </c>
      <c r="M309" s="1" t="str">
        <f t="shared" si="56"/>
        <v>مخازن قير اصفهان</v>
      </c>
      <c r="N309" s="1">
        <v>10890</v>
      </c>
      <c r="O309" s="1">
        <v>50031810</v>
      </c>
      <c r="P309" s="1" t="str">
        <f>"  شهرداري سپيددشت"</f>
        <v xml:space="preserve">  شهرداري سپيددشت</v>
      </c>
      <c r="Q309" s="1">
        <v>20</v>
      </c>
      <c r="R309" s="1" t="str">
        <f t="shared" si="68"/>
        <v>فروش داخلي - سازمان شهرداري ها و دهياري هاي كشور</v>
      </c>
      <c r="S309" s="1" t="str">
        <f t="shared" si="57"/>
        <v>قرارداد فروش</v>
      </c>
      <c r="T309" s="1" t="str">
        <f t="shared" si="58"/>
        <v>ندارد</v>
      </c>
      <c r="U309" s="1" t="str">
        <f>"رضائي كلهر حسن (1901099)"</f>
        <v>رضائي كلهر حسن (1901099)</v>
      </c>
      <c r="V309" s="1">
        <v>952000076</v>
      </c>
      <c r="W309" s="1">
        <v>952000076</v>
      </c>
      <c r="X309" s="1" t="str">
        <f>"1395429123"</f>
        <v>1395429123</v>
      </c>
      <c r="Y309" s="1" t="str">
        <f>"95/06/15"</f>
        <v>95/06/15</v>
      </c>
      <c r="Z309" s="1" t="str">
        <f>"27673"</f>
        <v>27673</v>
      </c>
      <c r="AA309" s="1" t="str">
        <f t="shared" si="69"/>
        <v>شهرداريها</v>
      </c>
      <c r="AB309" s="1" t="str">
        <f>"95/06/10"</f>
        <v>95/06/10</v>
      </c>
      <c r="AC309" s="1" t="str">
        <f>"لرستان"</f>
        <v>لرستان</v>
      </c>
      <c r="AD309" s="1" t="str">
        <f>"95/06/15"</f>
        <v>95/06/15</v>
      </c>
      <c r="AE309" s="1" t="str">
        <f t="shared" si="62"/>
        <v>اختتام</v>
      </c>
      <c r="AF309" s="1" t="str">
        <f>""</f>
        <v/>
      </c>
      <c r="AG309" s="1" t="str">
        <f>""</f>
        <v/>
      </c>
      <c r="AH309" s="1" t="str">
        <f>""</f>
        <v/>
      </c>
      <c r="AI309" s="1" t="str">
        <f>""</f>
        <v/>
      </c>
      <c r="AJ309" s="1" t="str">
        <f>""</f>
        <v/>
      </c>
      <c r="AK309" s="1" t="str">
        <f>""</f>
        <v/>
      </c>
    </row>
    <row r="310" spans="1:37" x14ac:dyDescent="0.2">
      <c r="A310" s="1">
        <v>100000</v>
      </c>
      <c r="B310" s="1">
        <v>951100133</v>
      </c>
      <c r="C310" s="1" t="str">
        <f>"تخليه-جاده علويجه-کيلومتر12 شرکت افق راه ماندگار"</f>
        <v>تخليه-جاده علويجه-کيلومتر12 شرکت افق راه ماندگار</v>
      </c>
      <c r="D310" s="1">
        <v>8973</v>
      </c>
      <c r="E310" s="1">
        <v>98140</v>
      </c>
      <c r="F310" s="1">
        <v>95</v>
      </c>
      <c r="G310" s="1">
        <v>1860</v>
      </c>
      <c r="H310" s="1" t="str">
        <f>"95/08/10"</f>
        <v>95/08/10</v>
      </c>
      <c r="I310" s="1" t="str">
        <f t="shared" si="55"/>
        <v>كيلوگرم</v>
      </c>
      <c r="J310" s="1" t="str">
        <f t="shared" si="70"/>
        <v>0000000076</v>
      </c>
      <c r="K310" s="1" t="str">
        <f t="shared" si="71"/>
        <v>قير 60/70 - فله</v>
      </c>
      <c r="L310" s="1">
        <v>100</v>
      </c>
      <c r="M310" s="1" t="str">
        <f t="shared" si="56"/>
        <v>مخازن قير اصفهان</v>
      </c>
      <c r="N310" s="1">
        <v>11008</v>
      </c>
      <c r="O310" s="1">
        <v>50032453</v>
      </c>
      <c r="P310" s="1" t="str">
        <f>"  افق راه ماندگار"</f>
        <v xml:space="preserve">  افق راه ماندگار</v>
      </c>
      <c r="Q310" s="1">
        <v>11</v>
      </c>
      <c r="R310" s="1" t="str">
        <f>"فروش داخلي تهران - بورس"</f>
        <v>فروش داخلي تهران - بورس</v>
      </c>
      <c r="S310" s="1" t="str">
        <f t="shared" si="57"/>
        <v>قرارداد فروش</v>
      </c>
      <c r="T310" s="1" t="str">
        <f t="shared" si="58"/>
        <v>ندارد</v>
      </c>
      <c r="U310" s="1" t="str">
        <f>"عزيزي صفر(1006ج 89)"</f>
        <v>عزيزي صفر(1006ج 89)</v>
      </c>
      <c r="V310" s="1">
        <v>951100133</v>
      </c>
      <c r="W310" s="1">
        <v>951100133</v>
      </c>
      <c r="X310" s="1" t="str">
        <f>"1395441009"</f>
        <v>1395441009</v>
      </c>
      <c r="Y310" s="1" t="str">
        <f>"95/08/09"</f>
        <v>95/08/09</v>
      </c>
      <c r="Z310" s="1" t="str">
        <f>"95-34754"</f>
        <v>95-34754</v>
      </c>
      <c r="AA310" s="1" t="str">
        <f>"راه سازي"</f>
        <v>راه سازي</v>
      </c>
      <c r="AB310" s="1" t="str">
        <f>"95/08/09"</f>
        <v>95/08/09</v>
      </c>
      <c r="AC310" s="1" t="str">
        <f>"استان اصفهان"</f>
        <v>استان اصفهان</v>
      </c>
      <c r="AD310" s="1" t="str">
        <f>"95/08/05"</f>
        <v>95/08/05</v>
      </c>
      <c r="AE310" s="1" t="str">
        <f t="shared" si="62"/>
        <v>اختتام</v>
      </c>
      <c r="AF310" s="1" t="str">
        <f>""</f>
        <v/>
      </c>
      <c r="AG310" s="1" t="str">
        <f>""</f>
        <v/>
      </c>
      <c r="AH310" s="1" t="str">
        <f>""</f>
        <v/>
      </c>
      <c r="AI310" s="1" t="str">
        <f>""</f>
        <v/>
      </c>
      <c r="AJ310" s="1" t="str">
        <f>""</f>
        <v/>
      </c>
      <c r="AK310" s="1" t="str">
        <f>""</f>
        <v/>
      </c>
    </row>
    <row r="311" spans="1:37" x14ac:dyDescent="0.2">
      <c r="A311" s="1">
        <v>39000</v>
      </c>
      <c r="B311" s="1">
        <v>956200167</v>
      </c>
      <c r="C311" s="1" t="str">
        <f>"تخليه - خراسان رضوي - تربت حيدريه - جاده سوکي-کيلومتر 8 کارخانه آسفالت  وليصعر"</f>
        <v>تخليه - خراسان رضوي - تربت حيدريه - جاده سوکي-کيلومتر 8 کارخانه آسفالت  وليصعر</v>
      </c>
      <c r="D311" s="1">
        <v>9361</v>
      </c>
      <c r="E311" s="1">
        <v>37900</v>
      </c>
      <c r="F311" s="1">
        <v>95</v>
      </c>
      <c r="G311" s="1">
        <v>1100</v>
      </c>
      <c r="H311" s="1" t="str">
        <f>"95/11/04"</f>
        <v>95/11/04</v>
      </c>
      <c r="I311" s="1" t="str">
        <f t="shared" si="55"/>
        <v>كيلوگرم</v>
      </c>
      <c r="J311" s="1" t="str">
        <f t="shared" si="70"/>
        <v>0000000076</v>
      </c>
      <c r="K311" s="1" t="str">
        <f t="shared" si="71"/>
        <v>قير 60/70 - فله</v>
      </c>
      <c r="L311" s="1">
        <v>100</v>
      </c>
      <c r="M311" s="1" t="str">
        <f t="shared" si="56"/>
        <v>مخازن قير اصفهان</v>
      </c>
      <c r="N311" s="1">
        <v>11019</v>
      </c>
      <c r="O311" s="1">
        <v>50033495</v>
      </c>
      <c r="P311" s="1" t="str">
        <f>"  بنابام بيستون"</f>
        <v xml:space="preserve">  بنابام بيستون</v>
      </c>
      <c r="Q311" s="1">
        <v>62</v>
      </c>
      <c r="R311" s="1" t="str">
        <f>"فروش داخلي - سازمان بنيادمسكن انقلاب اسلامي"</f>
        <v>فروش داخلي - سازمان بنيادمسكن انقلاب اسلامي</v>
      </c>
      <c r="S311" s="1" t="str">
        <f t="shared" si="57"/>
        <v>قرارداد فروش</v>
      </c>
      <c r="T311" s="1" t="str">
        <f t="shared" si="58"/>
        <v>ندارد</v>
      </c>
      <c r="U311" s="1" t="str">
        <f>"نظام دوست امين (1911102)"</f>
        <v>نظام دوست امين (1911102)</v>
      </c>
      <c r="V311" s="1">
        <v>956200167</v>
      </c>
      <c r="W311" s="1">
        <v>956200167</v>
      </c>
      <c r="X311" s="1" t="str">
        <f>"1395460248"</f>
        <v>1395460248</v>
      </c>
      <c r="Y311" s="1" t="str">
        <f>"95/11/04"</f>
        <v>95/11/04</v>
      </c>
      <c r="Z311" s="1" t="str">
        <f>"45493/د"</f>
        <v>45493/د</v>
      </c>
      <c r="AA311" s="1" t="str">
        <f>"بنيادمسكن انقلاب اسلامي"</f>
        <v>بنيادمسكن انقلاب اسلامي</v>
      </c>
      <c r="AB311" s="1" t="str">
        <f>"95/10/25"</f>
        <v>95/10/25</v>
      </c>
      <c r="AC311" s="1" t="str">
        <f>"خراسان رضوي"</f>
        <v>خراسان رضوي</v>
      </c>
      <c r="AD311" s="1" t="str">
        <f>"95/11/04"</f>
        <v>95/11/04</v>
      </c>
      <c r="AE311" s="1" t="str">
        <f t="shared" si="62"/>
        <v>اختتام</v>
      </c>
      <c r="AF311" s="1" t="str">
        <f>""</f>
        <v/>
      </c>
      <c r="AG311" s="1" t="str">
        <f>""</f>
        <v/>
      </c>
      <c r="AH311" s="1" t="str">
        <f>""</f>
        <v/>
      </c>
      <c r="AI311" s="1" t="str">
        <f>""</f>
        <v/>
      </c>
      <c r="AJ311" s="1" t="str">
        <f>""</f>
        <v/>
      </c>
      <c r="AK311" s="1" t="str">
        <f>""</f>
        <v/>
      </c>
    </row>
    <row r="312" spans="1:37" x14ac:dyDescent="0.2">
      <c r="A312" s="1">
        <v>200000</v>
      </c>
      <c r="B312" s="1">
        <v>956200082</v>
      </c>
      <c r="C312" s="1" t="str">
        <f>"تخليه-گچساران-روستاي بيدزرد-کارخانه آسفالت زارع"</f>
        <v>تخليه-گچساران-روستاي بيدزرد-کارخانه آسفالت زارع</v>
      </c>
      <c r="D312" s="1">
        <v>6976</v>
      </c>
      <c r="E312" s="1">
        <v>198660</v>
      </c>
      <c r="F312" s="1">
        <v>95</v>
      </c>
      <c r="G312" s="1">
        <v>1340</v>
      </c>
      <c r="H312" s="1" t="str">
        <f>"95/07/07"</f>
        <v>95/07/07</v>
      </c>
      <c r="I312" s="1" t="str">
        <f t="shared" si="55"/>
        <v>كيلوگرم</v>
      </c>
      <c r="J312" s="1" t="str">
        <f t="shared" si="70"/>
        <v>0000000076</v>
      </c>
      <c r="K312" s="1" t="str">
        <f t="shared" si="71"/>
        <v>قير 60/70 - فله</v>
      </c>
      <c r="L312" s="1">
        <v>100</v>
      </c>
      <c r="M312" s="1" t="str">
        <f t="shared" si="56"/>
        <v>مخازن قير اصفهان</v>
      </c>
      <c r="N312" s="1">
        <v>11055</v>
      </c>
      <c r="O312" s="1">
        <v>50032017</v>
      </c>
      <c r="P312" s="1" t="str">
        <f>"  بکتاش سازه زاگرس"</f>
        <v xml:space="preserve">  بکتاش سازه زاگرس</v>
      </c>
      <c r="Q312" s="1">
        <v>62</v>
      </c>
      <c r="R312" s="1" t="str">
        <f>"فروش داخلي - سازمان بنيادمسكن انقلاب اسلامي"</f>
        <v>فروش داخلي - سازمان بنيادمسكن انقلاب اسلامي</v>
      </c>
      <c r="S312" s="1" t="str">
        <f t="shared" si="57"/>
        <v>قرارداد فروش</v>
      </c>
      <c r="T312" s="1" t="str">
        <f t="shared" si="58"/>
        <v>ندارد</v>
      </c>
      <c r="U312" s="1" t="str">
        <f>"غلام نجفي سيامك‌‌‌‌‌‌(1881082)"</f>
        <v>غلام نجفي سيامك‌‌‌‌‌‌(1881082)</v>
      </c>
      <c r="V312" s="1">
        <v>956200082</v>
      </c>
      <c r="W312" s="1">
        <v>956200082</v>
      </c>
      <c r="X312" s="1" t="str">
        <f>"1395434113"</f>
        <v>1395434113</v>
      </c>
      <c r="Y312" s="1" t="str">
        <f>"95/07/07"</f>
        <v>95/07/07</v>
      </c>
      <c r="Z312" s="1" t="str">
        <f>"27777/د"</f>
        <v>27777/د</v>
      </c>
      <c r="AA312" s="1" t="str">
        <f>"بنيادمسكن انقلاب اسلامي"</f>
        <v>بنيادمسكن انقلاب اسلامي</v>
      </c>
      <c r="AB312" s="1" t="str">
        <f>"95/07/05"</f>
        <v>95/07/05</v>
      </c>
      <c r="AC312" s="1" t="str">
        <f>"كهكيلويه و بوير احمد"</f>
        <v>كهكيلويه و بوير احمد</v>
      </c>
      <c r="AD312" s="1" t="str">
        <f>"95/07/06"</f>
        <v>95/07/06</v>
      </c>
      <c r="AE312" s="1" t="str">
        <f t="shared" si="62"/>
        <v>اختتام</v>
      </c>
      <c r="AF312" s="1" t="str">
        <f>""</f>
        <v/>
      </c>
      <c r="AG312" s="1" t="str">
        <f>""</f>
        <v/>
      </c>
      <c r="AH312" s="1" t="str">
        <f>""</f>
        <v/>
      </c>
      <c r="AI312" s="1" t="str">
        <f>""</f>
        <v/>
      </c>
      <c r="AJ312" s="1" t="str">
        <f>""</f>
        <v/>
      </c>
      <c r="AK312" s="1" t="str">
        <f>""</f>
        <v/>
      </c>
    </row>
    <row r="313" spans="1:37" x14ac:dyDescent="0.2">
      <c r="A313" s="1">
        <v>620000</v>
      </c>
      <c r="B313" s="1">
        <v>956200072</v>
      </c>
      <c r="C313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313" s="1">
        <v>6876</v>
      </c>
      <c r="E313" s="1">
        <v>619100</v>
      </c>
      <c r="F313" s="1">
        <v>95</v>
      </c>
      <c r="G313" s="1">
        <v>900</v>
      </c>
      <c r="H313" s="1" t="str">
        <f>"95/06/10"</f>
        <v>95/06/10</v>
      </c>
      <c r="I313" s="1" t="str">
        <f t="shared" si="55"/>
        <v>كيلوگرم</v>
      </c>
      <c r="J313" s="1" t="str">
        <f t="shared" si="70"/>
        <v>0000000076</v>
      </c>
      <c r="K313" s="1" t="str">
        <f t="shared" si="71"/>
        <v>قير 60/70 - فله</v>
      </c>
      <c r="L313" s="1">
        <v>100</v>
      </c>
      <c r="M313" s="1" t="str">
        <f t="shared" si="56"/>
        <v>مخازن قير اصفهان</v>
      </c>
      <c r="N313" s="1">
        <v>10421</v>
      </c>
      <c r="O313" s="1">
        <v>50031741</v>
      </c>
      <c r="P313" s="1" t="str">
        <f>"  تعاوني راه وساختمان  3136سيستان سازه زابل"</f>
        <v xml:space="preserve">  تعاوني راه وساختمان  3136سيستان سازه زابل</v>
      </c>
      <c r="Q313" s="1">
        <v>62</v>
      </c>
      <c r="R313" s="1" t="str">
        <f>"فروش داخلي - سازمان بنيادمسكن انقلاب اسلامي"</f>
        <v>فروش داخلي - سازمان بنيادمسكن انقلاب اسلامي</v>
      </c>
      <c r="S313" s="1" t="str">
        <f t="shared" si="57"/>
        <v>قرارداد فروش</v>
      </c>
      <c r="T313" s="1" t="str">
        <f t="shared" si="58"/>
        <v>ندارد</v>
      </c>
      <c r="U313" s="1" t="str">
        <f>"ميهن دوست مرتضي(1044ج 94)"</f>
        <v>ميهن دوست مرتضي(1044ج 94)</v>
      </c>
      <c r="V313" s="1">
        <v>956200072</v>
      </c>
      <c r="W313" s="1">
        <v>956200072</v>
      </c>
      <c r="X313" s="1" t="str">
        <f>"1395428493"</f>
        <v>1395428493</v>
      </c>
      <c r="Y313" s="1" t="str">
        <f>"95/06/10"</f>
        <v>95/06/10</v>
      </c>
      <c r="Z313" s="1" t="str">
        <f>"23774/د"</f>
        <v>23774/د</v>
      </c>
      <c r="AA313" s="1" t="str">
        <f>"بنيادمسكن انقلاب اسلامي"</f>
        <v>بنيادمسكن انقلاب اسلامي</v>
      </c>
      <c r="AB313" s="1" t="str">
        <f>"95/06/08"</f>
        <v>95/06/08</v>
      </c>
      <c r="AC313" s="1" t="str">
        <f>"استان سيستان بلوچستان"</f>
        <v>استان سيستان بلوچستان</v>
      </c>
      <c r="AD313" s="1" t="str">
        <f>"95/06/10"</f>
        <v>95/06/10</v>
      </c>
      <c r="AE313" s="1" t="str">
        <f t="shared" si="62"/>
        <v>اختتام</v>
      </c>
      <c r="AF313" s="1" t="str">
        <f>""</f>
        <v/>
      </c>
      <c r="AG313" s="1" t="str">
        <f>""</f>
        <v/>
      </c>
      <c r="AH313" s="1" t="str">
        <f>""</f>
        <v/>
      </c>
      <c r="AI313" s="1" t="str">
        <f>""</f>
        <v/>
      </c>
      <c r="AJ313" s="1" t="str">
        <f>""</f>
        <v/>
      </c>
      <c r="AK313" s="1" t="str">
        <f>""</f>
        <v/>
      </c>
    </row>
    <row r="314" spans="1:37" x14ac:dyDescent="0.2">
      <c r="A314" s="1">
        <v>35000</v>
      </c>
      <c r="B314" s="1">
        <v>956200095</v>
      </c>
      <c r="C314" s="1" t="str">
        <f>"تخليه-سراوان-احمدآباد-کارگاه شن و ماسه ملک محمدي"</f>
        <v>تخليه-سراوان-احمدآباد-کارگاه شن و ماسه ملک محمدي</v>
      </c>
      <c r="D314" s="1">
        <v>8023</v>
      </c>
      <c r="E314" s="1">
        <v>31940</v>
      </c>
      <c r="F314" s="1">
        <v>95</v>
      </c>
      <c r="G314" s="1">
        <v>3060</v>
      </c>
      <c r="H314" s="1" t="str">
        <f>"95/08/05"</f>
        <v>95/08/05</v>
      </c>
      <c r="I314" s="1" t="str">
        <f t="shared" si="55"/>
        <v>كيلوگرم</v>
      </c>
      <c r="J314" s="1" t="str">
        <f t="shared" si="70"/>
        <v>0000000076</v>
      </c>
      <c r="K314" s="1" t="str">
        <f t="shared" si="71"/>
        <v>قير 60/70 - فله</v>
      </c>
      <c r="L314" s="1">
        <v>100</v>
      </c>
      <c r="M314" s="1" t="str">
        <f t="shared" si="56"/>
        <v>مخازن قير اصفهان</v>
      </c>
      <c r="N314" s="1">
        <v>11070</v>
      </c>
      <c r="O314" s="1">
        <v>50032277</v>
      </c>
      <c r="P314" s="1" t="str">
        <f>"  شايان نقشه جنوب"</f>
        <v xml:space="preserve">  شايان نقشه جنوب</v>
      </c>
      <c r="Q314" s="1">
        <v>62</v>
      </c>
      <c r="R314" s="1" t="str">
        <f>"فروش داخلي - سازمان بنيادمسكن انقلاب اسلامي"</f>
        <v>فروش داخلي - سازمان بنيادمسكن انقلاب اسلامي</v>
      </c>
      <c r="S314" s="1" t="str">
        <f t="shared" si="57"/>
        <v>قرارداد فروش</v>
      </c>
      <c r="T314" s="1" t="str">
        <f t="shared" si="58"/>
        <v>ندارد</v>
      </c>
      <c r="U314" s="1" t="str">
        <f>"تاج سعيد هوشنگ (1031ج 89)"</f>
        <v>تاج سعيد هوشنگ (1031ج 89)</v>
      </c>
      <c r="V314" s="1">
        <v>956200095</v>
      </c>
      <c r="W314" s="1">
        <v>956200095</v>
      </c>
      <c r="X314" s="1" t="str">
        <f>"1395441026"</f>
        <v>1395441026</v>
      </c>
      <c r="Y314" s="1" t="str">
        <f>"95/08/05"</f>
        <v>95/08/05</v>
      </c>
      <c r="Z314" s="1" t="str">
        <f>"32527/د"</f>
        <v>32527/د</v>
      </c>
      <c r="AA314" s="1" t="str">
        <f>"بنيادمسكن انقلاب اسلامي"</f>
        <v>بنيادمسكن انقلاب اسلامي</v>
      </c>
      <c r="AB314" s="1" t="str">
        <f>"95/08/04"</f>
        <v>95/08/04</v>
      </c>
      <c r="AC314" s="1" t="str">
        <f>"استان سيستان بلوچستان"</f>
        <v>استان سيستان بلوچستان</v>
      </c>
      <c r="AD314" s="1" t="str">
        <f>"95/08/05"</f>
        <v>95/08/05</v>
      </c>
      <c r="AE314" s="1" t="str">
        <f t="shared" si="62"/>
        <v>اختتام</v>
      </c>
      <c r="AF314" s="1" t="str">
        <f>""</f>
        <v/>
      </c>
      <c r="AG314" s="1" t="str">
        <f>""</f>
        <v/>
      </c>
      <c r="AH314" s="1" t="str">
        <f>""</f>
        <v/>
      </c>
      <c r="AI314" s="1" t="str">
        <f>""</f>
        <v/>
      </c>
      <c r="AJ314" s="1" t="str">
        <f>""</f>
        <v/>
      </c>
      <c r="AK314" s="1" t="str">
        <f>""</f>
        <v/>
      </c>
    </row>
    <row r="315" spans="1:37" x14ac:dyDescent="0.2">
      <c r="A315" s="1">
        <v>800000</v>
      </c>
      <c r="B315" s="1">
        <v>956200091</v>
      </c>
      <c r="C315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315" s="1">
        <v>8023</v>
      </c>
      <c r="E315" s="1">
        <v>798860</v>
      </c>
      <c r="F315" s="1">
        <v>95</v>
      </c>
      <c r="G315" s="1">
        <v>1140</v>
      </c>
      <c r="H315" s="1" t="str">
        <f>"95/08/05"</f>
        <v>95/08/05</v>
      </c>
      <c r="I315" s="1" t="str">
        <f t="shared" si="55"/>
        <v>كيلوگرم</v>
      </c>
      <c r="J315" s="1" t="str">
        <f t="shared" si="70"/>
        <v>0000000076</v>
      </c>
      <c r="K315" s="1" t="str">
        <f t="shared" si="71"/>
        <v>قير 60/70 - فله</v>
      </c>
      <c r="L315" s="1">
        <v>100</v>
      </c>
      <c r="M315" s="1" t="str">
        <f t="shared" si="56"/>
        <v>مخازن قير اصفهان</v>
      </c>
      <c r="N315" s="1">
        <v>11081</v>
      </c>
      <c r="O315" s="1">
        <v>50032268</v>
      </c>
      <c r="P315" s="1" t="str">
        <f>"  استحكام بتون خرمي"</f>
        <v xml:space="preserve">  استحكام بتون خرمي</v>
      </c>
      <c r="Q315" s="1">
        <v>62</v>
      </c>
      <c r="R315" s="1" t="str">
        <f>"فروش داخلي - سازمان بنيادمسكن انقلاب اسلامي"</f>
        <v>فروش داخلي - سازمان بنيادمسكن انقلاب اسلامي</v>
      </c>
      <c r="S315" s="1" t="str">
        <f t="shared" si="57"/>
        <v>قرارداد فروش</v>
      </c>
      <c r="T315" s="1" t="str">
        <f t="shared" si="58"/>
        <v>ندارد</v>
      </c>
      <c r="U315" s="1" t="str">
        <f>"عظيمي محمد(2842015)"</f>
        <v>عظيمي محمد(2842015)</v>
      </c>
      <c r="V315" s="1">
        <v>956200091</v>
      </c>
      <c r="W315" s="1">
        <v>956200091</v>
      </c>
      <c r="X315" s="1" t="str">
        <f>"1395441026"</f>
        <v>1395441026</v>
      </c>
      <c r="Y315" s="1" t="str">
        <f>"95/08/05"</f>
        <v>95/08/05</v>
      </c>
      <c r="Z315" s="1" t="str">
        <f>"30971/د"</f>
        <v>30971/د</v>
      </c>
      <c r="AA315" s="1" t="str">
        <f>"بنيادمسكن انقلاب اسلامي"</f>
        <v>بنيادمسكن انقلاب اسلامي</v>
      </c>
      <c r="AB315" s="1" t="str">
        <f>"95/07/26"</f>
        <v>95/07/26</v>
      </c>
      <c r="AC315" s="1" t="str">
        <f>"لرستان"</f>
        <v>لرستان</v>
      </c>
      <c r="AD315" s="1" t="str">
        <f>"95/08/05"</f>
        <v>95/08/05</v>
      </c>
      <c r="AE315" s="1" t="str">
        <f t="shared" si="62"/>
        <v>اختتام</v>
      </c>
      <c r="AF315" s="1" t="str">
        <f>""</f>
        <v/>
      </c>
      <c r="AG315" s="1" t="str">
        <f>""</f>
        <v/>
      </c>
      <c r="AH315" s="1" t="str">
        <f>""</f>
        <v/>
      </c>
      <c r="AI315" s="1" t="str">
        <f>""</f>
        <v/>
      </c>
      <c r="AJ315" s="1" t="str">
        <f>""</f>
        <v/>
      </c>
      <c r="AK315" s="1" t="str">
        <f>""</f>
        <v/>
      </c>
    </row>
    <row r="316" spans="1:37" x14ac:dyDescent="0.2">
      <c r="A316" s="1">
        <v>248000</v>
      </c>
      <c r="B316" s="1">
        <v>956300029</v>
      </c>
      <c r="C316" s="1" t="str">
        <f>"تخليه اصفهان جاده سيمان سپاهان خيابان 11منطقه صنعتي آقاي سيناشمسي ارمندي كارخانه آسفالت راه آژند"</f>
        <v>تخليه اصفهان جاده سيمان سپاهان خيابان 11منطقه صنعتي آقاي سيناشمسي ارمندي كارخانه آسفالت راه آژند</v>
      </c>
      <c r="D316" s="1">
        <v>8848</v>
      </c>
      <c r="E316" s="1">
        <v>248000</v>
      </c>
      <c r="F316" s="1">
        <v>95</v>
      </c>
      <c r="G316" s="1">
        <v>0</v>
      </c>
      <c r="H316" s="1" t="str">
        <f>"95/12/07"</f>
        <v>95/12/07</v>
      </c>
      <c r="I316" s="1" t="str">
        <f t="shared" si="55"/>
        <v>كيلوگرم</v>
      </c>
      <c r="J316" s="1" t="str">
        <f t="shared" si="70"/>
        <v>0000000076</v>
      </c>
      <c r="K316" s="1" t="str">
        <f t="shared" si="71"/>
        <v>قير 60/70 - فله</v>
      </c>
      <c r="L316" s="1">
        <v>100</v>
      </c>
      <c r="M316" s="1" t="str">
        <f t="shared" si="56"/>
        <v>مخازن قير اصفهان</v>
      </c>
      <c r="N316" s="1">
        <v>11098</v>
      </c>
      <c r="O316" s="1">
        <v>50033888</v>
      </c>
      <c r="P316" s="1" t="str">
        <f>"  اداره كل نوسازي توسعه وتجهيزمدارس استان اصفهان"</f>
        <v xml:space="preserve">  اداره كل نوسازي توسعه وتجهيزمدارس استان اصفهان</v>
      </c>
      <c r="Q316" s="1">
        <v>63</v>
      </c>
      <c r="R316" s="1" t="str">
        <f>"سازمان نوسازي،توسعه و تجهيز مدارس كشور"</f>
        <v>سازمان نوسازي،توسعه و تجهيز مدارس كشور</v>
      </c>
      <c r="S316" s="1" t="str">
        <f t="shared" si="57"/>
        <v>قرارداد فروش</v>
      </c>
      <c r="T316" s="1" t="str">
        <f t="shared" si="58"/>
        <v>ندارد</v>
      </c>
      <c r="U316" s="1" t="str">
        <f>"سيفي پور عبدالمجيد(1009ج89)"</f>
        <v>سيفي پور عبدالمجيد(1009ج89)</v>
      </c>
      <c r="V316" s="1">
        <v>956300029</v>
      </c>
      <c r="W316" s="1">
        <v>956300029</v>
      </c>
      <c r="X316" s="1" t="str">
        <f>"1395467546"</f>
        <v>1395467546</v>
      </c>
      <c r="Y316" s="1" t="str">
        <f>"95/12/07"</f>
        <v>95/12/07</v>
      </c>
      <c r="Z316" s="1" t="str">
        <f>"3-95/422-35969"</f>
        <v>3-95/422-35969</v>
      </c>
      <c r="AA316" s="1" t="str">
        <f>"سازمان نوسازي توسعه وتجهيزمدارس كشور"</f>
        <v>سازمان نوسازي توسعه وتجهيزمدارس كشور</v>
      </c>
      <c r="AB316" s="1" t="str">
        <f>"95/12/03"</f>
        <v>95/12/03</v>
      </c>
      <c r="AC316" s="1" t="str">
        <f>"استان اصفهان"</f>
        <v>استان اصفهان</v>
      </c>
      <c r="AD316" s="1" t="str">
        <f>"95/12/07"</f>
        <v>95/12/07</v>
      </c>
      <c r="AE316" s="1" t="str">
        <f>"تاييدشده"</f>
        <v>تاييدشده</v>
      </c>
      <c r="AF316" s="1" t="str">
        <f>""</f>
        <v/>
      </c>
      <c r="AG316" s="1" t="str">
        <f>""</f>
        <v/>
      </c>
      <c r="AH316" s="1" t="str">
        <f>""</f>
        <v/>
      </c>
      <c r="AI316" s="1" t="str">
        <f>""</f>
        <v/>
      </c>
      <c r="AJ316" s="1" t="str">
        <f>""</f>
        <v/>
      </c>
      <c r="AK316" s="1" t="str">
        <f>""</f>
        <v/>
      </c>
    </row>
    <row r="317" spans="1:37" x14ac:dyDescent="0.2">
      <c r="A317" s="1">
        <v>87000</v>
      </c>
      <c r="B317" s="1">
        <v>956300039</v>
      </c>
      <c r="C317" s="1" t="str">
        <f>"تخليه اصفهان جاده نايين روستاي فساران مصطفي شمسي ارمندي كارخانه آسفالت ستايش گسترزنده رود"</f>
        <v>تخليه اصفهان جاده نايين روستاي فساران مصطفي شمسي ارمندي كارخانه آسفالت ستايش گسترزنده رود</v>
      </c>
      <c r="D317" s="1">
        <v>8848</v>
      </c>
      <c r="E317" s="1">
        <v>86660</v>
      </c>
      <c r="F317" s="1">
        <v>95</v>
      </c>
      <c r="G317" s="1">
        <v>340</v>
      </c>
      <c r="H317" s="1" t="str">
        <f>"95/12/23"</f>
        <v>95/12/23</v>
      </c>
      <c r="I317" s="1" t="str">
        <f t="shared" si="55"/>
        <v>كيلوگرم</v>
      </c>
      <c r="J317" s="1" t="str">
        <f t="shared" si="70"/>
        <v>0000000076</v>
      </c>
      <c r="K317" s="1" t="str">
        <f t="shared" si="71"/>
        <v>قير 60/70 - فله</v>
      </c>
      <c r="L317" s="1">
        <v>100</v>
      </c>
      <c r="M317" s="1" t="str">
        <f t="shared" si="56"/>
        <v>مخازن قير اصفهان</v>
      </c>
      <c r="N317" s="1">
        <v>11098</v>
      </c>
      <c r="O317" s="1">
        <v>50034160</v>
      </c>
      <c r="P317" s="1" t="str">
        <f>"  اداره كل نوسازي توسعه وتجهيزمدارس استان اصفهان"</f>
        <v xml:space="preserve">  اداره كل نوسازي توسعه وتجهيزمدارس استان اصفهان</v>
      </c>
      <c r="Q317" s="1">
        <v>63</v>
      </c>
      <c r="R317" s="1" t="str">
        <f>"سازمان نوسازي،توسعه و تجهيز مدارس كشور"</f>
        <v>سازمان نوسازي،توسعه و تجهيز مدارس كشور</v>
      </c>
      <c r="S317" s="1" t="str">
        <f t="shared" si="57"/>
        <v>قرارداد فروش</v>
      </c>
      <c r="T317" s="1" t="str">
        <f t="shared" si="58"/>
        <v>ندارد</v>
      </c>
      <c r="U317" s="1" t="str">
        <f>"قره باغي مجيد(1871065)"</f>
        <v>قره باغي مجيد(1871065)</v>
      </c>
      <c r="V317" s="1">
        <v>956300039</v>
      </c>
      <c r="W317" s="1">
        <v>956300039</v>
      </c>
      <c r="X317" s="1" t="str">
        <f>"1395470871"</f>
        <v>1395470871</v>
      </c>
      <c r="Y317" s="1" t="str">
        <f>"95/12/23"</f>
        <v>95/12/23</v>
      </c>
      <c r="Z317" s="1" t="str">
        <f>"3-95/424-37677"</f>
        <v>3-95/424-37677</v>
      </c>
      <c r="AA317" s="1" t="str">
        <f>"سازمان نوسازي توسعه وتجهيزمدارس كشور"</f>
        <v>سازمان نوسازي توسعه وتجهيزمدارس كشور</v>
      </c>
      <c r="AB317" s="1" t="str">
        <f>"95/12/18"</f>
        <v>95/12/18</v>
      </c>
      <c r="AC317" s="1" t="str">
        <f>"استان اصفهان"</f>
        <v>استان اصفهان</v>
      </c>
      <c r="AD317" s="1" t="str">
        <f>"95/12/23"</f>
        <v>95/12/23</v>
      </c>
      <c r="AE317" s="1" t="str">
        <f t="shared" ref="AE317:AE334" si="72">"اختتام"</f>
        <v>اختتام</v>
      </c>
      <c r="AF317" s="1" t="str">
        <f>""</f>
        <v/>
      </c>
      <c r="AG317" s="1" t="str">
        <f>""</f>
        <v/>
      </c>
      <c r="AH317" s="1" t="str">
        <f>""</f>
        <v/>
      </c>
      <c r="AI317" s="1" t="str">
        <f>""</f>
        <v/>
      </c>
      <c r="AJ317" s="1" t="str">
        <f>""</f>
        <v/>
      </c>
      <c r="AK317" s="1" t="str">
        <f>""</f>
        <v/>
      </c>
    </row>
    <row r="318" spans="1:37" x14ac:dyDescent="0.2">
      <c r="A318" s="1">
        <v>30000</v>
      </c>
      <c r="B318" s="1">
        <v>956200025</v>
      </c>
      <c r="C318" s="1" t="str">
        <f>"تخليه-کيلومتر 18 جاده يزد-بافق"</f>
        <v>تخليه-کيلومتر 18 جاده يزد-بافق</v>
      </c>
      <c r="D318" s="1">
        <v>5750</v>
      </c>
      <c r="E318" s="1">
        <v>30000</v>
      </c>
      <c r="F318" s="1">
        <v>95</v>
      </c>
      <c r="G318" s="1">
        <v>0</v>
      </c>
      <c r="H318" s="1" t="str">
        <f>"95/03/16"</f>
        <v>95/03/16</v>
      </c>
      <c r="I318" s="1" t="str">
        <f t="shared" si="55"/>
        <v>كيلوگرم</v>
      </c>
      <c r="J318" s="1" t="str">
        <f t="shared" si="70"/>
        <v>0000000076</v>
      </c>
      <c r="K318" s="1" t="str">
        <f t="shared" si="71"/>
        <v>قير 60/70 - فله</v>
      </c>
      <c r="L318" s="1">
        <v>100</v>
      </c>
      <c r="M318" s="1" t="str">
        <f t="shared" si="56"/>
        <v>مخازن قير اصفهان</v>
      </c>
      <c r="N318" s="1">
        <v>10148</v>
      </c>
      <c r="O318" s="1">
        <v>50030964</v>
      </c>
      <c r="P318" s="1" t="str">
        <f>"  مشکين راه يزد"</f>
        <v xml:space="preserve">  مشکين راه يزد</v>
      </c>
      <c r="Q318" s="1">
        <v>62</v>
      </c>
      <c r="R318" s="1" t="str">
        <f>"فروش داخلي - سازمان بنيادمسكن انقلاب اسلامي"</f>
        <v>فروش داخلي - سازمان بنيادمسكن انقلاب اسلامي</v>
      </c>
      <c r="S318" s="1" t="str">
        <f t="shared" si="57"/>
        <v>قرارداد فروش</v>
      </c>
      <c r="T318" s="1" t="str">
        <f t="shared" si="58"/>
        <v>ندارد</v>
      </c>
      <c r="U318" s="1" t="str">
        <f>"عزيزي صفر(1006ج 89)"</f>
        <v>عزيزي صفر(1006ج 89)</v>
      </c>
      <c r="V318" s="1">
        <v>956200025</v>
      </c>
      <c r="W318" s="1">
        <v>956200025</v>
      </c>
      <c r="X318" s="1" t="str">
        <f>"1395407679"</f>
        <v>1395407679</v>
      </c>
      <c r="Y318" s="1" t="str">
        <f>"95/03/16"</f>
        <v>95/03/16</v>
      </c>
      <c r="Z318" s="1" t="str">
        <f>"9909/د"</f>
        <v>9909/د</v>
      </c>
      <c r="AA318" s="1" t="str">
        <f>"بنيادمسكن انقلاب اسلامي"</f>
        <v>بنيادمسكن انقلاب اسلامي</v>
      </c>
      <c r="AB318" s="1" t="str">
        <f>"95/03/12"</f>
        <v>95/03/12</v>
      </c>
      <c r="AC318" s="1" t="str">
        <f>"استان يزد"</f>
        <v>استان يزد</v>
      </c>
      <c r="AD318" s="1" t="str">
        <f>"95/03/16"</f>
        <v>95/03/16</v>
      </c>
      <c r="AE318" s="1" t="str">
        <f t="shared" si="72"/>
        <v>اختتام</v>
      </c>
      <c r="AF318" s="1" t="str">
        <f>""</f>
        <v/>
      </c>
      <c r="AG318" s="1" t="str">
        <f>""</f>
        <v/>
      </c>
      <c r="AH318" s="1" t="str">
        <f>""</f>
        <v/>
      </c>
      <c r="AI318" s="1" t="str">
        <f>""</f>
        <v/>
      </c>
      <c r="AJ318" s="1" t="str">
        <f>""</f>
        <v/>
      </c>
      <c r="AK318" s="1" t="str">
        <f>""</f>
        <v/>
      </c>
    </row>
    <row r="319" spans="1:37" x14ac:dyDescent="0.2">
      <c r="A319" s="1">
        <v>130000</v>
      </c>
      <c r="B319" s="1">
        <v>956200413</v>
      </c>
      <c r="C31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19" s="1">
        <v>8848</v>
      </c>
      <c r="E319" s="1">
        <v>129640</v>
      </c>
      <c r="F319" s="1">
        <v>95</v>
      </c>
      <c r="G319" s="1">
        <v>360</v>
      </c>
      <c r="H319" s="1" t="str">
        <f>"95/12/28"</f>
        <v>95/12/28</v>
      </c>
      <c r="I319" s="1" t="str">
        <f t="shared" si="55"/>
        <v>كيلوگرم</v>
      </c>
      <c r="J319" s="1" t="str">
        <f t="shared" si="70"/>
        <v>0000000076</v>
      </c>
      <c r="K319" s="1" t="str">
        <f t="shared" si="71"/>
        <v>قير 60/70 - فله</v>
      </c>
      <c r="L319" s="1">
        <v>100</v>
      </c>
      <c r="M319" s="1" t="str">
        <f t="shared" si="56"/>
        <v>مخازن قير اصفهان</v>
      </c>
      <c r="N319" s="1">
        <v>11001</v>
      </c>
      <c r="O319" s="1">
        <v>50034300</v>
      </c>
      <c r="P319" s="1" t="str">
        <f>"  بنياد مسکن انقلاب اسلامي نجف آباد"</f>
        <v xml:space="preserve">  بنياد مسکن انقلاب اسلامي نجف آباد</v>
      </c>
      <c r="Q319" s="1">
        <v>62</v>
      </c>
      <c r="R319" s="1" t="str">
        <f>"فروش داخلي - سازمان بنيادمسكن انقلاب اسلامي"</f>
        <v>فروش داخلي - سازمان بنيادمسكن انقلاب اسلامي</v>
      </c>
      <c r="S319" s="1" t="str">
        <f t="shared" si="57"/>
        <v>قرارداد فروش</v>
      </c>
      <c r="T319" s="1" t="str">
        <f t="shared" si="58"/>
        <v>ندارد</v>
      </c>
      <c r="U319" s="1" t="str">
        <f>"سيفي پور عبدالمجيد(1009ج89)"</f>
        <v>سيفي پور عبدالمجيد(1009ج89)</v>
      </c>
      <c r="V319" s="1">
        <v>956200413</v>
      </c>
      <c r="W319" s="1">
        <v>956200413</v>
      </c>
      <c r="X319" s="1" t="str">
        <f>"1395470952"</f>
        <v>1395470952</v>
      </c>
      <c r="Y319" s="1" t="str">
        <f>"95/12/28"</f>
        <v>95/12/28</v>
      </c>
      <c r="Z319" s="1" t="str">
        <f>"57196/د"</f>
        <v>57196/د</v>
      </c>
      <c r="AA319" s="1" t="str">
        <f>"بنيادمسكن انقلاب اسلامي"</f>
        <v>بنيادمسكن انقلاب اسلامي</v>
      </c>
      <c r="AB319" s="1" t="str">
        <f>"95/12/22"</f>
        <v>95/12/22</v>
      </c>
      <c r="AC319" s="1" t="str">
        <f>"استان اصفهان"</f>
        <v>استان اصفهان</v>
      </c>
      <c r="AD319" s="1" t="str">
        <f>"95/12/24"</f>
        <v>95/12/24</v>
      </c>
      <c r="AE319" s="1" t="str">
        <f t="shared" si="72"/>
        <v>اختتام</v>
      </c>
      <c r="AF319" s="1" t="str">
        <f>""</f>
        <v/>
      </c>
      <c r="AG319" s="1" t="str">
        <f>""</f>
        <v/>
      </c>
      <c r="AH319" s="1" t="str">
        <f>""</f>
        <v/>
      </c>
      <c r="AI319" s="1" t="str">
        <f>""</f>
        <v/>
      </c>
      <c r="AJ319" s="1" t="str">
        <f>""</f>
        <v/>
      </c>
      <c r="AK319" s="1" t="str">
        <f>""</f>
        <v/>
      </c>
    </row>
    <row r="320" spans="1:37" x14ac:dyDescent="0.2">
      <c r="A320" s="1">
        <v>160000</v>
      </c>
      <c r="B320" s="1">
        <v>956200415</v>
      </c>
      <c r="C320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20" s="1">
        <v>8848</v>
      </c>
      <c r="E320" s="1">
        <v>159540</v>
      </c>
      <c r="F320" s="1">
        <v>95</v>
      </c>
      <c r="G320" s="1">
        <v>460</v>
      </c>
      <c r="H320" s="1" t="str">
        <f>"95/12/28"</f>
        <v>95/12/28</v>
      </c>
      <c r="I320" s="1" t="str">
        <f t="shared" si="55"/>
        <v>كيلوگرم</v>
      </c>
      <c r="J320" s="1" t="str">
        <f t="shared" si="70"/>
        <v>0000000076</v>
      </c>
      <c r="K320" s="1" t="str">
        <f t="shared" si="71"/>
        <v>قير 60/70 - فله</v>
      </c>
      <c r="L320" s="1">
        <v>100</v>
      </c>
      <c r="M320" s="1" t="str">
        <f t="shared" si="56"/>
        <v>مخازن قير اصفهان</v>
      </c>
      <c r="N320" s="1">
        <v>11001</v>
      </c>
      <c r="O320" s="1">
        <v>50034302</v>
      </c>
      <c r="P320" s="1" t="str">
        <f>"  بنياد مسکن انقلاب اسلامي نجف آباد"</f>
        <v xml:space="preserve">  بنياد مسکن انقلاب اسلامي نجف آباد</v>
      </c>
      <c r="Q320" s="1">
        <v>62</v>
      </c>
      <c r="R320" s="1" t="str">
        <f>"فروش داخلي - سازمان بنيادمسكن انقلاب اسلامي"</f>
        <v>فروش داخلي - سازمان بنيادمسكن انقلاب اسلامي</v>
      </c>
      <c r="S320" s="1" t="str">
        <f t="shared" si="57"/>
        <v>قرارداد فروش</v>
      </c>
      <c r="T320" s="1" t="str">
        <f t="shared" si="58"/>
        <v>ندارد</v>
      </c>
      <c r="U320" s="1" t="str">
        <f>"سيفي پور عبدالمجيد(1009ج89)"</f>
        <v>سيفي پور عبدالمجيد(1009ج89)</v>
      </c>
      <c r="V320" s="1">
        <v>956200415</v>
      </c>
      <c r="W320" s="1">
        <v>956200415</v>
      </c>
      <c r="X320" s="1" t="str">
        <f>"1395470952"</f>
        <v>1395470952</v>
      </c>
      <c r="Y320" s="1" t="str">
        <f>"95/12/28"</f>
        <v>95/12/28</v>
      </c>
      <c r="Z320" s="1" t="str">
        <f>"57002/د"</f>
        <v>57002/د</v>
      </c>
      <c r="AA320" s="1" t="str">
        <f>"بنيادمسكن انقلاب اسلامي"</f>
        <v>بنيادمسكن انقلاب اسلامي</v>
      </c>
      <c r="AB320" s="1" t="str">
        <f>"95/12/22"</f>
        <v>95/12/22</v>
      </c>
      <c r="AC320" s="1" t="str">
        <f>"استان اصفهان"</f>
        <v>استان اصفهان</v>
      </c>
      <c r="AD320" s="1" t="str">
        <f>"95/12/24"</f>
        <v>95/12/24</v>
      </c>
      <c r="AE320" s="1" t="str">
        <f t="shared" si="72"/>
        <v>اختتام</v>
      </c>
      <c r="AF320" s="1" t="str">
        <f>""</f>
        <v/>
      </c>
      <c r="AG320" s="1" t="str">
        <f>""</f>
        <v/>
      </c>
      <c r="AH320" s="1" t="str">
        <f>""</f>
        <v/>
      </c>
      <c r="AI320" s="1" t="str">
        <f>""</f>
        <v/>
      </c>
      <c r="AJ320" s="1" t="str">
        <f>""</f>
        <v/>
      </c>
      <c r="AK320" s="1" t="str">
        <f>""</f>
        <v/>
      </c>
    </row>
    <row r="321" spans="1:37" x14ac:dyDescent="0.2">
      <c r="A321" s="1">
        <v>241000</v>
      </c>
      <c r="B321" s="1">
        <v>956200136</v>
      </c>
      <c r="C321" s="1" t="str">
        <f>"تخليه -سيستان و بلوچستان - چابهار - روستاي کريم بخش"</f>
        <v>تخليه -سيستان و بلوچستان - چابهار - روستاي کريم بخش</v>
      </c>
      <c r="D321" s="1">
        <v>8861</v>
      </c>
      <c r="E321" s="1">
        <v>240440</v>
      </c>
      <c r="F321" s="1">
        <v>95</v>
      </c>
      <c r="G321" s="1">
        <v>560</v>
      </c>
      <c r="H321" s="1" t="str">
        <f>"95/10/13"</f>
        <v>95/10/13</v>
      </c>
      <c r="I321" s="1" t="str">
        <f t="shared" si="55"/>
        <v>كيلوگرم</v>
      </c>
      <c r="J321" s="1" t="str">
        <f t="shared" si="70"/>
        <v>0000000076</v>
      </c>
      <c r="K321" s="1" t="str">
        <f t="shared" si="71"/>
        <v>قير 60/70 - فله</v>
      </c>
      <c r="L321" s="1">
        <v>100</v>
      </c>
      <c r="M321" s="1" t="str">
        <f t="shared" si="56"/>
        <v>مخازن قير اصفهان</v>
      </c>
      <c r="N321" s="1">
        <v>10421</v>
      </c>
      <c r="O321" s="1">
        <v>50033265</v>
      </c>
      <c r="P321" s="1" t="str">
        <f>"  تعاوني راه وساختمان  3136سيستان سازه زابل"</f>
        <v xml:space="preserve">  تعاوني راه وساختمان  3136سيستان سازه زابل</v>
      </c>
      <c r="Q321" s="1">
        <v>62</v>
      </c>
      <c r="R321" s="1" t="str">
        <f>"فروش داخلي - سازمان بنيادمسكن انقلاب اسلامي"</f>
        <v>فروش داخلي - سازمان بنيادمسكن انقلاب اسلامي</v>
      </c>
      <c r="S321" s="1" t="str">
        <f t="shared" si="57"/>
        <v>قرارداد فروش</v>
      </c>
      <c r="T321" s="1" t="str">
        <f t="shared" si="58"/>
        <v>ندارد</v>
      </c>
      <c r="U321" s="1" t="str">
        <f>"ميهن دوست مرتضي(1044ج 94)"</f>
        <v>ميهن دوست مرتضي(1044ج 94)</v>
      </c>
      <c r="V321" s="1">
        <v>956200136</v>
      </c>
      <c r="W321" s="1">
        <v>956200136</v>
      </c>
      <c r="X321" s="1" t="str">
        <f>"1395456107"</f>
        <v>1395456107</v>
      </c>
      <c r="Y321" s="1" t="str">
        <f>"95/10/13"</f>
        <v>95/10/13</v>
      </c>
      <c r="Z321" s="1" t="str">
        <f>"42762/د"</f>
        <v>42762/د</v>
      </c>
      <c r="AA321" s="1" t="str">
        <f>"بنيادمسكن انقلاب اسلامي"</f>
        <v>بنيادمسكن انقلاب اسلامي</v>
      </c>
      <c r="AB321" s="1" t="str">
        <f>"95/10/08"</f>
        <v>95/10/08</v>
      </c>
      <c r="AC321" s="1" t="str">
        <f>"استان سيستان بلوچستان"</f>
        <v>استان سيستان بلوچستان</v>
      </c>
      <c r="AD321" s="1" t="str">
        <f>"95/10/11"</f>
        <v>95/10/11</v>
      </c>
      <c r="AE321" s="1" t="str">
        <f t="shared" si="72"/>
        <v>اختتام</v>
      </c>
      <c r="AF321" s="1" t="str">
        <f>""</f>
        <v/>
      </c>
      <c r="AG321" s="1" t="str">
        <f>""</f>
        <v/>
      </c>
      <c r="AH321" s="1" t="str">
        <f>""</f>
        <v/>
      </c>
      <c r="AI321" s="1" t="str">
        <f>""</f>
        <v/>
      </c>
      <c r="AJ321" s="1" t="str">
        <f>""</f>
        <v/>
      </c>
      <c r="AK321" s="1" t="str">
        <f>""</f>
        <v/>
      </c>
    </row>
    <row r="322" spans="1:37" x14ac:dyDescent="0.2">
      <c r="A322" s="1">
        <v>40000</v>
      </c>
      <c r="B322" s="1">
        <v>956200040</v>
      </c>
      <c r="C322" s="1" t="str">
        <f>"يزد-بهاباد-کارخانه آسفالت شهرداري بهاباد"</f>
        <v>يزد-بهاباد-کارخانه آسفالت شهرداري بهاباد</v>
      </c>
      <c r="D322" s="1">
        <v>5950</v>
      </c>
      <c r="E322" s="1">
        <v>38820</v>
      </c>
      <c r="F322" s="1">
        <v>95</v>
      </c>
      <c r="G322" s="1">
        <v>1180</v>
      </c>
      <c r="H322" s="1" t="str">
        <f>"95/04/05"</f>
        <v>95/04/05</v>
      </c>
      <c r="I322" s="1" t="str">
        <f t="shared" ref="I322:I385" si="73">"كيلوگرم"</f>
        <v>كيلوگرم</v>
      </c>
      <c r="J322" s="1" t="str">
        <f t="shared" si="70"/>
        <v>0000000076</v>
      </c>
      <c r="K322" s="1" t="str">
        <f t="shared" si="71"/>
        <v>قير 60/70 - فله</v>
      </c>
      <c r="L322" s="1">
        <v>100</v>
      </c>
      <c r="M322" s="1" t="str">
        <f t="shared" ref="M322:M385" si="74">"مخازن قير اصفهان"</f>
        <v>مخازن قير اصفهان</v>
      </c>
      <c r="N322" s="1">
        <v>11126</v>
      </c>
      <c r="O322" s="1">
        <v>50031100</v>
      </c>
      <c r="P322" s="1" t="str">
        <f>"  همواره راه کوير"</f>
        <v xml:space="preserve">  همواره راه کوير</v>
      </c>
      <c r="Q322" s="1">
        <v>62</v>
      </c>
      <c r="R322" s="1" t="str">
        <f>"فروش داخلي - سازمان بنيادمسكن انقلاب اسلامي"</f>
        <v>فروش داخلي - سازمان بنيادمسكن انقلاب اسلامي</v>
      </c>
      <c r="S322" s="1" t="str">
        <f t="shared" ref="S322:S385" si="75">"قرارداد فروش"</f>
        <v>قرارداد فروش</v>
      </c>
      <c r="T322" s="1" t="str">
        <f t="shared" ref="T322:T385" si="76">"ندارد"</f>
        <v>ندارد</v>
      </c>
      <c r="U322" s="1" t="str">
        <f>"عابدي محمود(1018ج89)"</f>
        <v>عابدي محمود(1018ج89)</v>
      </c>
      <c r="V322" s="1">
        <v>956200040</v>
      </c>
      <c r="W322" s="1">
        <v>956200040</v>
      </c>
      <c r="X322" s="1" t="str">
        <f>"1395411205"</f>
        <v>1395411205</v>
      </c>
      <c r="Y322" s="1" t="str">
        <f>"95/04/05"</f>
        <v>95/04/05</v>
      </c>
      <c r="Z322" s="1" t="str">
        <f>"13160/د"</f>
        <v>13160/د</v>
      </c>
      <c r="AA322" s="1" t="str">
        <f>"بنيادمسكن انقلاب اسلامي"</f>
        <v>بنيادمسكن انقلاب اسلامي</v>
      </c>
      <c r="AB322" s="1" t="str">
        <f>"95/04/02"</f>
        <v>95/04/02</v>
      </c>
      <c r="AC322" s="1" t="str">
        <f>"استان يزد"</f>
        <v>استان يزد</v>
      </c>
      <c r="AD322" s="1" t="str">
        <f>"95/04/05"</f>
        <v>95/04/05</v>
      </c>
      <c r="AE322" s="1" t="str">
        <f t="shared" si="72"/>
        <v>اختتام</v>
      </c>
      <c r="AF322" s="1" t="str">
        <f>""</f>
        <v/>
      </c>
      <c r="AG322" s="1" t="str">
        <f>""</f>
        <v/>
      </c>
      <c r="AH322" s="1" t="str">
        <f>""</f>
        <v/>
      </c>
      <c r="AI322" s="1" t="str">
        <f>""</f>
        <v/>
      </c>
      <c r="AJ322" s="1" t="str">
        <f>""</f>
        <v/>
      </c>
      <c r="AK322" s="1" t="str">
        <f>""</f>
        <v/>
      </c>
    </row>
    <row r="323" spans="1:37" x14ac:dyDescent="0.2">
      <c r="A323" s="1">
        <v>66000</v>
      </c>
      <c r="B323" s="1">
        <v>952000200</v>
      </c>
      <c r="C323" s="1" t="str">
        <f>"تخليه - لرستان- کوهدشت- سه راهي زانوگه-کيلومتر 5 جاده اسلام آباد-پلدختر-کارخانه آسفالت شيراوند"</f>
        <v>تخليه - لرستان- کوهدشت- سه راهي زانوگه-کيلومتر 5 جاده اسلام آباد-پلدختر-کارخانه آسفالت شيراوند</v>
      </c>
      <c r="D323" s="1">
        <v>8023</v>
      </c>
      <c r="E323" s="1">
        <v>64960</v>
      </c>
      <c r="F323" s="1">
        <v>95</v>
      </c>
      <c r="G323" s="1">
        <v>1040</v>
      </c>
      <c r="H323" s="1" t="str">
        <f>"95/08/16"</f>
        <v>95/08/16</v>
      </c>
      <c r="I323" s="1" t="str">
        <f t="shared" si="73"/>
        <v>كيلوگرم</v>
      </c>
      <c r="J323" s="1" t="str">
        <f t="shared" si="70"/>
        <v>0000000076</v>
      </c>
      <c r="K323" s="1" t="str">
        <f t="shared" si="71"/>
        <v>قير 60/70 - فله</v>
      </c>
      <c r="L323" s="1">
        <v>100</v>
      </c>
      <c r="M323" s="1" t="str">
        <f t="shared" si="74"/>
        <v>مخازن قير اصفهان</v>
      </c>
      <c r="N323" s="1">
        <v>11177</v>
      </c>
      <c r="O323" s="1">
        <v>50032506</v>
      </c>
      <c r="P323" s="1" t="str">
        <f>"  شهرداري درب گنبد"</f>
        <v xml:space="preserve">  شهرداري درب گنبد</v>
      </c>
      <c r="Q323" s="1">
        <v>20</v>
      </c>
      <c r="R323" s="1" t="str">
        <f>"فروش داخلي - سازمان شهرداري ها و دهياري هاي كشور"</f>
        <v>فروش داخلي - سازمان شهرداري ها و دهياري هاي كشور</v>
      </c>
      <c r="S323" s="1" t="str">
        <f t="shared" si="75"/>
        <v>قرارداد فروش</v>
      </c>
      <c r="T323" s="1" t="str">
        <f t="shared" si="76"/>
        <v>ندارد</v>
      </c>
      <c r="U323" s="1" t="str">
        <f>"عظيمي محمد(2842015)"</f>
        <v>عظيمي محمد(2842015)</v>
      </c>
      <c r="V323" s="1">
        <v>952000200</v>
      </c>
      <c r="W323" s="1">
        <v>952000200</v>
      </c>
      <c r="X323" s="1" t="str">
        <f>"1395443199"</f>
        <v>1395443199</v>
      </c>
      <c r="Y323" s="1" t="str">
        <f>"95/08/16"</f>
        <v>95/08/16</v>
      </c>
      <c r="Z323" s="1" t="str">
        <f>"39489"</f>
        <v>39489</v>
      </c>
      <c r="AA323" s="1" t="str">
        <f>"شهرداريها"</f>
        <v>شهرداريها</v>
      </c>
      <c r="AB323" s="1" t="str">
        <f>"95/08/11"</f>
        <v>95/08/11</v>
      </c>
      <c r="AC323" s="1" t="str">
        <f>"لرستان"</f>
        <v>لرستان</v>
      </c>
      <c r="AD323" s="1" t="str">
        <f>"95/08/15"</f>
        <v>95/08/15</v>
      </c>
      <c r="AE323" s="1" t="str">
        <f t="shared" si="72"/>
        <v>اختتام</v>
      </c>
      <c r="AF323" s="1" t="str">
        <f>""</f>
        <v/>
      </c>
      <c r="AG323" s="1" t="str">
        <f>""</f>
        <v/>
      </c>
      <c r="AH323" s="1" t="str">
        <f>""</f>
        <v/>
      </c>
      <c r="AI323" s="1" t="str">
        <f>""</f>
        <v/>
      </c>
      <c r="AJ323" s="1" t="str">
        <f>""</f>
        <v/>
      </c>
      <c r="AK323" s="1" t="str">
        <f>""</f>
        <v/>
      </c>
    </row>
    <row r="324" spans="1:37" x14ac:dyDescent="0.2">
      <c r="A324" s="1">
        <v>67000</v>
      </c>
      <c r="B324" s="1">
        <v>952000081</v>
      </c>
      <c r="C324" s="1" t="str">
        <f>"تخليه - لرستان-خرم آباد شهر بيران شهر"</f>
        <v>تخليه - لرستان-خرم آباد شهر بيران شهر</v>
      </c>
      <c r="D324" s="1">
        <v>6876</v>
      </c>
      <c r="E324" s="1">
        <v>66780</v>
      </c>
      <c r="F324" s="1">
        <v>95</v>
      </c>
      <c r="G324" s="1">
        <v>220</v>
      </c>
      <c r="H324" s="1" t="str">
        <f>"95/06/20"</f>
        <v>95/06/20</v>
      </c>
      <c r="I324" s="1" t="str">
        <f t="shared" si="73"/>
        <v>كيلوگرم</v>
      </c>
      <c r="J324" s="1" t="str">
        <f t="shared" si="70"/>
        <v>0000000076</v>
      </c>
      <c r="K324" s="1" t="str">
        <f t="shared" si="71"/>
        <v>قير 60/70 - فله</v>
      </c>
      <c r="L324" s="1">
        <v>100</v>
      </c>
      <c r="M324" s="1" t="str">
        <f t="shared" si="74"/>
        <v>مخازن قير اصفهان</v>
      </c>
      <c r="N324" s="1">
        <v>11180</v>
      </c>
      <c r="O324" s="1">
        <v>50031839</v>
      </c>
      <c r="P324" s="1" t="str">
        <f>"  شهرداري بيران شهر"</f>
        <v xml:space="preserve">  شهرداري بيران شهر</v>
      </c>
      <c r="Q324" s="1">
        <v>20</v>
      </c>
      <c r="R324" s="1" t="str">
        <f>"فروش داخلي - سازمان شهرداري ها و دهياري هاي كشور"</f>
        <v>فروش داخلي - سازمان شهرداري ها و دهياري هاي كشور</v>
      </c>
      <c r="S324" s="1" t="str">
        <f t="shared" si="75"/>
        <v>قرارداد فروش</v>
      </c>
      <c r="T324" s="1" t="str">
        <f t="shared" si="76"/>
        <v>ندارد</v>
      </c>
      <c r="U324" s="1" t="str">
        <f>"رضائي كلهر حسن (1901099)"</f>
        <v>رضائي كلهر حسن (1901099)</v>
      </c>
      <c r="V324" s="1">
        <v>952000081</v>
      </c>
      <c r="W324" s="1">
        <v>952000081</v>
      </c>
      <c r="X324" s="1" t="str">
        <f>"1395430319"</f>
        <v>1395430319</v>
      </c>
      <c r="Y324" s="1" t="str">
        <f>"95/06/20"</f>
        <v>95/06/20</v>
      </c>
      <c r="Z324" s="1" t="str">
        <f>"27928"</f>
        <v>27928</v>
      </c>
      <c r="AA324" s="1" t="str">
        <f>"شهرداريها"</f>
        <v>شهرداريها</v>
      </c>
      <c r="AB324" s="1" t="str">
        <f>"95/06/13"</f>
        <v>95/06/13</v>
      </c>
      <c r="AC324" s="1" t="str">
        <f>"لرستان"</f>
        <v>لرستان</v>
      </c>
      <c r="AD324" s="1" t="str">
        <f>"95/06/17"</f>
        <v>95/06/17</v>
      </c>
      <c r="AE324" s="1" t="str">
        <f t="shared" si="72"/>
        <v>اختتام</v>
      </c>
      <c r="AF324" s="1" t="str">
        <f>""</f>
        <v/>
      </c>
      <c r="AG324" s="1" t="str">
        <f>""</f>
        <v/>
      </c>
      <c r="AH324" s="1" t="str">
        <f>""</f>
        <v/>
      </c>
      <c r="AI324" s="1" t="str">
        <f>""</f>
        <v/>
      </c>
      <c r="AJ324" s="1" t="str">
        <f>""</f>
        <v/>
      </c>
      <c r="AK324" s="1" t="str">
        <f>""</f>
        <v/>
      </c>
    </row>
    <row r="325" spans="1:37" x14ac:dyDescent="0.2">
      <c r="A325" s="1">
        <v>148000</v>
      </c>
      <c r="B325" s="1">
        <v>952000122</v>
      </c>
      <c r="C325" s="1" t="str">
        <f>"تخليه اصفهان -شهرستان دامنه كارخانه آسفالت شهرداري دامنه"</f>
        <v>تخليه اصفهان -شهرستان دامنه كارخانه آسفالت شهرداري دامنه</v>
      </c>
      <c r="D325" s="1">
        <v>6976</v>
      </c>
      <c r="E325" s="1">
        <v>147700</v>
      </c>
      <c r="F325" s="1">
        <v>95</v>
      </c>
      <c r="G325" s="1">
        <v>300</v>
      </c>
      <c r="H325" s="1" t="str">
        <f>"95/07/08"</f>
        <v>95/07/08</v>
      </c>
      <c r="I325" s="1" t="str">
        <f t="shared" si="73"/>
        <v>كيلوگرم</v>
      </c>
      <c r="J325" s="1" t="str">
        <f t="shared" si="70"/>
        <v>0000000076</v>
      </c>
      <c r="K325" s="1" t="str">
        <f t="shared" si="71"/>
        <v>قير 60/70 - فله</v>
      </c>
      <c r="L325" s="1">
        <v>100</v>
      </c>
      <c r="M325" s="1" t="str">
        <f t="shared" si="74"/>
        <v>مخازن قير اصفهان</v>
      </c>
      <c r="N325" s="1">
        <v>11190</v>
      </c>
      <c r="O325" s="1">
        <v>50032033</v>
      </c>
      <c r="P325" s="1" t="str">
        <f>"  شهرداري داران"</f>
        <v xml:space="preserve">  شهرداري داران</v>
      </c>
      <c r="Q325" s="1">
        <v>20</v>
      </c>
      <c r="R325" s="1" t="str">
        <f>"فروش داخلي - سازمان شهرداري ها و دهياري هاي كشور"</f>
        <v>فروش داخلي - سازمان شهرداري ها و دهياري هاي كشور</v>
      </c>
      <c r="S325" s="1" t="str">
        <f t="shared" si="75"/>
        <v>قرارداد فروش</v>
      </c>
      <c r="T325" s="1" t="str">
        <f t="shared" si="76"/>
        <v>ندارد</v>
      </c>
      <c r="U325" s="1" t="str">
        <f>"سيفي پور گودرز(1019ج89)"</f>
        <v>سيفي پور گودرز(1019ج89)</v>
      </c>
      <c r="V325" s="1">
        <v>952000122</v>
      </c>
      <c r="W325" s="1">
        <v>952000122</v>
      </c>
      <c r="X325" s="1" t="str">
        <f>"1395434881"</f>
        <v>1395434881</v>
      </c>
      <c r="Y325" s="1" t="str">
        <f>"95/07/08"</f>
        <v>95/07/08</v>
      </c>
      <c r="Z325" s="1" t="str">
        <f>"27794"</f>
        <v>27794</v>
      </c>
      <c r="AA325" s="1" t="str">
        <f>"شهرداريها"</f>
        <v>شهرداريها</v>
      </c>
      <c r="AB325" s="1" t="str">
        <f>"95/06/10"</f>
        <v>95/06/10</v>
      </c>
      <c r="AC325" s="1" t="str">
        <f>"استان اصفهان"</f>
        <v>استان اصفهان</v>
      </c>
      <c r="AD325" s="1" t="str">
        <f>"95/07/07"</f>
        <v>95/07/07</v>
      </c>
      <c r="AE325" s="1" t="str">
        <f t="shared" si="72"/>
        <v>اختتام</v>
      </c>
      <c r="AF325" s="1" t="str">
        <f>""</f>
        <v/>
      </c>
      <c r="AG325" s="1" t="str">
        <f>""</f>
        <v/>
      </c>
      <c r="AH325" s="1" t="str">
        <f>""</f>
        <v/>
      </c>
      <c r="AI325" s="1" t="str">
        <f>""</f>
        <v/>
      </c>
      <c r="AJ325" s="1" t="str">
        <f>""</f>
        <v/>
      </c>
      <c r="AK325" s="1" t="str">
        <f>""</f>
        <v/>
      </c>
    </row>
    <row r="326" spans="1:37" x14ac:dyDescent="0.2">
      <c r="A326" s="1">
        <v>285000</v>
      </c>
      <c r="B326" s="1">
        <v>956200098</v>
      </c>
      <c r="C326" s="1" t="str">
        <f>"تخليه - چهارمحال و بختياري-بروجن-گندمان-پشت قطب صنعتي گندمان-کارخانه آسفالت احمدي"</f>
        <v>تخليه - چهارمحال و بختياري-بروجن-گندمان-پشت قطب صنعتي گندمان-کارخانه آسفالت احمدي</v>
      </c>
      <c r="D326" s="1">
        <v>7026</v>
      </c>
      <c r="E326" s="1">
        <v>284060</v>
      </c>
      <c r="F326" s="1">
        <v>95</v>
      </c>
      <c r="G326" s="1">
        <v>940</v>
      </c>
      <c r="H326" s="1" t="str">
        <f>"95/09/14"</f>
        <v>95/09/14</v>
      </c>
      <c r="I326" s="1" t="str">
        <f t="shared" si="73"/>
        <v>كيلوگرم</v>
      </c>
      <c r="J326" s="1" t="str">
        <f t="shared" si="70"/>
        <v>0000000076</v>
      </c>
      <c r="K326" s="1" t="str">
        <f t="shared" si="71"/>
        <v>قير 60/70 - فله</v>
      </c>
      <c r="L326" s="1">
        <v>100</v>
      </c>
      <c r="M326" s="1" t="str">
        <f t="shared" si="74"/>
        <v>مخازن قير اصفهان</v>
      </c>
      <c r="N326" s="1">
        <v>11181</v>
      </c>
      <c r="O326" s="1">
        <v>50032837</v>
      </c>
      <c r="P326" s="1" t="str">
        <f>"   راه و ساختمان سحرخيزان پرتلاش سونک"</f>
        <v xml:space="preserve">   راه و ساختمان سحرخيزان پرتلاش سونک</v>
      </c>
      <c r="Q326" s="1">
        <v>62</v>
      </c>
      <c r="R326" s="1" t="str">
        <f>"فروش داخلي - سازمان بنيادمسكن انقلاب اسلامي"</f>
        <v>فروش داخلي - سازمان بنيادمسكن انقلاب اسلامي</v>
      </c>
      <c r="S326" s="1" t="str">
        <f t="shared" si="75"/>
        <v>قرارداد فروش</v>
      </c>
      <c r="T326" s="1" t="str">
        <f t="shared" si="76"/>
        <v>ندارد</v>
      </c>
      <c r="U326" s="1" t="str">
        <f>"قره باغي مجيد(1871065)"</f>
        <v>قره باغي مجيد(1871065)</v>
      </c>
      <c r="V326" s="1">
        <v>956200098</v>
      </c>
      <c r="W326" s="1">
        <v>956200098</v>
      </c>
      <c r="X326" s="1" t="str">
        <f>"1395449223"</f>
        <v>1395449223</v>
      </c>
      <c r="Y326" s="1" t="str">
        <f>"95/09/14"</f>
        <v>95/09/14</v>
      </c>
      <c r="Z326" s="1" t="str">
        <f>"38412/د"</f>
        <v>38412/د</v>
      </c>
      <c r="AA326" s="1" t="str">
        <f>"بنيادمسكن انقلاب اسلامي"</f>
        <v>بنيادمسكن انقلاب اسلامي</v>
      </c>
      <c r="AB326" s="1" t="str">
        <f>"95/09/13"</f>
        <v>95/09/13</v>
      </c>
      <c r="AC326" s="1" t="str">
        <f>"استان اصفهان"</f>
        <v>استان اصفهان</v>
      </c>
      <c r="AD326" s="1" t="str">
        <f>"95/09/14"</f>
        <v>95/09/14</v>
      </c>
      <c r="AE326" s="1" t="str">
        <f t="shared" si="72"/>
        <v>اختتام</v>
      </c>
      <c r="AF326" s="1" t="str">
        <f>""</f>
        <v/>
      </c>
      <c r="AG326" s="1" t="str">
        <f>""</f>
        <v/>
      </c>
      <c r="AH326" s="1" t="str">
        <f>""</f>
        <v/>
      </c>
      <c r="AI326" s="1" t="str">
        <f>""</f>
        <v/>
      </c>
      <c r="AJ326" s="1" t="str">
        <f>""</f>
        <v/>
      </c>
      <c r="AK326" s="1" t="str">
        <f>""</f>
        <v/>
      </c>
    </row>
    <row r="327" spans="1:37" x14ac:dyDescent="0.2">
      <c r="A327" s="1">
        <v>71000</v>
      </c>
      <c r="B327" s="1">
        <v>952000110</v>
      </c>
      <c r="C327" s="1" t="str">
        <f>"تخليه - اصفهان جاده سيمان سپاهان -شهرک صنعتي اشترجان انتهاي خ يازدهم شرکت راه آژند"</f>
        <v>تخليه - اصفهان جاده سيمان سپاهان -شهرک صنعتي اشترجان انتهاي خ يازدهم شرکت راه آژند</v>
      </c>
      <c r="D327" s="1">
        <v>6976</v>
      </c>
      <c r="E327" s="1">
        <v>70080</v>
      </c>
      <c r="F327" s="1">
        <v>95</v>
      </c>
      <c r="G327" s="1">
        <v>920</v>
      </c>
      <c r="H327" s="1" t="str">
        <f>"95/07/06"</f>
        <v>95/07/06</v>
      </c>
      <c r="I327" s="1" t="str">
        <f t="shared" si="73"/>
        <v>كيلوگرم</v>
      </c>
      <c r="J327" s="1" t="str">
        <f t="shared" si="70"/>
        <v>0000000076</v>
      </c>
      <c r="K327" s="1" t="str">
        <f t="shared" si="71"/>
        <v>قير 60/70 - فله</v>
      </c>
      <c r="L327" s="1">
        <v>100</v>
      </c>
      <c r="M327" s="1" t="str">
        <f t="shared" si="74"/>
        <v>مخازن قير اصفهان</v>
      </c>
      <c r="N327" s="1">
        <v>11184</v>
      </c>
      <c r="O327" s="1">
        <v>50031976</v>
      </c>
      <c r="P327" s="1" t="str">
        <f>"  شهرداري باغشاد"</f>
        <v xml:space="preserve">  شهرداري باغشاد</v>
      </c>
      <c r="Q327" s="1">
        <v>20</v>
      </c>
      <c r="R327" s="1" t="str">
        <f>"فروش داخلي - سازمان شهرداري ها و دهياري هاي كشور"</f>
        <v>فروش داخلي - سازمان شهرداري ها و دهياري هاي كشور</v>
      </c>
      <c r="S327" s="1" t="str">
        <f t="shared" si="75"/>
        <v>قرارداد فروش</v>
      </c>
      <c r="T327" s="1" t="str">
        <f t="shared" si="76"/>
        <v>ندارد</v>
      </c>
      <c r="U327" s="1" t="str">
        <f>"سيفي پور عبدالمجيد(1009ج89)"</f>
        <v>سيفي پور عبدالمجيد(1009ج89)</v>
      </c>
      <c r="V327" s="1">
        <v>952000110</v>
      </c>
      <c r="W327" s="1">
        <v>952000110</v>
      </c>
      <c r="X327" s="1" t="str">
        <f>"1395433645"</f>
        <v>1395433645</v>
      </c>
      <c r="Y327" s="1" t="str">
        <f>"95/07/06"</f>
        <v>95/07/06</v>
      </c>
      <c r="Z327" s="1" t="str">
        <f>"27781"</f>
        <v>27781</v>
      </c>
      <c r="AA327" s="1" t="str">
        <f>"شهرداريها"</f>
        <v>شهرداريها</v>
      </c>
      <c r="AB327" s="1" t="str">
        <f>"95/06/10"</f>
        <v>95/06/10</v>
      </c>
      <c r="AC327" s="1" t="str">
        <f>"استان اصفهان"</f>
        <v>استان اصفهان</v>
      </c>
      <c r="AD327" s="1" t="str">
        <f>"95/07/04"</f>
        <v>95/07/04</v>
      </c>
      <c r="AE327" s="1" t="str">
        <f t="shared" si="72"/>
        <v>اختتام</v>
      </c>
      <c r="AF327" s="1" t="str">
        <f>""</f>
        <v/>
      </c>
      <c r="AG327" s="1" t="str">
        <f>""</f>
        <v/>
      </c>
      <c r="AH327" s="1" t="str">
        <f>""</f>
        <v/>
      </c>
      <c r="AI327" s="1" t="str">
        <f>""</f>
        <v/>
      </c>
      <c r="AJ327" s="1" t="str">
        <f>""</f>
        <v/>
      </c>
      <c r="AK327" s="1" t="str">
        <f>""</f>
        <v/>
      </c>
    </row>
    <row r="328" spans="1:37" x14ac:dyDescent="0.2">
      <c r="A328" s="1">
        <v>300000</v>
      </c>
      <c r="B328" s="1">
        <v>956200080</v>
      </c>
      <c r="C328" s="1" t="str">
        <f>"تخليه - کهگيلويه- دهدشت-خيرآباد -کارخانه آسفالت مظاهري"</f>
        <v>تخليه - کهگيلويه- دهدشت-خيرآباد -کارخانه آسفالت مظاهري</v>
      </c>
      <c r="D328" s="1">
        <v>6976</v>
      </c>
      <c r="E328" s="1">
        <v>298040</v>
      </c>
      <c r="F328" s="1">
        <v>95</v>
      </c>
      <c r="G328" s="1">
        <v>1960</v>
      </c>
      <c r="H328" s="1" t="str">
        <f>"95/07/05"</f>
        <v>95/07/05</v>
      </c>
      <c r="I328" s="1" t="str">
        <f t="shared" si="73"/>
        <v>كيلوگرم</v>
      </c>
      <c r="J328" s="1" t="str">
        <f t="shared" si="70"/>
        <v>0000000076</v>
      </c>
      <c r="K328" s="1" t="str">
        <f t="shared" si="71"/>
        <v>قير 60/70 - فله</v>
      </c>
      <c r="L328" s="1">
        <v>100</v>
      </c>
      <c r="M328" s="1" t="str">
        <f t="shared" si="74"/>
        <v>مخازن قير اصفهان</v>
      </c>
      <c r="N328" s="1">
        <v>11187</v>
      </c>
      <c r="O328" s="1">
        <v>50031946</v>
      </c>
      <c r="P328" s="1" t="str">
        <f>"  ساعي نصر"</f>
        <v xml:space="preserve">  ساعي نصر</v>
      </c>
      <c r="Q328" s="1">
        <v>62</v>
      </c>
      <c r="R328" s="1" t="str">
        <f>"فروش داخلي - سازمان بنيادمسكن انقلاب اسلامي"</f>
        <v>فروش داخلي - سازمان بنيادمسكن انقلاب اسلامي</v>
      </c>
      <c r="S328" s="1" t="str">
        <f t="shared" si="75"/>
        <v>قرارداد فروش</v>
      </c>
      <c r="T328" s="1" t="str">
        <f t="shared" si="76"/>
        <v>ندارد</v>
      </c>
      <c r="U328" s="1" t="str">
        <f>"غلام نجفي سيامك‌‌‌‌‌‌(1881082)"</f>
        <v>غلام نجفي سيامك‌‌‌‌‌‌(1881082)</v>
      </c>
      <c r="V328" s="1">
        <v>956200080</v>
      </c>
      <c r="W328" s="1">
        <v>956200080</v>
      </c>
      <c r="X328" s="1" t="str">
        <f>"1395433644"</f>
        <v>1395433644</v>
      </c>
      <c r="Y328" s="1" t="str">
        <f>"95/07/05"</f>
        <v>95/07/05</v>
      </c>
      <c r="Z328" s="1" t="str">
        <f>"27296/د"</f>
        <v>27296/د</v>
      </c>
      <c r="AA328" s="1" t="str">
        <f>"بنيادمسكن انقلاب اسلامي"</f>
        <v>بنيادمسكن انقلاب اسلامي</v>
      </c>
      <c r="AB328" s="1" t="str">
        <f>"95/07/03"</f>
        <v>95/07/03</v>
      </c>
      <c r="AC328" s="1" t="str">
        <f>"كهكيلويه و بوير احمد"</f>
        <v>كهكيلويه و بوير احمد</v>
      </c>
      <c r="AD328" s="1" t="str">
        <f>"95/07/04"</f>
        <v>95/07/04</v>
      </c>
      <c r="AE328" s="1" t="str">
        <f t="shared" si="72"/>
        <v>اختتام</v>
      </c>
      <c r="AF328" s="1" t="str">
        <f>""</f>
        <v/>
      </c>
      <c r="AG328" s="1" t="str">
        <f>""</f>
        <v/>
      </c>
      <c r="AH328" s="1" t="str">
        <f>""</f>
        <v/>
      </c>
      <c r="AI328" s="1" t="str">
        <f>""</f>
        <v/>
      </c>
      <c r="AJ328" s="1" t="str">
        <f>""</f>
        <v/>
      </c>
      <c r="AK328" s="1" t="str">
        <f>""</f>
        <v/>
      </c>
    </row>
    <row r="329" spans="1:37" x14ac:dyDescent="0.2">
      <c r="A329" s="1">
        <v>850000</v>
      </c>
      <c r="B329" s="1">
        <v>956200081</v>
      </c>
      <c r="C329" s="1" t="str">
        <f>"تخليه - کهگيلويه -باشت -روستاي سرابيز -کارخانه آسفالت سرابيز"</f>
        <v>تخليه - کهگيلويه -باشت -روستاي سرابيز -کارخانه آسفالت سرابيز</v>
      </c>
      <c r="D329" s="1">
        <v>6976</v>
      </c>
      <c r="E329" s="1">
        <v>849320</v>
      </c>
      <c r="F329" s="1">
        <v>95</v>
      </c>
      <c r="G329" s="1">
        <v>680</v>
      </c>
      <c r="H329" s="1" t="str">
        <f>"95/07/06"</f>
        <v>95/07/06</v>
      </c>
      <c r="I329" s="1" t="str">
        <f t="shared" si="73"/>
        <v>كيلوگرم</v>
      </c>
      <c r="J329" s="1" t="str">
        <f t="shared" si="70"/>
        <v>0000000076</v>
      </c>
      <c r="K329" s="1" t="str">
        <f t="shared" si="71"/>
        <v>قير 60/70 - فله</v>
      </c>
      <c r="L329" s="1">
        <v>100</v>
      </c>
      <c r="M329" s="1" t="str">
        <f t="shared" si="74"/>
        <v>مخازن قير اصفهان</v>
      </c>
      <c r="N329" s="1">
        <v>11189</v>
      </c>
      <c r="O329" s="1">
        <v>50031997</v>
      </c>
      <c r="P329" s="1" t="str">
        <f>"  ساحل عمران تنگه تنگاري"</f>
        <v xml:space="preserve">  ساحل عمران تنگه تنگاري</v>
      </c>
      <c r="Q329" s="1">
        <v>62</v>
      </c>
      <c r="R329" s="1" t="str">
        <f>"فروش داخلي - سازمان بنيادمسكن انقلاب اسلامي"</f>
        <v>فروش داخلي - سازمان بنيادمسكن انقلاب اسلامي</v>
      </c>
      <c r="S329" s="1" t="str">
        <f t="shared" si="75"/>
        <v>قرارداد فروش</v>
      </c>
      <c r="T329" s="1" t="str">
        <f t="shared" si="76"/>
        <v>ندارد</v>
      </c>
      <c r="U329" s="1" t="str">
        <f>"غلام نجفي سيامك‌‌‌‌‌‌(1881082)"</f>
        <v>غلام نجفي سيامك‌‌‌‌‌‌(1881082)</v>
      </c>
      <c r="V329" s="1">
        <v>956200081</v>
      </c>
      <c r="W329" s="1">
        <v>956200081</v>
      </c>
      <c r="X329" s="1" t="str">
        <f>"1395433840"</f>
        <v>1395433840</v>
      </c>
      <c r="Y329" s="1" t="str">
        <f>"95/07/06"</f>
        <v>95/07/06</v>
      </c>
      <c r="Z329" s="1" t="str">
        <f>"27448/د"</f>
        <v>27448/د</v>
      </c>
      <c r="AA329" s="1" t="str">
        <f>"بنيادمسكن انقلاب اسلامي"</f>
        <v>بنيادمسكن انقلاب اسلامي</v>
      </c>
      <c r="AB329" s="1" t="str">
        <f>"95/07/04"</f>
        <v>95/07/04</v>
      </c>
      <c r="AC329" s="1" t="str">
        <f>"كهكيلويه و بوير احمد"</f>
        <v>كهكيلويه و بوير احمد</v>
      </c>
      <c r="AD329" s="1" t="str">
        <f>"95/07/05"</f>
        <v>95/07/05</v>
      </c>
      <c r="AE329" s="1" t="str">
        <f t="shared" si="72"/>
        <v>اختتام</v>
      </c>
      <c r="AF329" s="1" t="str">
        <f>""</f>
        <v/>
      </c>
      <c r="AG329" s="1" t="str">
        <f>""</f>
        <v/>
      </c>
      <c r="AH329" s="1" t="str">
        <f>""</f>
        <v/>
      </c>
      <c r="AI329" s="1" t="str">
        <f>""</f>
        <v/>
      </c>
      <c r="AJ329" s="1" t="str">
        <f>""</f>
        <v/>
      </c>
      <c r="AK329" s="1" t="str">
        <f>""</f>
        <v/>
      </c>
    </row>
    <row r="330" spans="1:37" x14ac:dyDescent="0.2">
      <c r="A330" s="1">
        <v>130000</v>
      </c>
      <c r="B330" s="1">
        <v>956200348</v>
      </c>
      <c r="C330" s="1" t="str">
        <f>"تخليه - کهگيلويه -باشت -روستاي سرابيز -کارخانه آسفالت سرابيز"</f>
        <v>تخليه - کهگيلويه -باشت -روستاي سرابيز -کارخانه آسفالت سرابيز</v>
      </c>
      <c r="D330" s="1">
        <v>8848</v>
      </c>
      <c r="E330" s="1">
        <v>128640</v>
      </c>
      <c r="F330" s="1">
        <v>95</v>
      </c>
      <c r="G330" s="1">
        <v>1360</v>
      </c>
      <c r="H330" s="1" t="str">
        <f>"95/12/22"</f>
        <v>95/12/22</v>
      </c>
      <c r="I330" s="1" t="str">
        <f t="shared" si="73"/>
        <v>كيلوگرم</v>
      </c>
      <c r="J330" s="1" t="str">
        <f t="shared" si="70"/>
        <v>0000000076</v>
      </c>
      <c r="K330" s="1" t="str">
        <f t="shared" si="71"/>
        <v>قير 60/70 - فله</v>
      </c>
      <c r="L330" s="1">
        <v>100</v>
      </c>
      <c r="M330" s="1" t="str">
        <f t="shared" si="74"/>
        <v>مخازن قير اصفهان</v>
      </c>
      <c r="N330" s="1">
        <v>11189</v>
      </c>
      <c r="O330" s="1">
        <v>50034130</v>
      </c>
      <c r="P330" s="1" t="str">
        <f>"  ساحل عمران تنگه تنگاري"</f>
        <v xml:space="preserve">  ساحل عمران تنگه تنگاري</v>
      </c>
      <c r="Q330" s="1">
        <v>62</v>
      </c>
      <c r="R330" s="1" t="str">
        <f>"فروش داخلي - سازمان بنيادمسكن انقلاب اسلامي"</f>
        <v>فروش داخلي - سازمان بنيادمسكن انقلاب اسلامي</v>
      </c>
      <c r="S330" s="1" t="str">
        <f t="shared" si="75"/>
        <v>قرارداد فروش</v>
      </c>
      <c r="T330" s="1" t="str">
        <f t="shared" si="76"/>
        <v>ندارد</v>
      </c>
      <c r="U330" s="1" t="str">
        <f>"غلام نجفي سيامك‌‌‌‌‌‌(1881082)"</f>
        <v>غلام نجفي سيامك‌‌‌‌‌‌(1881082)</v>
      </c>
      <c r="V330" s="1">
        <v>956200348</v>
      </c>
      <c r="W330" s="1">
        <v>956200348</v>
      </c>
      <c r="X330" s="1" t="str">
        <f>"1395470439"</f>
        <v>1395470439</v>
      </c>
      <c r="Y330" s="1" t="str">
        <f>"95/12/22"</f>
        <v>95/12/22</v>
      </c>
      <c r="Z330" s="1" t="str">
        <f>"56784/د"</f>
        <v>56784/د</v>
      </c>
      <c r="AA330" s="1" t="str">
        <f>"بنيادمسكن انقلاب اسلامي"</f>
        <v>بنيادمسكن انقلاب اسلامي</v>
      </c>
      <c r="AB330" s="1" t="str">
        <f>"95/12/22"</f>
        <v>95/12/22</v>
      </c>
      <c r="AC330" s="1" t="str">
        <f>"كهكيلويه و بوير احمد"</f>
        <v>كهكيلويه و بوير احمد</v>
      </c>
      <c r="AD330" s="1" t="str">
        <f>"95/12/22"</f>
        <v>95/12/22</v>
      </c>
      <c r="AE330" s="1" t="str">
        <f t="shared" si="72"/>
        <v>اختتام</v>
      </c>
      <c r="AF330" s="1" t="str">
        <f>""</f>
        <v/>
      </c>
      <c r="AG330" s="1" t="str">
        <f>""</f>
        <v/>
      </c>
      <c r="AH330" s="1" t="str">
        <f>""</f>
        <v/>
      </c>
      <c r="AI330" s="1" t="str">
        <f>""</f>
        <v/>
      </c>
      <c r="AJ330" s="1" t="str">
        <f>""</f>
        <v/>
      </c>
      <c r="AK330" s="1" t="str">
        <f>""</f>
        <v/>
      </c>
    </row>
    <row r="331" spans="1:37" x14ac:dyDescent="0.2">
      <c r="A331" s="1">
        <v>800000</v>
      </c>
      <c r="B331" s="1">
        <v>951100130</v>
      </c>
      <c r="C331" s="1" t="str">
        <f>"تخليه -استان البرز-كرج -كارخانه آسفالت سازمان عمران ونوسازي شهرداري كرج"</f>
        <v>تخليه -استان البرز-كرج -كارخانه آسفالت سازمان عمران ونوسازي شهرداري كرج</v>
      </c>
      <c r="D331" s="1">
        <v>6976</v>
      </c>
      <c r="E331" s="1">
        <v>799800</v>
      </c>
      <c r="F331" s="1">
        <v>95</v>
      </c>
      <c r="G331" s="1">
        <v>200</v>
      </c>
      <c r="H331" s="1" t="str">
        <f>"95/07/26"</f>
        <v>95/07/26</v>
      </c>
      <c r="I331" s="1" t="str">
        <f t="shared" si="73"/>
        <v>كيلوگرم</v>
      </c>
      <c r="J331" s="1" t="str">
        <f t="shared" si="70"/>
        <v>0000000076</v>
      </c>
      <c r="K331" s="1" t="str">
        <f t="shared" si="71"/>
        <v>قير 60/70 - فله</v>
      </c>
      <c r="L331" s="1">
        <v>100</v>
      </c>
      <c r="M331" s="1" t="str">
        <f t="shared" si="74"/>
        <v>مخازن قير اصفهان</v>
      </c>
      <c r="N331" s="1">
        <v>10539</v>
      </c>
      <c r="O331" s="1">
        <v>50032207</v>
      </c>
      <c r="P331" s="1" t="str">
        <f>"  سازمان عمران ونوسازي شهرداري كرج"</f>
        <v xml:space="preserve">  سازمان عمران ونوسازي شهرداري كرج</v>
      </c>
      <c r="Q331" s="1">
        <v>11</v>
      </c>
      <c r="R331" s="1" t="str">
        <f>"فروش داخلي تهران - بورس"</f>
        <v>فروش داخلي تهران - بورس</v>
      </c>
      <c r="S331" s="1" t="str">
        <f t="shared" si="75"/>
        <v>قرارداد فروش</v>
      </c>
      <c r="T331" s="1" t="str">
        <f t="shared" si="76"/>
        <v>ندارد</v>
      </c>
      <c r="U331" s="1" t="str">
        <f>"حاج صادقي باقر(1841027)"</f>
        <v>حاج صادقي باقر(1841027)</v>
      </c>
      <c r="V331" s="1">
        <v>951100130</v>
      </c>
      <c r="W331" s="1">
        <v>951100130</v>
      </c>
      <c r="X331" s="1" t="str">
        <f>"1395438200"</f>
        <v>1395438200</v>
      </c>
      <c r="Y331" s="1" t="str">
        <f>"95/07/25"</f>
        <v>95/07/25</v>
      </c>
      <c r="Z331" s="1" t="str">
        <f>"5673"</f>
        <v>5673</v>
      </c>
      <c r="AA331" s="1" t="str">
        <f>"شهرداريها"</f>
        <v>شهرداريها</v>
      </c>
      <c r="AB331" s="1" t="str">
        <f>"95/07/25"</f>
        <v>95/07/25</v>
      </c>
      <c r="AC331" s="1" t="str">
        <f>"البرز"</f>
        <v>البرز</v>
      </c>
      <c r="AD331" s="1" t="str">
        <f>"95/07/25"</f>
        <v>95/07/25</v>
      </c>
      <c r="AE331" s="1" t="str">
        <f t="shared" si="72"/>
        <v>اختتام</v>
      </c>
      <c r="AF331" s="1" t="str">
        <f>""</f>
        <v/>
      </c>
      <c r="AG331" s="1" t="str">
        <f>""</f>
        <v/>
      </c>
      <c r="AH331" s="1" t="str">
        <f>""</f>
        <v/>
      </c>
      <c r="AI331" s="1" t="str">
        <f>""</f>
        <v/>
      </c>
      <c r="AJ331" s="1" t="str">
        <f>""</f>
        <v/>
      </c>
      <c r="AK331" s="1" t="str">
        <f>""</f>
        <v/>
      </c>
    </row>
    <row r="332" spans="1:37" x14ac:dyDescent="0.2">
      <c r="A332" s="1">
        <v>1500000</v>
      </c>
      <c r="B332" s="1">
        <v>951100156</v>
      </c>
      <c r="C332" s="1" t="str">
        <f>"تخليه -استان البرز-كرج -كارخانه آسفالت سازمان عمران ونوسازي شهرداري كرج"</f>
        <v>تخليه -استان البرز-كرج -كارخانه آسفالت سازمان عمران ونوسازي شهرداري كرج</v>
      </c>
      <c r="D332" s="1">
        <v>7026</v>
      </c>
      <c r="E332" s="1">
        <v>1499320</v>
      </c>
      <c r="F332" s="1">
        <v>95</v>
      </c>
      <c r="G332" s="1">
        <v>680</v>
      </c>
      <c r="H332" s="1" t="str">
        <f>"95/09/20"</f>
        <v>95/09/20</v>
      </c>
      <c r="I332" s="1" t="str">
        <f t="shared" si="73"/>
        <v>كيلوگرم</v>
      </c>
      <c r="J332" s="1" t="str">
        <f t="shared" si="70"/>
        <v>0000000076</v>
      </c>
      <c r="K332" s="1" t="str">
        <f t="shared" si="71"/>
        <v>قير 60/70 - فله</v>
      </c>
      <c r="L332" s="1">
        <v>100</v>
      </c>
      <c r="M332" s="1" t="str">
        <f t="shared" si="74"/>
        <v>مخازن قير اصفهان</v>
      </c>
      <c r="N332" s="1">
        <v>10539</v>
      </c>
      <c r="O332" s="1">
        <v>50032971</v>
      </c>
      <c r="P332" s="1" t="str">
        <f>"  سازمان عمران ونوسازي شهرداري كرج"</f>
        <v xml:space="preserve">  سازمان عمران ونوسازي شهرداري كرج</v>
      </c>
      <c r="Q332" s="1">
        <v>11</v>
      </c>
      <c r="R332" s="1" t="str">
        <f>"فروش داخلي تهران - بورس"</f>
        <v>فروش داخلي تهران - بورس</v>
      </c>
      <c r="S332" s="1" t="str">
        <f t="shared" si="75"/>
        <v>قرارداد فروش</v>
      </c>
      <c r="T332" s="1" t="str">
        <f t="shared" si="76"/>
        <v>ندارد</v>
      </c>
      <c r="U332" s="1" t="str">
        <f>"حاج صادقي باقر(1841027)"</f>
        <v>حاج صادقي باقر(1841027)</v>
      </c>
      <c r="V332" s="1">
        <v>951100156</v>
      </c>
      <c r="W332" s="1">
        <v>951100156</v>
      </c>
      <c r="X332" s="1" t="str">
        <f>"1395451048"</f>
        <v>1395451048</v>
      </c>
      <c r="Y332" s="1" t="str">
        <f>"95/09/20"</f>
        <v>95/09/20</v>
      </c>
      <c r="Z332" s="1" t="str">
        <f>"6986"</f>
        <v>6986</v>
      </c>
      <c r="AA332" s="1" t="str">
        <f>"شهرداريها"</f>
        <v>شهرداريها</v>
      </c>
      <c r="AB332" s="1" t="str">
        <f>"95/09/16"</f>
        <v>95/09/16</v>
      </c>
      <c r="AC332" s="1" t="str">
        <f>"البرز"</f>
        <v>البرز</v>
      </c>
      <c r="AD332" s="1" t="str">
        <f>"95/09/16"</f>
        <v>95/09/16</v>
      </c>
      <c r="AE332" s="1" t="str">
        <f t="shared" si="72"/>
        <v>اختتام</v>
      </c>
      <c r="AF332" s="1" t="str">
        <f>""</f>
        <v/>
      </c>
      <c r="AG332" s="1" t="str">
        <f>""</f>
        <v/>
      </c>
      <c r="AH332" s="1" t="str">
        <f>""</f>
        <v/>
      </c>
      <c r="AI332" s="1" t="str">
        <f>""</f>
        <v/>
      </c>
      <c r="AJ332" s="1" t="str">
        <f>""</f>
        <v/>
      </c>
      <c r="AK332" s="1" t="str">
        <f>""</f>
        <v/>
      </c>
    </row>
    <row r="333" spans="1:37" x14ac:dyDescent="0.2">
      <c r="A333" s="1">
        <v>319000</v>
      </c>
      <c r="B333" s="1">
        <v>956200086</v>
      </c>
      <c r="C333" s="1" t="str">
        <f>"تخليه -كهگيلويه وبويراحمدشهرستان باشت روستاي سراب بيزكارخانه آسفالت سيدفخرالدين حسيني"</f>
        <v>تخليه -كهگيلويه وبويراحمدشهرستان باشت روستاي سراب بيزكارخانه آسفالت سيدفخرالدين حسيني</v>
      </c>
      <c r="D333" s="1">
        <v>6976</v>
      </c>
      <c r="E333" s="1">
        <v>318400</v>
      </c>
      <c r="F333" s="1">
        <v>95</v>
      </c>
      <c r="G333" s="1">
        <v>600</v>
      </c>
      <c r="H333" s="1" t="str">
        <f>"95/07/13"</f>
        <v>95/07/13</v>
      </c>
      <c r="I333" s="1" t="str">
        <f t="shared" si="73"/>
        <v>كيلوگرم</v>
      </c>
      <c r="J333" s="1" t="str">
        <f t="shared" si="70"/>
        <v>0000000076</v>
      </c>
      <c r="K333" s="1" t="str">
        <f t="shared" si="71"/>
        <v>قير 60/70 - فله</v>
      </c>
      <c r="L333" s="1">
        <v>100</v>
      </c>
      <c r="M333" s="1" t="str">
        <f t="shared" si="74"/>
        <v>مخازن قير اصفهان</v>
      </c>
      <c r="N333" s="1">
        <v>10595</v>
      </c>
      <c r="O333" s="1">
        <v>50032071</v>
      </c>
      <c r="P333" s="1" t="str">
        <f>"  اميدنصرمهدي"</f>
        <v xml:space="preserve">  اميدنصرمهدي</v>
      </c>
      <c r="Q333" s="1">
        <v>62</v>
      </c>
      <c r="R333" s="1" t="str">
        <f>"فروش داخلي - سازمان بنيادمسكن انقلاب اسلامي"</f>
        <v>فروش داخلي - سازمان بنيادمسكن انقلاب اسلامي</v>
      </c>
      <c r="S333" s="1" t="str">
        <f t="shared" si="75"/>
        <v>قرارداد فروش</v>
      </c>
      <c r="T333" s="1" t="str">
        <f t="shared" si="76"/>
        <v>ندارد</v>
      </c>
      <c r="U333" s="1" t="str">
        <f>"غلام نجفي سيامك‌‌‌‌‌‌(1881082)"</f>
        <v>غلام نجفي سيامك‌‌‌‌‌‌(1881082)</v>
      </c>
      <c r="V333" s="1">
        <v>956200086</v>
      </c>
      <c r="W333" s="1">
        <v>956200086</v>
      </c>
      <c r="X333" s="1" t="str">
        <f>"1395435389"</f>
        <v>1395435389</v>
      </c>
      <c r="Y333" s="1" t="str">
        <f>"95/07/13"</f>
        <v>95/07/13</v>
      </c>
      <c r="Z333" s="1" t="str">
        <f>"28704/د"</f>
        <v>28704/د</v>
      </c>
      <c r="AA333" s="1" t="str">
        <f>"بنيادمسكن انقلاب اسلامي"</f>
        <v>بنيادمسكن انقلاب اسلامي</v>
      </c>
      <c r="AB333" s="1" t="str">
        <f>"95/07/11"</f>
        <v>95/07/11</v>
      </c>
      <c r="AC333" s="1" t="str">
        <f>"كهكيلويه و بوير احمد"</f>
        <v>كهكيلويه و بوير احمد</v>
      </c>
      <c r="AD333" s="1" t="str">
        <f>"95/07/12"</f>
        <v>95/07/12</v>
      </c>
      <c r="AE333" s="1" t="str">
        <f t="shared" si="72"/>
        <v>اختتام</v>
      </c>
      <c r="AF333" s="1" t="str">
        <f>""</f>
        <v/>
      </c>
      <c r="AG333" s="1" t="str">
        <f>""</f>
        <v/>
      </c>
      <c r="AH333" s="1" t="str">
        <f>""</f>
        <v/>
      </c>
      <c r="AI333" s="1" t="str">
        <f>""</f>
        <v/>
      </c>
      <c r="AJ333" s="1" t="str">
        <f>""</f>
        <v/>
      </c>
      <c r="AK333" s="1" t="str">
        <f>""</f>
        <v/>
      </c>
    </row>
    <row r="334" spans="1:37" x14ac:dyDescent="0.2">
      <c r="A334" s="1">
        <v>87000</v>
      </c>
      <c r="B334" s="1">
        <v>956200102</v>
      </c>
      <c r="C334" s="1" t="str">
        <f>"تخليه - چهارمحال- لردگان -فلارد - سه راهي ارمند -تنگ لايبيد-کارخانه آسفالت موسوي"</f>
        <v>تخليه - چهارمحال- لردگان -فلارد - سه راهي ارمند -تنگ لايبيد-کارخانه آسفالت موسوي</v>
      </c>
      <c r="D334" s="1">
        <v>7026</v>
      </c>
      <c r="E334" s="1">
        <v>86260</v>
      </c>
      <c r="F334" s="1">
        <v>95</v>
      </c>
      <c r="G334" s="1">
        <v>740</v>
      </c>
      <c r="H334" s="1" t="str">
        <f>"95/09/14"</f>
        <v>95/09/14</v>
      </c>
      <c r="I334" s="1" t="str">
        <f t="shared" si="73"/>
        <v>كيلوگرم</v>
      </c>
      <c r="J334" s="1" t="str">
        <f t="shared" si="70"/>
        <v>0000000076</v>
      </c>
      <c r="K334" s="1" t="str">
        <f t="shared" si="71"/>
        <v>قير 60/70 - فله</v>
      </c>
      <c r="L334" s="1">
        <v>100</v>
      </c>
      <c r="M334" s="1" t="str">
        <f t="shared" si="74"/>
        <v>مخازن قير اصفهان</v>
      </c>
      <c r="N334" s="1">
        <v>11215</v>
      </c>
      <c r="O334" s="1">
        <v>50032842</v>
      </c>
      <c r="P334" s="1" t="str">
        <f>"  فرزاد لردگان"</f>
        <v xml:space="preserve">  فرزاد لردگان</v>
      </c>
      <c r="Q334" s="1">
        <v>62</v>
      </c>
      <c r="R334" s="1" t="str">
        <f>"فروش داخلي - سازمان بنيادمسكن انقلاب اسلامي"</f>
        <v>فروش داخلي - سازمان بنيادمسكن انقلاب اسلامي</v>
      </c>
      <c r="S334" s="1" t="str">
        <f t="shared" si="75"/>
        <v>قرارداد فروش</v>
      </c>
      <c r="T334" s="1" t="str">
        <f t="shared" si="76"/>
        <v>ندارد</v>
      </c>
      <c r="U334" s="1" t="str">
        <f>"قره باغي مجيد(1871065)"</f>
        <v>قره باغي مجيد(1871065)</v>
      </c>
      <c r="V334" s="1">
        <v>956200102</v>
      </c>
      <c r="W334" s="1">
        <v>956200102</v>
      </c>
      <c r="X334" s="1" t="str">
        <f>"1395449223"</f>
        <v>1395449223</v>
      </c>
      <c r="Y334" s="1" t="str">
        <f>"95/09/14"</f>
        <v>95/09/14</v>
      </c>
      <c r="Z334" s="1" t="str">
        <f>"38411/د"</f>
        <v>38411/د</v>
      </c>
      <c r="AA334" s="1" t="str">
        <f>"بنيادمسكن انقلاب اسلامي"</f>
        <v>بنيادمسكن انقلاب اسلامي</v>
      </c>
      <c r="AB334" s="1" t="str">
        <f>"95/09/13"</f>
        <v>95/09/13</v>
      </c>
      <c r="AC334" s="1" t="str">
        <f>"استان چهارمحال بختياري"</f>
        <v>استان چهارمحال بختياري</v>
      </c>
      <c r="AD334" s="1" t="str">
        <f>"95/09/14"</f>
        <v>95/09/14</v>
      </c>
      <c r="AE334" s="1" t="str">
        <f t="shared" si="72"/>
        <v>اختتام</v>
      </c>
      <c r="AF334" s="1" t="str">
        <f>""</f>
        <v/>
      </c>
      <c r="AG334" s="1" t="str">
        <f>""</f>
        <v/>
      </c>
      <c r="AH334" s="1" t="str">
        <f>""</f>
        <v/>
      </c>
      <c r="AI334" s="1" t="str">
        <f>""</f>
        <v/>
      </c>
      <c r="AJ334" s="1" t="str">
        <f>""</f>
        <v/>
      </c>
      <c r="AK334" s="1" t="str">
        <f>""</f>
        <v/>
      </c>
    </row>
    <row r="335" spans="1:37" x14ac:dyDescent="0.2">
      <c r="A335" s="1">
        <v>19000</v>
      </c>
      <c r="B335" s="1">
        <v>956300017</v>
      </c>
      <c r="C335" s="1" t="str">
        <f>"تخليه اصفهان شهركردكارخانه اتحادناغان"</f>
        <v>تخليه اصفهان شهركردكارخانه اتحادناغان</v>
      </c>
      <c r="D335" s="1">
        <v>9361</v>
      </c>
      <c r="E335" s="1">
        <v>19000</v>
      </c>
      <c r="F335" s="1">
        <v>95</v>
      </c>
      <c r="G335" s="1">
        <v>0</v>
      </c>
      <c r="H335" s="1" t="str">
        <f>"95/11/10"</f>
        <v>95/11/10</v>
      </c>
      <c r="I335" s="1" t="str">
        <f t="shared" si="73"/>
        <v>كيلوگرم</v>
      </c>
      <c r="J335" s="1" t="str">
        <f t="shared" si="70"/>
        <v>0000000076</v>
      </c>
      <c r="K335" s="1" t="str">
        <f t="shared" si="71"/>
        <v>قير 60/70 - فله</v>
      </c>
      <c r="L335" s="1">
        <v>100</v>
      </c>
      <c r="M335" s="1" t="str">
        <f t="shared" si="74"/>
        <v>مخازن قير اصفهان</v>
      </c>
      <c r="N335" s="1">
        <v>11220</v>
      </c>
      <c r="O335" s="1">
        <v>50033557</v>
      </c>
      <c r="P335" s="1" t="str">
        <f>"  پايه ستون زاگرس"</f>
        <v xml:space="preserve">  پايه ستون زاگرس</v>
      </c>
      <c r="Q335" s="1">
        <v>63</v>
      </c>
      <c r="R335" s="1" t="str">
        <f>"سازمان نوسازي،توسعه و تجهيز مدارس كشور"</f>
        <v>سازمان نوسازي،توسعه و تجهيز مدارس كشور</v>
      </c>
      <c r="S335" s="1" t="str">
        <f t="shared" si="75"/>
        <v>قرارداد فروش</v>
      </c>
      <c r="T335" s="1" t="str">
        <f t="shared" si="76"/>
        <v>ندارد</v>
      </c>
      <c r="U335" s="1" t="str">
        <f>"قره باغي مجيد(1871065)"</f>
        <v>قره باغي مجيد(1871065)</v>
      </c>
      <c r="V335" s="1">
        <v>956300017</v>
      </c>
      <c r="W335" s="1">
        <v>956300017</v>
      </c>
      <c r="X335" s="1" t="str">
        <f>"1395461326"</f>
        <v>1395461326</v>
      </c>
      <c r="Y335" s="1" t="str">
        <f>"95/11/10"</f>
        <v>95/11/10</v>
      </c>
      <c r="Z335" s="1" t="str">
        <f>"18/95/1/9525"</f>
        <v>18/95/1/9525</v>
      </c>
      <c r="AA335" s="1" t="str">
        <f>"سازمان نوسازي توسعه وتجهيزمدارس كشور"</f>
        <v>سازمان نوسازي توسعه وتجهيزمدارس كشور</v>
      </c>
      <c r="AB335" s="1" t="str">
        <f>"95/10/23"</f>
        <v>95/10/23</v>
      </c>
      <c r="AC335" s="1" t="str">
        <f>"استان چهارمحال بختياري"</f>
        <v>استان چهارمحال بختياري</v>
      </c>
      <c r="AD335" s="1" t="str">
        <f>"95/11/09"</f>
        <v>95/11/09</v>
      </c>
      <c r="AE335" s="1" t="str">
        <f>"تاييدشده"</f>
        <v>تاييدشده</v>
      </c>
      <c r="AF335" s="1" t="str">
        <f>""</f>
        <v/>
      </c>
      <c r="AG335" s="1" t="str">
        <f>""</f>
        <v/>
      </c>
      <c r="AH335" s="1" t="str">
        <f>""</f>
        <v/>
      </c>
      <c r="AI335" s="1" t="str">
        <f>""</f>
        <v/>
      </c>
      <c r="AJ335" s="1" t="str">
        <f>""</f>
        <v/>
      </c>
      <c r="AK335" s="1" t="str">
        <f>""</f>
        <v/>
      </c>
    </row>
    <row r="336" spans="1:37" x14ac:dyDescent="0.2">
      <c r="A336" s="1">
        <v>28000</v>
      </c>
      <c r="B336" s="1">
        <v>956300032</v>
      </c>
      <c r="C336" s="1" t="str">
        <f>"تخليه اصفهان شهركردكارخانه اتحادناغان"</f>
        <v>تخليه اصفهان شهركردكارخانه اتحادناغان</v>
      </c>
      <c r="D336" s="1">
        <v>8848</v>
      </c>
      <c r="E336" s="1">
        <v>28000</v>
      </c>
      <c r="F336" s="1">
        <v>95</v>
      </c>
      <c r="G336" s="1">
        <v>0</v>
      </c>
      <c r="H336" s="1" t="str">
        <f>"95/12/11"</f>
        <v>95/12/11</v>
      </c>
      <c r="I336" s="1" t="str">
        <f t="shared" si="73"/>
        <v>كيلوگرم</v>
      </c>
      <c r="J336" s="1" t="str">
        <f t="shared" si="70"/>
        <v>0000000076</v>
      </c>
      <c r="K336" s="1" t="str">
        <f t="shared" si="71"/>
        <v>قير 60/70 - فله</v>
      </c>
      <c r="L336" s="1">
        <v>100</v>
      </c>
      <c r="M336" s="1" t="str">
        <f t="shared" si="74"/>
        <v>مخازن قير اصفهان</v>
      </c>
      <c r="N336" s="1">
        <v>11220</v>
      </c>
      <c r="O336" s="1">
        <v>50033980</v>
      </c>
      <c r="P336" s="1" t="str">
        <f>"  پايه ستون زاگرس"</f>
        <v xml:space="preserve">  پايه ستون زاگرس</v>
      </c>
      <c r="Q336" s="1">
        <v>63</v>
      </c>
      <c r="R336" s="1" t="str">
        <f>"سازمان نوسازي،توسعه و تجهيز مدارس كشور"</f>
        <v>سازمان نوسازي،توسعه و تجهيز مدارس كشور</v>
      </c>
      <c r="S336" s="1" t="str">
        <f t="shared" si="75"/>
        <v>قرارداد فروش</v>
      </c>
      <c r="T336" s="1" t="str">
        <f t="shared" si="76"/>
        <v>ندارد</v>
      </c>
      <c r="U336" s="1" t="str">
        <f>"قره باغي مجيد(1871065)"</f>
        <v>قره باغي مجيد(1871065)</v>
      </c>
      <c r="V336" s="1">
        <v>956300032</v>
      </c>
      <c r="W336" s="1">
        <v>956300032</v>
      </c>
      <c r="X336" s="1" t="str">
        <f>"1395468777"</f>
        <v>1395468777</v>
      </c>
      <c r="Y336" s="1" t="str">
        <f>"95/12/11"</f>
        <v>95/12/11</v>
      </c>
      <c r="Z336" s="1" t="str">
        <f>"18/95/1/10607"</f>
        <v>18/95/1/10607</v>
      </c>
      <c r="AA336" s="1" t="str">
        <f>"سازمان نوسازي توسعه وتجهيزمدارس كشور"</f>
        <v>سازمان نوسازي توسعه وتجهيزمدارس كشور</v>
      </c>
      <c r="AB336" s="1" t="str">
        <f>"95/11/18"</f>
        <v>95/11/18</v>
      </c>
      <c r="AC336" s="1" t="str">
        <f>"استان چهارمحال بختياري"</f>
        <v>استان چهارمحال بختياري</v>
      </c>
      <c r="AD336" s="1" t="str">
        <f>"95/12/11"</f>
        <v>95/12/11</v>
      </c>
      <c r="AE336" s="1" t="str">
        <f>"تاييدشده"</f>
        <v>تاييدشده</v>
      </c>
      <c r="AF336" s="1" t="str">
        <f>""</f>
        <v/>
      </c>
      <c r="AG336" s="1" t="str">
        <f>""</f>
        <v/>
      </c>
      <c r="AH336" s="1" t="str">
        <f>""</f>
        <v/>
      </c>
      <c r="AI336" s="1" t="str">
        <f>""</f>
        <v/>
      </c>
      <c r="AJ336" s="1" t="str">
        <f>""</f>
        <v/>
      </c>
      <c r="AK336" s="1" t="str">
        <f>""</f>
        <v/>
      </c>
    </row>
    <row r="337" spans="1:37" x14ac:dyDescent="0.2">
      <c r="A337" s="1">
        <v>21000</v>
      </c>
      <c r="B337" s="1">
        <v>956300033</v>
      </c>
      <c r="C337" s="1" t="str">
        <f>"تخليه اصفهان شهركردكارخانه اتحادناغان"</f>
        <v>تخليه اصفهان شهركردكارخانه اتحادناغان</v>
      </c>
      <c r="D337" s="1">
        <v>8848</v>
      </c>
      <c r="E337" s="1">
        <v>19800</v>
      </c>
      <c r="F337" s="1">
        <v>95</v>
      </c>
      <c r="G337" s="1">
        <v>1200</v>
      </c>
      <c r="H337" s="1" t="str">
        <f>"95/12/11"</f>
        <v>95/12/11</v>
      </c>
      <c r="I337" s="1" t="str">
        <f t="shared" si="73"/>
        <v>كيلوگرم</v>
      </c>
      <c r="J337" s="1" t="str">
        <f t="shared" si="70"/>
        <v>0000000076</v>
      </c>
      <c r="K337" s="1" t="str">
        <f t="shared" si="71"/>
        <v>قير 60/70 - فله</v>
      </c>
      <c r="L337" s="1">
        <v>100</v>
      </c>
      <c r="M337" s="1" t="str">
        <f t="shared" si="74"/>
        <v>مخازن قير اصفهان</v>
      </c>
      <c r="N337" s="1">
        <v>11220</v>
      </c>
      <c r="O337" s="1">
        <v>50033981</v>
      </c>
      <c r="P337" s="1" t="str">
        <f>"  پايه ستون زاگرس"</f>
        <v xml:space="preserve">  پايه ستون زاگرس</v>
      </c>
      <c r="Q337" s="1">
        <v>63</v>
      </c>
      <c r="R337" s="1" t="str">
        <f>"سازمان نوسازي،توسعه و تجهيز مدارس كشور"</f>
        <v>سازمان نوسازي،توسعه و تجهيز مدارس كشور</v>
      </c>
      <c r="S337" s="1" t="str">
        <f t="shared" si="75"/>
        <v>قرارداد فروش</v>
      </c>
      <c r="T337" s="1" t="str">
        <f t="shared" si="76"/>
        <v>ندارد</v>
      </c>
      <c r="U337" s="1" t="str">
        <f>"قره باغي مجيد(1871065)"</f>
        <v>قره باغي مجيد(1871065)</v>
      </c>
      <c r="V337" s="1">
        <v>956300033</v>
      </c>
      <c r="W337" s="1">
        <v>956300033</v>
      </c>
      <c r="X337" s="1" t="str">
        <f>"1395468777"</f>
        <v>1395468777</v>
      </c>
      <c r="Y337" s="1" t="str">
        <f>"95/12/11"</f>
        <v>95/12/11</v>
      </c>
      <c r="Z337" s="1" t="str">
        <f>"18/95/1/10609"</f>
        <v>18/95/1/10609</v>
      </c>
      <c r="AA337" s="1" t="str">
        <f>"سازمان نوسازي توسعه وتجهيزمدارس كشور"</f>
        <v>سازمان نوسازي توسعه وتجهيزمدارس كشور</v>
      </c>
      <c r="AB337" s="1" t="str">
        <f>"95/11/18"</f>
        <v>95/11/18</v>
      </c>
      <c r="AC337" s="1" t="str">
        <f>"استان چهارمحال بختياري"</f>
        <v>استان چهارمحال بختياري</v>
      </c>
      <c r="AD337" s="1" t="str">
        <f>"95/12/11"</f>
        <v>95/12/11</v>
      </c>
      <c r="AE337" s="1" t="str">
        <f>"اختتام"</f>
        <v>اختتام</v>
      </c>
      <c r="AF337" s="1" t="str">
        <f>""</f>
        <v/>
      </c>
      <c r="AG337" s="1" t="str">
        <f>""</f>
        <v/>
      </c>
      <c r="AH337" s="1" t="str">
        <f>""</f>
        <v/>
      </c>
      <c r="AI337" s="1" t="str">
        <f>""</f>
        <v/>
      </c>
      <c r="AJ337" s="1" t="str">
        <f>""</f>
        <v/>
      </c>
      <c r="AK337" s="1" t="str">
        <f>""</f>
        <v/>
      </c>
    </row>
    <row r="338" spans="1:37" x14ac:dyDescent="0.2">
      <c r="A338" s="1">
        <v>27000</v>
      </c>
      <c r="B338" s="1">
        <v>956300034</v>
      </c>
      <c r="C338" s="1" t="str">
        <f>"تخليه اصفهان شهركردكارخانه اتحادناغان"</f>
        <v>تخليه اصفهان شهركردكارخانه اتحادناغان</v>
      </c>
      <c r="D338" s="1">
        <v>8848</v>
      </c>
      <c r="E338" s="1">
        <v>27000</v>
      </c>
      <c r="F338" s="1">
        <v>95</v>
      </c>
      <c r="G338" s="1">
        <v>0</v>
      </c>
      <c r="H338" s="1" t="str">
        <f>"95/12/11"</f>
        <v>95/12/11</v>
      </c>
      <c r="I338" s="1" t="str">
        <f t="shared" si="73"/>
        <v>كيلوگرم</v>
      </c>
      <c r="J338" s="1" t="str">
        <f t="shared" si="70"/>
        <v>0000000076</v>
      </c>
      <c r="K338" s="1" t="str">
        <f t="shared" si="71"/>
        <v>قير 60/70 - فله</v>
      </c>
      <c r="L338" s="1">
        <v>100</v>
      </c>
      <c r="M338" s="1" t="str">
        <f t="shared" si="74"/>
        <v>مخازن قير اصفهان</v>
      </c>
      <c r="N338" s="1">
        <v>11220</v>
      </c>
      <c r="O338" s="1">
        <v>50033982</v>
      </c>
      <c r="P338" s="1" t="str">
        <f>"  پايه ستون زاگرس"</f>
        <v xml:space="preserve">  پايه ستون زاگرس</v>
      </c>
      <c r="Q338" s="1">
        <v>63</v>
      </c>
      <c r="R338" s="1" t="str">
        <f>"سازمان نوسازي،توسعه و تجهيز مدارس كشور"</f>
        <v>سازمان نوسازي،توسعه و تجهيز مدارس كشور</v>
      </c>
      <c r="S338" s="1" t="str">
        <f t="shared" si="75"/>
        <v>قرارداد فروش</v>
      </c>
      <c r="T338" s="1" t="str">
        <f t="shared" si="76"/>
        <v>ندارد</v>
      </c>
      <c r="U338" s="1" t="str">
        <f>"قره باغي مجيد(1871065)"</f>
        <v>قره باغي مجيد(1871065)</v>
      </c>
      <c r="V338" s="1">
        <v>956300034</v>
      </c>
      <c r="W338" s="1">
        <v>956300034</v>
      </c>
      <c r="X338" s="1" t="str">
        <f>"1395468777"</f>
        <v>1395468777</v>
      </c>
      <c r="Y338" s="1" t="str">
        <f>"95/12/11"</f>
        <v>95/12/11</v>
      </c>
      <c r="Z338" s="1" t="str">
        <f>"18/95/1/10608"</f>
        <v>18/95/1/10608</v>
      </c>
      <c r="AA338" s="1" t="str">
        <f>"سازمان نوسازي توسعه وتجهيزمدارس كشور"</f>
        <v>سازمان نوسازي توسعه وتجهيزمدارس كشور</v>
      </c>
      <c r="AB338" s="1" t="str">
        <f>"95/11/18"</f>
        <v>95/11/18</v>
      </c>
      <c r="AC338" s="1" t="str">
        <f>"استان چهارمحال بختياري"</f>
        <v>استان چهارمحال بختياري</v>
      </c>
      <c r="AD338" s="1" t="str">
        <f>"95/12/11"</f>
        <v>95/12/11</v>
      </c>
      <c r="AE338" s="1" t="str">
        <f>"تاييدشده"</f>
        <v>تاييدشده</v>
      </c>
      <c r="AF338" s="1" t="str">
        <f>""</f>
        <v/>
      </c>
      <c r="AG338" s="1" t="str">
        <f>""</f>
        <v/>
      </c>
      <c r="AH338" s="1" t="str">
        <f>""</f>
        <v/>
      </c>
      <c r="AI338" s="1" t="str">
        <f>""</f>
        <v/>
      </c>
      <c r="AJ338" s="1" t="str">
        <f>""</f>
        <v/>
      </c>
      <c r="AK338" s="1" t="str">
        <f>""</f>
        <v/>
      </c>
    </row>
    <row r="339" spans="1:37" x14ac:dyDescent="0.2">
      <c r="A339" s="1">
        <v>200000</v>
      </c>
      <c r="B339" s="1">
        <v>951100158</v>
      </c>
      <c r="C339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339" s="1">
        <v>7026</v>
      </c>
      <c r="E339" s="1">
        <v>198600</v>
      </c>
      <c r="F339" s="1">
        <v>95</v>
      </c>
      <c r="G339" s="1">
        <v>1400</v>
      </c>
      <c r="H339" s="1" t="str">
        <f>"95/09/22"</f>
        <v>95/09/22</v>
      </c>
      <c r="I339" s="1" t="str">
        <f t="shared" si="73"/>
        <v>كيلوگرم</v>
      </c>
      <c r="J339" s="1" t="str">
        <f t="shared" si="70"/>
        <v>0000000076</v>
      </c>
      <c r="K339" s="1" t="str">
        <f t="shared" si="71"/>
        <v>قير 60/70 - فله</v>
      </c>
      <c r="L339" s="1">
        <v>100</v>
      </c>
      <c r="M339" s="1" t="str">
        <f t="shared" si="74"/>
        <v>مخازن قير اصفهان</v>
      </c>
      <c r="N339" s="1">
        <v>11095</v>
      </c>
      <c r="O339" s="1">
        <v>50032996</v>
      </c>
      <c r="P339" s="1" t="str">
        <f>"  شهيربناي ايرانيان"</f>
        <v xml:space="preserve">  شهيربناي ايرانيان</v>
      </c>
      <c r="Q339" s="1">
        <v>11</v>
      </c>
      <c r="R339" s="1" t="str">
        <f>"فروش داخلي تهران - بورس"</f>
        <v>فروش داخلي تهران - بورس</v>
      </c>
      <c r="S339" s="1" t="str">
        <f t="shared" si="75"/>
        <v>قرارداد فروش</v>
      </c>
      <c r="T339" s="1" t="str">
        <f t="shared" si="76"/>
        <v>ندارد</v>
      </c>
      <c r="U339" s="1" t="str">
        <f>"ريسماني حسن(1007ج89)"</f>
        <v>ريسماني حسن(1007ج89)</v>
      </c>
      <c r="V339" s="1">
        <v>951100158</v>
      </c>
      <c r="W339" s="1">
        <v>951100158</v>
      </c>
      <c r="X339" s="1" t="str">
        <f>"1395449421"</f>
        <v>1395449421</v>
      </c>
      <c r="Y339" s="1" t="str">
        <f>"95/09/22"</f>
        <v>95/09/22</v>
      </c>
      <c r="Z339" s="1" t="str">
        <f>"95-34907"</f>
        <v>95-34907</v>
      </c>
      <c r="AA339" s="1" t="str">
        <f>"راه سازي"</f>
        <v>راه سازي</v>
      </c>
      <c r="AB339" s="1" t="str">
        <f>"95/09/21"</f>
        <v>95/09/21</v>
      </c>
      <c r="AC339" s="1" t="str">
        <f>"استان اصفهان"</f>
        <v>استان اصفهان</v>
      </c>
      <c r="AD339" s="1" t="str">
        <f>"95/09/15"</f>
        <v>95/09/15</v>
      </c>
      <c r="AE339" s="1" t="str">
        <f t="shared" ref="AE339:AE370" si="77">"اختتام"</f>
        <v>اختتام</v>
      </c>
      <c r="AF339" s="1" t="str">
        <f>""</f>
        <v/>
      </c>
      <c r="AG339" s="1" t="str">
        <f>""</f>
        <v/>
      </c>
      <c r="AH339" s="1" t="str">
        <f>""</f>
        <v/>
      </c>
      <c r="AI339" s="1" t="str">
        <f>""</f>
        <v/>
      </c>
      <c r="AJ339" s="1" t="str">
        <f>""</f>
        <v/>
      </c>
      <c r="AK339" s="1" t="str">
        <f>""</f>
        <v/>
      </c>
    </row>
    <row r="340" spans="1:37" x14ac:dyDescent="0.2">
      <c r="A340" s="1">
        <v>41000</v>
      </c>
      <c r="B340" s="1">
        <v>956300023</v>
      </c>
      <c r="C340" s="1" t="str">
        <f>"تخليه اصفهان شهرضاكارخانه آسفالت شهرداري شهرضا"</f>
        <v>تخليه اصفهان شهرضاكارخانه آسفالت شهرداري شهرضا</v>
      </c>
      <c r="D340" s="1">
        <v>8848</v>
      </c>
      <c r="E340" s="1">
        <v>40220</v>
      </c>
      <c r="F340" s="1">
        <v>95</v>
      </c>
      <c r="G340" s="1">
        <v>780</v>
      </c>
      <c r="H340" s="1" t="str">
        <f>"95/12/04"</f>
        <v>95/12/04</v>
      </c>
      <c r="I340" s="1" t="str">
        <f t="shared" si="73"/>
        <v>كيلوگرم</v>
      </c>
      <c r="J340" s="1" t="str">
        <f t="shared" si="70"/>
        <v>0000000076</v>
      </c>
      <c r="K340" s="1" t="str">
        <f t="shared" si="71"/>
        <v>قير 60/70 - فله</v>
      </c>
      <c r="L340" s="1">
        <v>100</v>
      </c>
      <c r="M340" s="1" t="str">
        <f t="shared" si="74"/>
        <v>مخازن قير اصفهان</v>
      </c>
      <c r="N340" s="1">
        <v>11098</v>
      </c>
      <c r="O340" s="1">
        <v>50033845</v>
      </c>
      <c r="P340" s="1" t="str">
        <f>"  اداره كل نوسازي توسعه وتجهيزمدارس استان اصفهان"</f>
        <v xml:space="preserve">  اداره كل نوسازي توسعه وتجهيزمدارس استان اصفهان</v>
      </c>
      <c r="Q340" s="1">
        <v>63</v>
      </c>
      <c r="R340" s="1" t="str">
        <f>"سازمان نوسازي،توسعه و تجهيز مدارس كشور"</f>
        <v>سازمان نوسازي،توسعه و تجهيز مدارس كشور</v>
      </c>
      <c r="S340" s="1" t="str">
        <f t="shared" si="75"/>
        <v>قرارداد فروش</v>
      </c>
      <c r="T340" s="1" t="str">
        <f t="shared" si="76"/>
        <v>ندارد</v>
      </c>
      <c r="U340" s="1" t="str">
        <f>"شهبازي محمدرضا(1029ج89)"</f>
        <v>شهبازي محمدرضا(1029ج89)</v>
      </c>
      <c r="V340" s="1">
        <v>956300023</v>
      </c>
      <c r="W340" s="1">
        <v>956300023</v>
      </c>
      <c r="X340" s="1" t="str">
        <f>"1395466574"</f>
        <v>1395466574</v>
      </c>
      <c r="Y340" s="1" t="str">
        <f>"95/12/04"</f>
        <v>95/12/04</v>
      </c>
      <c r="Z340" s="1" t="str">
        <f>"3-95/422-34980"</f>
        <v>3-95/422-34980</v>
      </c>
      <c r="AA340" s="1" t="str">
        <f>"سازمان نوسازي توسعه وتجهيزمدارس كشور"</f>
        <v>سازمان نوسازي توسعه وتجهيزمدارس كشور</v>
      </c>
      <c r="AB340" s="1" t="str">
        <f>"95/11/24"</f>
        <v>95/11/24</v>
      </c>
      <c r="AC340" s="1" t="str">
        <f>"استان اصفهان"</f>
        <v>استان اصفهان</v>
      </c>
      <c r="AD340" s="1" t="str">
        <f>"95/12/03"</f>
        <v>95/12/03</v>
      </c>
      <c r="AE340" s="1" t="str">
        <f t="shared" si="77"/>
        <v>اختتام</v>
      </c>
      <c r="AF340" s="1" t="str">
        <f>""</f>
        <v/>
      </c>
      <c r="AG340" s="1" t="str">
        <f>""</f>
        <v/>
      </c>
      <c r="AH340" s="1" t="str">
        <f>""</f>
        <v/>
      </c>
      <c r="AI340" s="1" t="str">
        <f>""</f>
        <v/>
      </c>
      <c r="AJ340" s="1" t="str">
        <f>""</f>
        <v/>
      </c>
      <c r="AK340" s="1" t="str">
        <f>""</f>
        <v/>
      </c>
    </row>
    <row r="341" spans="1:37" x14ac:dyDescent="0.2">
      <c r="A341" s="1">
        <v>258000</v>
      </c>
      <c r="B341" s="1">
        <v>956300030</v>
      </c>
      <c r="C341" s="1" t="str">
        <f>"تخليه اصفهان جاده سيمان سپاهان خيابان 11منطقه صنعتي آقاي سيناشمسي ارمندي كارخانه آسفالت راه آژند"</f>
        <v>تخليه اصفهان جاده سيمان سپاهان خيابان 11منطقه صنعتي آقاي سيناشمسي ارمندي كارخانه آسفالت راه آژند</v>
      </c>
      <c r="D341" s="1">
        <v>8848</v>
      </c>
      <c r="E341" s="1">
        <v>257780</v>
      </c>
      <c r="F341" s="1">
        <v>95</v>
      </c>
      <c r="G341" s="1">
        <v>220</v>
      </c>
      <c r="H341" s="1" t="str">
        <f>"95/12/08"</f>
        <v>95/12/08</v>
      </c>
      <c r="I341" s="1" t="str">
        <f t="shared" si="73"/>
        <v>كيلوگرم</v>
      </c>
      <c r="J341" s="1" t="str">
        <f t="shared" si="70"/>
        <v>0000000076</v>
      </c>
      <c r="K341" s="1" t="str">
        <f t="shared" si="71"/>
        <v>قير 60/70 - فله</v>
      </c>
      <c r="L341" s="1">
        <v>100</v>
      </c>
      <c r="M341" s="1" t="str">
        <f t="shared" si="74"/>
        <v>مخازن قير اصفهان</v>
      </c>
      <c r="N341" s="1">
        <v>11098</v>
      </c>
      <c r="O341" s="1">
        <v>50033898</v>
      </c>
      <c r="P341" s="1" t="str">
        <f>"  اداره كل نوسازي توسعه وتجهيزمدارس استان اصفهان"</f>
        <v xml:space="preserve">  اداره كل نوسازي توسعه وتجهيزمدارس استان اصفهان</v>
      </c>
      <c r="Q341" s="1">
        <v>63</v>
      </c>
      <c r="R341" s="1" t="str">
        <f>"سازمان نوسازي،توسعه و تجهيز مدارس كشور"</f>
        <v>سازمان نوسازي،توسعه و تجهيز مدارس كشور</v>
      </c>
      <c r="S341" s="1" t="str">
        <f t="shared" si="75"/>
        <v>قرارداد فروش</v>
      </c>
      <c r="T341" s="1" t="str">
        <f t="shared" si="76"/>
        <v>ندارد</v>
      </c>
      <c r="U341" s="1" t="str">
        <f>"سيفي پور عبدالمجيد(1009ج89)"</f>
        <v>سيفي پور عبدالمجيد(1009ج89)</v>
      </c>
      <c r="V341" s="1">
        <v>956300030</v>
      </c>
      <c r="W341" s="1">
        <v>956300030</v>
      </c>
      <c r="X341" s="1" t="str">
        <f>"1395467546"</f>
        <v>1395467546</v>
      </c>
      <c r="Y341" s="1" t="str">
        <f>"95/12/08"</f>
        <v>95/12/08</v>
      </c>
      <c r="Z341" s="1" t="str">
        <f>"3-95/422-35972"</f>
        <v>3-95/422-35972</v>
      </c>
      <c r="AA341" s="1" t="str">
        <f>"سازمان نوسازي توسعه وتجهيزمدارس كشور"</f>
        <v>سازمان نوسازي توسعه وتجهيزمدارس كشور</v>
      </c>
      <c r="AB341" s="1" t="str">
        <f>"95/12/03"</f>
        <v>95/12/03</v>
      </c>
      <c r="AC341" s="1" t="str">
        <f>"استان اصفهان"</f>
        <v>استان اصفهان</v>
      </c>
      <c r="AD341" s="1" t="str">
        <f>"95/12/07"</f>
        <v>95/12/07</v>
      </c>
      <c r="AE341" s="1" t="str">
        <f t="shared" si="77"/>
        <v>اختتام</v>
      </c>
      <c r="AF341" s="1" t="str">
        <f>""</f>
        <v/>
      </c>
      <c r="AG341" s="1" t="str">
        <f>""</f>
        <v/>
      </c>
      <c r="AH341" s="1" t="str">
        <f>""</f>
        <v/>
      </c>
      <c r="AI341" s="1" t="str">
        <f>""</f>
        <v/>
      </c>
      <c r="AJ341" s="1" t="str">
        <f>""</f>
        <v/>
      </c>
      <c r="AK341" s="1" t="str">
        <f>""</f>
        <v/>
      </c>
    </row>
    <row r="342" spans="1:37" x14ac:dyDescent="0.2">
      <c r="A342" s="1">
        <v>13000</v>
      </c>
      <c r="B342" s="1">
        <v>956300037</v>
      </c>
      <c r="C342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342" s="1">
        <v>8848</v>
      </c>
      <c r="E342" s="1">
        <v>11380</v>
      </c>
      <c r="F342" s="1">
        <v>95</v>
      </c>
      <c r="G342" s="1">
        <v>1620</v>
      </c>
      <c r="H342" s="1" t="str">
        <f>"95/12/23"</f>
        <v>95/12/23</v>
      </c>
      <c r="I342" s="1" t="str">
        <f t="shared" si="73"/>
        <v>كيلوگرم</v>
      </c>
      <c r="J342" s="1" t="str">
        <f t="shared" si="70"/>
        <v>0000000076</v>
      </c>
      <c r="K342" s="1" t="str">
        <f t="shared" si="71"/>
        <v>قير 60/70 - فله</v>
      </c>
      <c r="L342" s="1">
        <v>100</v>
      </c>
      <c r="M342" s="1" t="str">
        <f t="shared" si="74"/>
        <v>مخازن قير اصفهان</v>
      </c>
      <c r="N342" s="1">
        <v>11098</v>
      </c>
      <c r="O342" s="1">
        <v>50034158</v>
      </c>
      <c r="P342" s="1" t="str">
        <f>"  اداره كل نوسازي توسعه وتجهيزمدارس استان اصفهان"</f>
        <v xml:space="preserve">  اداره كل نوسازي توسعه وتجهيزمدارس استان اصفهان</v>
      </c>
      <c r="Q342" s="1">
        <v>63</v>
      </c>
      <c r="R342" s="1" t="str">
        <f>"سازمان نوسازي،توسعه و تجهيز مدارس كشور"</f>
        <v>سازمان نوسازي،توسعه و تجهيز مدارس كشور</v>
      </c>
      <c r="S342" s="1" t="str">
        <f t="shared" si="75"/>
        <v>قرارداد فروش</v>
      </c>
      <c r="T342" s="1" t="str">
        <f t="shared" si="76"/>
        <v>ندارد</v>
      </c>
      <c r="U342" s="1" t="str">
        <f>"سيفي پور عبدالمجيد(1009ج89)"</f>
        <v>سيفي پور عبدالمجيد(1009ج89)</v>
      </c>
      <c r="V342" s="1">
        <v>956300037</v>
      </c>
      <c r="W342" s="1">
        <v>956300037</v>
      </c>
      <c r="X342" s="1" t="str">
        <f>"1395470871"</f>
        <v>1395470871</v>
      </c>
      <c r="Y342" s="1" t="str">
        <f>"95/12/23"</f>
        <v>95/12/23</v>
      </c>
      <c r="Z342" s="1" t="str">
        <f>"3-95/424-37681"</f>
        <v>3-95/424-37681</v>
      </c>
      <c r="AA342" s="1" t="str">
        <f>"سازمان نوسازي توسعه وتجهيزمدارس كشور"</f>
        <v>سازمان نوسازي توسعه وتجهيزمدارس كشور</v>
      </c>
      <c r="AB342" s="1" t="str">
        <f>"95/12/18"</f>
        <v>95/12/18</v>
      </c>
      <c r="AC342" s="1" t="str">
        <f>"استان اصفهان"</f>
        <v>استان اصفهان</v>
      </c>
      <c r="AD342" s="1" t="str">
        <f>"95/12/23"</f>
        <v>95/12/23</v>
      </c>
      <c r="AE342" s="1" t="str">
        <f t="shared" si="77"/>
        <v>اختتام</v>
      </c>
      <c r="AF342" s="1" t="str">
        <f>""</f>
        <v/>
      </c>
      <c r="AG342" s="1" t="str">
        <f>""</f>
        <v/>
      </c>
      <c r="AH342" s="1" t="str">
        <f>""</f>
        <v/>
      </c>
      <c r="AI342" s="1" t="str">
        <f>""</f>
        <v/>
      </c>
      <c r="AJ342" s="1" t="str">
        <f>""</f>
        <v/>
      </c>
      <c r="AK342" s="1" t="str">
        <f>""</f>
        <v/>
      </c>
    </row>
    <row r="343" spans="1:37" x14ac:dyDescent="0.2">
      <c r="A343" s="1">
        <v>77000</v>
      </c>
      <c r="B343" s="1">
        <v>956200060</v>
      </c>
      <c r="C343" s="1" t="str">
        <f>"تخليه-اردکان- کيلومتر 17 جاده چک چک-کارخانه آسفالت گرم ميثاق اردكان"</f>
        <v>تخليه-اردکان- کيلومتر 17 جاده چک چک-کارخانه آسفالت گرم ميثاق اردكان</v>
      </c>
      <c r="D343" s="1">
        <v>5950</v>
      </c>
      <c r="E343" s="1">
        <v>75780</v>
      </c>
      <c r="F343" s="1">
        <v>95</v>
      </c>
      <c r="G343" s="1">
        <v>1220</v>
      </c>
      <c r="H343" s="1" t="str">
        <f>"95/04/27"</f>
        <v>95/04/27</v>
      </c>
      <c r="I343" s="1" t="str">
        <f t="shared" si="73"/>
        <v>كيلوگرم</v>
      </c>
      <c r="J343" s="1" t="str">
        <f t="shared" si="70"/>
        <v>0000000076</v>
      </c>
      <c r="K343" s="1" t="str">
        <f t="shared" si="71"/>
        <v>قير 60/70 - فله</v>
      </c>
      <c r="L343" s="1">
        <v>100</v>
      </c>
      <c r="M343" s="1" t="str">
        <f t="shared" si="74"/>
        <v>مخازن قير اصفهان</v>
      </c>
      <c r="N343" s="1">
        <v>11102</v>
      </c>
      <c r="O343" s="1">
        <v>50031294</v>
      </c>
      <c r="P343" s="1" t="str">
        <f>"  پويش راه کوير اردکان"</f>
        <v xml:space="preserve">  پويش راه کوير اردکان</v>
      </c>
      <c r="Q343" s="1">
        <v>62</v>
      </c>
      <c r="R343" s="1" t="str">
        <f>"فروش داخلي - سازمان بنيادمسكن انقلاب اسلامي"</f>
        <v>فروش داخلي - سازمان بنيادمسكن انقلاب اسلامي</v>
      </c>
      <c r="S343" s="1" t="str">
        <f t="shared" si="75"/>
        <v>قرارداد فروش</v>
      </c>
      <c r="T343" s="1" t="str">
        <f t="shared" si="76"/>
        <v>ندارد</v>
      </c>
      <c r="U343" s="1" t="str">
        <f>"عزيزي صفر(1006ج 89)"</f>
        <v>عزيزي صفر(1006ج 89)</v>
      </c>
      <c r="V343" s="1">
        <v>956200060</v>
      </c>
      <c r="W343" s="1">
        <v>956200060</v>
      </c>
      <c r="X343" s="1" t="str">
        <f>"1395415790"</f>
        <v>1395415790</v>
      </c>
      <c r="Y343" s="1" t="str">
        <f>"95/04/27"</f>
        <v>95/04/27</v>
      </c>
      <c r="Z343" s="1" t="str">
        <f>"16461/د"</f>
        <v>16461/د</v>
      </c>
      <c r="AA343" s="1" t="str">
        <f>"بنيادمسكن انقلاب اسلامي"</f>
        <v>بنيادمسكن انقلاب اسلامي</v>
      </c>
      <c r="AB343" s="1" t="str">
        <f>"95/04/26"</f>
        <v>95/04/26</v>
      </c>
      <c r="AC343" s="1" t="str">
        <f>"استان يزد"</f>
        <v>استان يزد</v>
      </c>
      <c r="AD343" s="1" t="str">
        <f>"95/04/26"</f>
        <v>95/04/26</v>
      </c>
      <c r="AE343" s="1" t="str">
        <f t="shared" si="77"/>
        <v>اختتام</v>
      </c>
      <c r="AF343" s="1" t="str">
        <f>""</f>
        <v/>
      </c>
      <c r="AG343" s="1" t="str">
        <f>""</f>
        <v/>
      </c>
      <c r="AH343" s="1" t="str">
        <f>""</f>
        <v/>
      </c>
      <c r="AI343" s="1" t="str">
        <f>""</f>
        <v/>
      </c>
      <c r="AJ343" s="1" t="str">
        <f>""</f>
        <v/>
      </c>
      <c r="AK343" s="1" t="str">
        <f>""</f>
        <v/>
      </c>
    </row>
    <row r="344" spans="1:37" x14ac:dyDescent="0.2">
      <c r="A344" s="1">
        <v>462000</v>
      </c>
      <c r="B344" s="1">
        <v>956200104</v>
      </c>
      <c r="C344" s="1" t="str">
        <f>"تخليه خراسان جنوبي بيرجندكيلومتر5جاده خوسف جنب كويرتايركارخانه آسفالت نعيمي"</f>
        <v>تخليه خراسان جنوبي بيرجندكيلومتر5جاده خوسف جنب كويرتايركارخانه آسفالت نعيمي</v>
      </c>
      <c r="D344" s="1">
        <v>7026</v>
      </c>
      <c r="E344" s="1">
        <v>461460</v>
      </c>
      <c r="F344" s="1">
        <v>95</v>
      </c>
      <c r="G344" s="1">
        <v>540</v>
      </c>
      <c r="H344" s="1" t="str">
        <f>"95/09/16"</f>
        <v>95/09/16</v>
      </c>
      <c r="I344" s="1" t="str">
        <f t="shared" si="73"/>
        <v>كيلوگرم</v>
      </c>
      <c r="J344" s="1" t="str">
        <f t="shared" si="70"/>
        <v>0000000076</v>
      </c>
      <c r="K344" s="1" t="str">
        <f t="shared" si="71"/>
        <v>قير 60/70 - فله</v>
      </c>
      <c r="L344" s="1">
        <v>100</v>
      </c>
      <c r="M344" s="1" t="str">
        <f t="shared" si="74"/>
        <v>مخازن قير اصفهان</v>
      </c>
      <c r="N344" s="1">
        <v>11109</v>
      </c>
      <c r="O344" s="1">
        <v>50032890</v>
      </c>
      <c r="P344" s="1" t="str">
        <f>"  راهسازي وساختمان مسيرياب بيرجند"</f>
        <v xml:space="preserve">  راهسازي وساختمان مسيرياب بيرجند</v>
      </c>
      <c r="Q344" s="1">
        <v>62</v>
      </c>
      <c r="R344" s="1" t="str">
        <f>"فروش داخلي - سازمان بنيادمسكن انقلاب اسلامي"</f>
        <v>فروش داخلي - سازمان بنيادمسكن انقلاب اسلامي</v>
      </c>
      <c r="S344" s="1" t="str">
        <f t="shared" si="75"/>
        <v>قرارداد فروش</v>
      </c>
      <c r="T344" s="1" t="str">
        <f t="shared" si="76"/>
        <v>ندارد</v>
      </c>
      <c r="U344" s="1" t="str">
        <f>"كاردان اسپادان راه مصطفي  (1911100)"</f>
        <v>كاردان اسپادان راه مصطفي  (1911100)</v>
      </c>
      <c r="V344" s="1">
        <v>956200104</v>
      </c>
      <c r="W344" s="1">
        <v>956200104</v>
      </c>
      <c r="X344" s="1" t="str">
        <f>"1395449864"</f>
        <v>1395449864</v>
      </c>
      <c r="Y344" s="1" t="str">
        <f>"95/09/16"</f>
        <v>95/09/16</v>
      </c>
      <c r="Z344" s="1" t="str">
        <f>"38866/د"</f>
        <v>38866/د</v>
      </c>
      <c r="AA344" s="1" t="str">
        <f>"بنياد"</f>
        <v>بنياد</v>
      </c>
      <c r="AB344" s="1" t="str">
        <f>"95/09/15"</f>
        <v>95/09/15</v>
      </c>
      <c r="AC344" s="1" t="str">
        <f>"خراسان جنوبي"</f>
        <v>خراسان جنوبي</v>
      </c>
      <c r="AD344" s="1" t="str">
        <f>"95/09/16"</f>
        <v>95/09/16</v>
      </c>
      <c r="AE344" s="1" t="str">
        <f t="shared" si="77"/>
        <v>اختتام</v>
      </c>
      <c r="AF344" s="1" t="str">
        <f>""</f>
        <v/>
      </c>
      <c r="AG344" s="1" t="str">
        <f>""</f>
        <v/>
      </c>
      <c r="AH344" s="1" t="str">
        <f>""</f>
        <v/>
      </c>
      <c r="AI344" s="1" t="str">
        <f>""</f>
        <v/>
      </c>
      <c r="AJ344" s="1" t="str">
        <f>""</f>
        <v/>
      </c>
      <c r="AK344" s="1" t="str">
        <f>""</f>
        <v/>
      </c>
    </row>
    <row r="345" spans="1:37" x14ac:dyDescent="0.2">
      <c r="A345" s="1">
        <v>78000</v>
      </c>
      <c r="B345" s="1">
        <v>952000237</v>
      </c>
      <c r="C345" s="1" t="str">
        <f>"تخليه - اصفهان -کيلومتر 12 شهرضا-کارخانه آسفالت گلابي"</f>
        <v>تخليه - اصفهان -کيلومتر 12 شهرضا-کارخانه آسفالت گلابي</v>
      </c>
      <c r="D345" s="1">
        <v>8023</v>
      </c>
      <c r="E345" s="1">
        <v>77220</v>
      </c>
      <c r="F345" s="1">
        <v>95</v>
      </c>
      <c r="G345" s="1">
        <v>780</v>
      </c>
      <c r="H345" s="1" t="str">
        <f>"95/08/23"</f>
        <v>95/08/23</v>
      </c>
      <c r="I345" s="1" t="str">
        <f t="shared" si="73"/>
        <v>كيلوگرم</v>
      </c>
      <c r="J345" s="1" t="str">
        <f t="shared" si="70"/>
        <v>0000000076</v>
      </c>
      <c r="K345" s="1" t="str">
        <f t="shared" si="71"/>
        <v>قير 60/70 - فله</v>
      </c>
      <c r="L345" s="1">
        <v>100</v>
      </c>
      <c r="M345" s="1" t="str">
        <f t="shared" si="74"/>
        <v>مخازن قير اصفهان</v>
      </c>
      <c r="N345" s="1">
        <v>10651</v>
      </c>
      <c r="O345" s="1">
        <v>50032598</v>
      </c>
      <c r="P345" s="1" t="str">
        <f>"  شهرداري منظريه"</f>
        <v xml:space="preserve">  شهرداري منظريه</v>
      </c>
      <c r="Q345" s="1">
        <v>20</v>
      </c>
      <c r="R345" s="1" t="str">
        <f>"فروش داخلي - سازمان شهرداري ها و دهياري هاي كشور"</f>
        <v>فروش داخلي - سازمان شهرداري ها و دهياري هاي كشور</v>
      </c>
      <c r="S345" s="1" t="str">
        <f t="shared" si="75"/>
        <v>قرارداد فروش</v>
      </c>
      <c r="T345" s="1" t="str">
        <f t="shared" si="76"/>
        <v>ندارد</v>
      </c>
      <c r="U345" s="1" t="str">
        <f>"علي عابدي ابوالقاسم(1003ج89)"</f>
        <v>علي عابدي ابوالقاسم(1003ج89)</v>
      </c>
      <c r="V345" s="1">
        <v>952000237</v>
      </c>
      <c r="W345" s="1">
        <v>952000237</v>
      </c>
      <c r="X345" s="1" t="str">
        <f>"1395444872"</f>
        <v>1395444872</v>
      </c>
      <c r="Y345" s="1" t="str">
        <f>"95/08/23"</f>
        <v>95/08/23</v>
      </c>
      <c r="Z345" s="1" t="str">
        <f>"41464"</f>
        <v>41464</v>
      </c>
      <c r="AA345" s="1" t="str">
        <f>"شهرداريها"</f>
        <v>شهرداريها</v>
      </c>
      <c r="AB345" s="1" t="str">
        <f>"95/08/22"</f>
        <v>95/08/22</v>
      </c>
      <c r="AC345" s="1" t="str">
        <f>"استان اصفهان"</f>
        <v>استان اصفهان</v>
      </c>
      <c r="AD345" s="1" t="str">
        <f>"95/08/23"</f>
        <v>95/08/23</v>
      </c>
      <c r="AE345" s="1" t="str">
        <f t="shared" si="77"/>
        <v>اختتام</v>
      </c>
      <c r="AF345" s="1" t="str">
        <f>""</f>
        <v/>
      </c>
      <c r="AG345" s="1" t="str">
        <f>""</f>
        <v/>
      </c>
      <c r="AH345" s="1" t="str">
        <f>""</f>
        <v/>
      </c>
      <c r="AI345" s="1" t="str">
        <f>""</f>
        <v/>
      </c>
      <c r="AJ345" s="1" t="str">
        <f>""</f>
        <v/>
      </c>
      <c r="AK345" s="1" t="str">
        <f>""</f>
        <v/>
      </c>
    </row>
    <row r="346" spans="1:37" x14ac:dyDescent="0.2">
      <c r="A346" s="1">
        <v>601000</v>
      </c>
      <c r="B346" s="1">
        <v>956300007</v>
      </c>
      <c r="C346" s="1" t="str">
        <f>"تخليه قم جاده قديم كاشان نرسيده به زندان لنگرودانتهاي سي متري اميركبيركارخانه آسفالت اميركبيرشهرداري قم شماره 2"</f>
        <v>تخليه قم جاده قديم كاشان نرسيده به زندان لنگرودانتهاي سي متري اميركبيركارخانه آسفالت اميركبيرشهرداري قم شماره 2</v>
      </c>
      <c r="D346" s="1">
        <v>8861</v>
      </c>
      <c r="E346" s="1">
        <v>599240</v>
      </c>
      <c r="F346" s="1">
        <v>95</v>
      </c>
      <c r="G346" s="1">
        <v>1760</v>
      </c>
      <c r="H346" s="1" t="str">
        <f>"95/10/07"</f>
        <v>95/10/07</v>
      </c>
      <c r="I346" s="1" t="str">
        <f t="shared" si="73"/>
        <v>كيلوگرم</v>
      </c>
      <c r="J346" s="1" t="str">
        <f t="shared" si="70"/>
        <v>0000000076</v>
      </c>
      <c r="K346" s="1" t="str">
        <f t="shared" si="71"/>
        <v>قير 60/70 - فله</v>
      </c>
      <c r="L346" s="1">
        <v>100</v>
      </c>
      <c r="M346" s="1" t="str">
        <f t="shared" si="74"/>
        <v>مخازن قير اصفهان</v>
      </c>
      <c r="N346" s="1">
        <v>11224</v>
      </c>
      <c r="O346" s="1">
        <v>50033186</v>
      </c>
      <c r="P346" s="1" t="str">
        <f>"  اداره كل نوسازي توسعه وتجهيزمدارس استان قم"</f>
        <v xml:space="preserve">  اداره كل نوسازي توسعه وتجهيزمدارس استان قم</v>
      </c>
      <c r="Q346" s="1">
        <v>63</v>
      </c>
      <c r="R346" s="1" t="str">
        <f>"سازمان نوسازي،توسعه و تجهيز مدارس كشور"</f>
        <v>سازمان نوسازي،توسعه و تجهيز مدارس كشور</v>
      </c>
      <c r="S346" s="1" t="str">
        <f t="shared" si="75"/>
        <v>قرارداد فروش</v>
      </c>
      <c r="T346" s="1" t="str">
        <f t="shared" si="76"/>
        <v>ندارد</v>
      </c>
      <c r="U346" s="1" t="str">
        <f>"محمدي نژاد خداوردي(2842024)"</f>
        <v>محمدي نژاد خداوردي(2842024)</v>
      </c>
      <c r="V346" s="1">
        <v>956300007</v>
      </c>
      <c r="W346" s="1">
        <v>956300007</v>
      </c>
      <c r="X346" s="1" t="str">
        <f>"1395454581"</f>
        <v>1395454581</v>
      </c>
      <c r="Y346" s="1" t="str">
        <f>"95/10/07"</f>
        <v>95/10/07</v>
      </c>
      <c r="Z346" s="1" t="str">
        <f>"26-95/1-7353"</f>
        <v>26-95/1-7353</v>
      </c>
      <c r="AA346" s="1" t="str">
        <f>"سازمان نوسازي توسعه وتجهيزمدارس كشور"</f>
        <v>سازمان نوسازي توسعه وتجهيزمدارس كشور</v>
      </c>
      <c r="AB346" s="1" t="str">
        <f>"95/09/18"</f>
        <v>95/09/18</v>
      </c>
      <c r="AC346" s="1" t="str">
        <f>"قم"</f>
        <v>قم</v>
      </c>
      <c r="AD346" s="1" t="str">
        <f>"95/10/06"</f>
        <v>95/10/06</v>
      </c>
      <c r="AE346" s="1" t="str">
        <f t="shared" si="77"/>
        <v>اختتام</v>
      </c>
      <c r="AF346" s="1" t="str">
        <f>""</f>
        <v/>
      </c>
      <c r="AG346" s="1" t="str">
        <f>""</f>
        <v/>
      </c>
      <c r="AH346" s="1" t="str">
        <f>""</f>
        <v/>
      </c>
      <c r="AI346" s="1" t="str">
        <f>""</f>
        <v/>
      </c>
      <c r="AJ346" s="1" t="str">
        <f>""</f>
        <v/>
      </c>
      <c r="AK346" s="1" t="str">
        <f>""</f>
        <v/>
      </c>
    </row>
    <row r="347" spans="1:37" x14ac:dyDescent="0.2">
      <c r="A347" s="1">
        <v>146000</v>
      </c>
      <c r="B347" s="1">
        <v>956300022</v>
      </c>
      <c r="C347" s="1" t="str">
        <f>"تخليه قم جاده قديم كاشان نرسيده به زندان لنگرودانتهاي سي متري اميركبيركارخانه آسفالت اميركبيرشهرداري قم شماره 2"</f>
        <v>تخليه قم جاده قديم كاشان نرسيده به زندان لنگرودانتهاي سي متري اميركبيركارخانه آسفالت اميركبيرشهرداري قم شماره 2</v>
      </c>
      <c r="D347" s="1">
        <v>9361</v>
      </c>
      <c r="E347" s="1">
        <v>143460</v>
      </c>
      <c r="F347" s="1">
        <v>95</v>
      </c>
      <c r="G347" s="1">
        <v>2540</v>
      </c>
      <c r="H347" s="1" t="str">
        <f>"95/11/25"</f>
        <v>95/11/25</v>
      </c>
      <c r="I347" s="1" t="str">
        <f t="shared" si="73"/>
        <v>كيلوگرم</v>
      </c>
      <c r="J347" s="1" t="str">
        <f t="shared" si="70"/>
        <v>0000000076</v>
      </c>
      <c r="K347" s="1" t="str">
        <f t="shared" si="71"/>
        <v>قير 60/70 - فله</v>
      </c>
      <c r="L347" s="1">
        <v>100</v>
      </c>
      <c r="M347" s="1" t="str">
        <f t="shared" si="74"/>
        <v>مخازن قير اصفهان</v>
      </c>
      <c r="N347" s="1">
        <v>11224</v>
      </c>
      <c r="O347" s="1">
        <v>50033737</v>
      </c>
      <c r="P347" s="1" t="str">
        <f>"  اداره كل نوسازي توسعه وتجهيزمدارس استان قم"</f>
        <v xml:space="preserve">  اداره كل نوسازي توسعه وتجهيزمدارس استان قم</v>
      </c>
      <c r="Q347" s="1">
        <v>63</v>
      </c>
      <c r="R347" s="1" t="str">
        <f>"سازمان نوسازي،توسعه و تجهيز مدارس كشور"</f>
        <v>سازمان نوسازي،توسعه و تجهيز مدارس كشور</v>
      </c>
      <c r="S347" s="1" t="str">
        <f t="shared" si="75"/>
        <v>قرارداد فروش</v>
      </c>
      <c r="T347" s="1" t="str">
        <f t="shared" si="76"/>
        <v>ندارد</v>
      </c>
      <c r="U347" s="1" t="str">
        <f>"محمدي نژاد خداوردي(2842024)"</f>
        <v>محمدي نژاد خداوردي(2842024)</v>
      </c>
      <c r="V347" s="1">
        <v>956300022</v>
      </c>
      <c r="W347" s="1">
        <v>956300022</v>
      </c>
      <c r="X347" s="1" t="str">
        <f>"1395464661"</f>
        <v>1395464661</v>
      </c>
      <c r="Y347" s="1" t="str">
        <f>"95/11/25"</f>
        <v>95/11/25</v>
      </c>
      <c r="Z347" s="1" t="str">
        <f>"26-95/1-8937"</f>
        <v>26-95/1-8937</v>
      </c>
      <c r="AA347" s="1" t="str">
        <f>"سازمان نوسازي توسعه وتجهيزمدارس كشور"</f>
        <v>سازمان نوسازي توسعه وتجهيزمدارس كشور</v>
      </c>
      <c r="AB347" s="1" t="str">
        <f>"95/11/18"</f>
        <v>95/11/18</v>
      </c>
      <c r="AC347" s="1" t="str">
        <f>"قم"</f>
        <v>قم</v>
      </c>
      <c r="AD347" s="1" t="str">
        <f>"95/11/25"</f>
        <v>95/11/25</v>
      </c>
      <c r="AE347" s="1" t="str">
        <f t="shared" si="77"/>
        <v>اختتام</v>
      </c>
      <c r="AF347" s="1" t="str">
        <f>""</f>
        <v/>
      </c>
      <c r="AG347" s="1" t="str">
        <f>""</f>
        <v/>
      </c>
      <c r="AH347" s="1" t="str">
        <f>""</f>
        <v/>
      </c>
      <c r="AI347" s="1" t="str">
        <f>""</f>
        <v/>
      </c>
      <c r="AJ347" s="1" t="str">
        <f>""</f>
        <v/>
      </c>
      <c r="AK347" s="1" t="str">
        <f>""</f>
        <v/>
      </c>
    </row>
    <row r="348" spans="1:37" x14ac:dyDescent="0.2">
      <c r="A348" s="1">
        <v>140000</v>
      </c>
      <c r="B348" s="1">
        <v>956200123</v>
      </c>
      <c r="C348" s="1" t="str">
        <f>"تخليه- خراسان رضوي--مشهد-کيلومتر 22 جاده کلات-کارخانه آسفالت آتيه سازان مهرجاويد خراسان"</f>
        <v>تخليه- خراسان رضوي--مشهد-کيلومتر 22 جاده کلات-کارخانه آسفالت آتيه سازان مهرجاويد خراسان</v>
      </c>
      <c r="D348" s="1">
        <v>8861</v>
      </c>
      <c r="E348" s="1">
        <v>136480</v>
      </c>
      <c r="F348" s="1">
        <v>95</v>
      </c>
      <c r="G348" s="1">
        <v>3520</v>
      </c>
      <c r="H348" s="1" t="str">
        <f>"95/10/07"</f>
        <v>95/10/07</v>
      </c>
      <c r="I348" s="1" t="str">
        <f t="shared" si="73"/>
        <v>كيلوگرم</v>
      </c>
      <c r="J348" s="1" t="str">
        <f t="shared" si="70"/>
        <v>0000000076</v>
      </c>
      <c r="K348" s="1" t="str">
        <f t="shared" si="71"/>
        <v>قير 60/70 - فله</v>
      </c>
      <c r="L348" s="1">
        <v>100</v>
      </c>
      <c r="M348" s="1" t="str">
        <f t="shared" si="74"/>
        <v>مخازن قير اصفهان</v>
      </c>
      <c r="N348" s="1">
        <v>11225</v>
      </c>
      <c r="O348" s="1">
        <v>50033197</v>
      </c>
      <c r="P348" s="1" t="str">
        <f>"  نگين شهر توس"</f>
        <v xml:space="preserve">  نگين شهر توس</v>
      </c>
      <c r="Q348" s="1">
        <v>62</v>
      </c>
      <c r="R348" s="1" t="str">
        <f t="shared" ref="R348:R353" si="78">"فروش داخلي - سازمان بنيادمسكن انقلاب اسلامي"</f>
        <v>فروش داخلي - سازمان بنيادمسكن انقلاب اسلامي</v>
      </c>
      <c r="S348" s="1" t="str">
        <f t="shared" si="75"/>
        <v>قرارداد فروش</v>
      </c>
      <c r="T348" s="1" t="str">
        <f t="shared" si="76"/>
        <v>ندارد</v>
      </c>
      <c r="U348" s="1" t="str">
        <f>"حسيني حسن(1841075)"</f>
        <v>حسيني حسن(1841075)</v>
      </c>
      <c r="V348" s="1">
        <v>956200123</v>
      </c>
      <c r="W348" s="1">
        <v>956200123</v>
      </c>
      <c r="X348" s="1" t="str">
        <f>"1395454527"</f>
        <v>1395454527</v>
      </c>
      <c r="Y348" s="1" t="str">
        <f>"95/10/07"</f>
        <v>95/10/07</v>
      </c>
      <c r="Z348" s="1" t="str">
        <f>"41428/د"</f>
        <v>41428/د</v>
      </c>
      <c r="AA348" s="1" t="str">
        <f t="shared" ref="AA348:AA353" si="79">"بنيادمسكن انقلاب اسلامي"</f>
        <v>بنيادمسكن انقلاب اسلامي</v>
      </c>
      <c r="AB348" s="1" t="str">
        <f>"95/10/01"</f>
        <v>95/10/01</v>
      </c>
      <c r="AC348" s="1" t="str">
        <f>"خراسان رضوي"</f>
        <v>خراسان رضوي</v>
      </c>
      <c r="AD348" s="1" t="str">
        <f>"95/10/05"</f>
        <v>95/10/05</v>
      </c>
      <c r="AE348" s="1" t="str">
        <f t="shared" si="77"/>
        <v>اختتام</v>
      </c>
      <c r="AF348" s="1" t="str">
        <f>""</f>
        <v/>
      </c>
      <c r="AG348" s="1" t="str">
        <f>""</f>
        <v/>
      </c>
      <c r="AH348" s="1" t="str">
        <f>""</f>
        <v/>
      </c>
      <c r="AI348" s="1" t="str">
        <f>""</f>
        <v/>
      </c>
      <c r="AJ348" s="1" t="str">
        <f>""</f>
        <v/>
      </c>
      <c r="AK348" s="1" t="str">
        <f>""</f>
        <v/>
      </c>
    </row>
    <row r="349" spans="1:37" x14ac:dyDescent="0.2">
      <c r="A349" s="1">
        <v>130000</v>
      </c>
      <c r="B349" s="1">
        <v>956200145</v>
      </c>
      <c r="C349" s="1" t="str">
        <f>"تخليه - اصفهان -مبارکه-جاده پلي اکريل-جاده چشمه باباعبداله-کارخانه آسفالت غفراني"</f>
        <v>تخليه - اصفهان -مبارکه-جاده پلي اکريل-جاده چشمه باباعبداله-کارخانه آسفالت غفراني</v>
      </c>
      <c r="D349" s="1">
        <v>8861</v>
      </c>
      <c r="E349" s="1">
        <v>129420</v>
      </c>
      <c r="F349" s="1">
        <v>95</v>
      </c>
      <c r="G349" s="1">
        <v>580</v>
      </c>
      <c r="H349" s="1" t="str">
        <f>"95/10/18"</f>
        <v>95/10/18</v>
      </c>
      <c r="I349" s="1" t="str">
        <f t="shared" si="73"/>
        <v>كيلوگرم</v>
      </c>
      <c r="J349" s="1" t="str">
        <f t="shared" si="70"/>
        <v>0000000076</v>
      </c>
      <c r="K349" s="1" t="str">
        <f t="shared" si="71"/>
        <v>قير 60/70 - فله</v>
      </c>
      <c r="L349" s="1">
        <v>100</v>
      </c>
      <c r="M349" s="1" t="str">
        <f t="shared" si="74"/>
        <v>مخازن قير اصفهان</v>
      </c>
      <c r="N349" s="1">
        <v>11231</v>
      </c>
      <c r="O349" s="1">
        <v>50033317</v>
      </c>
      <c r="P349" s="1" t="str">
        <f>"  محبت گستر اسپادانا"</f>
        <v xml:space="preserve">  محبت گستر اسپادانا</v>
      </c>
      <c r="Q349" s="1">
        <v>62</v>
      </c>
      <c r="R349" s="1" t="str">
        <f t="shared" si="78"/>
        <v>فروش داخلي - سازمان بنيادمسكن انقلاب اسلامي</v>
      </c>
      <c r="S349" s="1" t="str">
        <f t="shared" si="75"/>
        <v>قرارداد فروش</v>
      </c>
      <c r="T349" s="1" t="str">
        <f t="shared" si="76"/>
        <v>ندارد</v>
      </c>
      <c r="U349" s="1" t="str">
        <f>"ريسماني حسن(1007ج89)"</f>
        <v>ريسماني حسن(1007ج89)</v>
      </c>
      <c r="V349" s="1">
        <v>956200145</v>
      </c>
      <c r="W349" s="1">
        <v>956200145</v>
      </c>
      <c r="X349" s="1" t="str">
        <f>"1395457462"</f>
        <v>1395457462</v>
      </c>
      <c r="Y349" s="1" t="str">
        <f>"95/10/18"</f>
        <v>95/10/18</v>
      </c>
      <c r="Z349" s="1" t="str">
        <f>"44071/د"</f>
        <v>44071/د</v>
      </c>
      <c r="AA349" s="1" t="str">
        <f t="shared" si="79"/>
        <v>بنيادمسكن انقلاب اسلامي</v>
      </c>
      <c r="AB349" s="1" t="str">
        <f>"95/10/15"</f>
        <v>95/10/15</v>
      </c>
      <c r="AC349" s="1" t="str">
        <f>"استان اصفهان"</f>
        <v>استان اصفهان</v>
      </c>
      <c r="AD349" s="1" t="str">
        <f>"95/10/18"</f>
        <v>95/10/18</v>
      </c>
      <c r="AE349" s="1" t="str">
        <f t="shared" si="77"/>
        <v>اختتام</v>
      </c>
      <c r="AF349" s="1" t="str">
        <f>""</f>
        <v/>
      </c>
      <c r="AG349" s="1" t="str">
        <f>""</f>
        <v/>
      </c>
      <c r="AH349" s="1" t="str">
        <f>""</f>
        <v/>
      </c>
      <c r="AI349" s="1" t="str">
        <f>""</f>
        <v/>
      </c>
      <c r="AJ349" s="1" t="str">
        <f>""</f>
        <v/>
      </c>
      <c r="AK349" s="1" t="str">
        <f>""</f>
        <v/>
      </c>
    </row>
    <row r="350" spans="1:37" x14ac:dyDescent="0.2">
      <c r="A350" s="1">
        <v>51000</v>
      </c>
      <c r="B350" s="1">
        <v>956200248</v>
      </c>
      <c r="C350" s="1" t="str">
        <f>"تخليه - تهران -کمربندي انديشه شهريار-ميدان معادن -خيابان روشن"</f>
        <v>تخليه - تهران -کمربندي انديشه شهريار-ميدان معادن -خيابان روشن</v>
      </c>
      <c r="D350" s="1">
        <v>9361</v>
      </c>
      <c r="E350" s="1">
        <v>47600</v>
      </c>
      <c r="F350" s="1">
        <v>95</v>
      </c>
      <c r="G350" s="1">
        <v>3400</v>
      </c>
      <c r="H350" s="1" t="str">
        <f>"95/11/27"</f>
        <v>95/11/27</v>
      </c>
      <c r="I350" s="1" t="str">
        <f t="shared" si="73"/>
        <v>كيلوگرم</v>
      </c>
      <c r="J350" s="1" t="str">
        <f t="shared" si="70"/>
        <v>0000000076</v>
      </c>
      <c r="K350" s="1" t="str">
        <f t="shared" si="71"/>
        <v>قير 60/70 - فله</v>
      </c>
      <c r="L350" s="1">
        <v>100</v>
      </c>
      <c r="M350" s="1" t="str">
        <f t="shared" si="74"/>
        <v>مخازن قير اصفهان</v>
      </c>
      <c r="N350" s="1">
        <v>11261</v>
      </c>
      <c r="O350" s="1">
        <v>50033781</v>
      </c>
      <c r="P350" s="1" t="str">
        <f>"  نيوساد خاک"</f>
        <v xml:space="preserve">  نيوساد خاک</v>
      </c>
      <c r="Q350" s="1">
        <v>62</v>
      </c>
      <c r="R350" s="1" t="str">
        <f t="shared" si="78"/>
        <v>فروش داخلي - سازمان بنيادمسكن انقلاب اسلامي</v>
      </c>
      <c r="S350" s="1" t="str">
        <f t="shared" si="75"/>
        <v>قرارداد فروش</v>
      </c>
      <c r="T350" s="1" t="str">
        <f t="shared" si="76"/>
        <v>ندارد</v>
      </c>
      <c r="U350" s="1" t="str">
        <f>"حسيني علي(1841001)"</f>
        <v>حسيني علي(1841001)</v>
      </c>
      <c r="V350" s="1">
        <v>956200248</v>
      </c>
      <c r="W350" s="1">
        <v>956200248</v>
      </c>
      <c r="X350" s="1" t="str">
        <f>"1395465843"</f>
        <v>1395465843</v>
      </c>
      <c r="Y350" s="1" t="str">
        <f>"95/11/27"</f>
        <v>95/11/27</v>
      </c>
      <c r="Z350" s="1" t="str">
        <f>"51494/د"</f>
        <v>51494/د</v>
      </c>
      <c r="AA350" s="1" t="str">
        <f t="shared" si="79"/>
        <v>بنيادمسكن انقلاب اسلامي</v>
      </c>
      <c r="AB350" s="1" t="str">
        <f>"95/11/26"</f>
        <v>95/11/26</v>
      </c>
      <c r="AC350" s="1" t="str">
        <f>"استان تهران"</f>
        <v>استان تهران</v>
      </c>
      <c r="AD350" s="1" t="str">
        <f>"95/11/27"</f>
        <v>95/11/27</v>
      </c>
      <c r="AE350" s="1" t="str">
        <f t="shared" si="77"/>
        <v>اختتام</v>
      </c>
      <c r="AF350" s="1" t="str">
        <f>""</f>
        <v/>
      </c>
      <c r="AG350" s="1" t="str">
        <f>""</f>
        <v/>
      </c>
      <c r="AH350" s="1" t="str">
        <f>""</f>
        <v/>
      </c>
      <c r="AI350" s="1" t="str">
        <f>""</f>
        <v/>
      </c>
      <c r="AJ350" s="1" t="str">
        <f>""</f>
        <v/>
      </c>
      <c r="AK350" s="1" t="str">
        <f>""</f>
        <v/>
      </c>
    </row>
    <row r="351" spans="1:37" x14ac:dyDescent="0.2">
      <c r="A351" s="1">
        <v>30000</v>
      </c>
      <c r="B351" s="1">
        <v>956200252</v>
      </c>
      <c r="C351" s="1" t="str">
        <f>"تخليه - تهران-جاده امام رضا -بعداز پاکدشت -خيابان جمال آباد -جاده کانال آبرساني-کارخانه آباد راهان بهنام"</f>
        <v>تخليه - تهران-جاده امام رضا -بعداز پاکدشت -خيابان جمال آباد -جاده کانال آبرساني-کارخانه آباد راهان بهنام</v>
      </c>
      <c r="D351" s="1">
        <v>9361</v>
      </c>
      <c r="E351" s="1">
        <v>29800</v>
      </c>
      <c r="F351" s="1">
        <v>95</v>
      </c>
      <c r="G351" s="1">
        <v>200</v>
      </c>
      <c r="H351" s="1" t="str">
        <f>"95/11/27"</f>
        <v>95/11/27</v>
      </c>
      <c r="I351" s="1" t="str">
        <f t="shared" si="73"/>
        <v>كيلوگرم</v>
      </c>
      <c r="J351" s="1" t="str">
        <f t="shared" si="70"/>
        <v>0000000076</v>
      </c>
      <c r="K351" s="1" t="str">
        <f t="shared" si="71"/>
        <v>قير 60/70 - فله</v>
      </c>
      <c r="L351" s="1">
        <v>100</v>
      </c>
      <c r="M351" s="1" t="str">
        <f t="shared" si="74"/>
        <v>مخازن قير اصفهان</v>
      </c>
      <c r="N351" s="1">
        <v>11264</v>
      </c>
      <c r="O351" s="1">
        <v>50033785</v>
      </c>
      <c r="P351" s="1" t="str">
        <f>"  بنا افراز جهرم جنوب"</f>
        <v xml:space="preserve">  بنا افراز جهرم جنوب</v>
      </c>
      <c r="Q351" s="1">
        <v>62</v>
      </c>
      <c r="R351" s="1" t="str">
        <f t="shared" si="78"/>
        <v>فروش داخلي - سازمان بنيادمسكن انقلاب اسلامي</v>
      </c>
      <c r="S351" s="1" t="str">
        <f t="shared" si="75"/>
        <v>قرارداد فروش</v>
      </c>
      <c r="T351" s="1" t="str">
        <f t="shared" si="76"/>
        <v>ندارد</v>
      </c>
      <c r="U351" s="1" t="str">
        <f>"حاج صادقي باقر(1841027)"</f>
        <v>حاج صادقي باقر(1841027)</v>
      </c>
      <c r="V351" s="1">
        <v>956200252</v>
      </c>
      <c r="W351" s="1">
        <v>956200252</v>
      </c>
      <c r="X351" s="1" t="str">
        <f>"1395465843"</f>
        <v>1395465843</v>
      </c>
      <c r="Y351" s="1" t="str">
        <f>"95/11/27"</f>
        <v>95/11/27</v>
      </c>
      <c r="Z351" s="1" t="str">
        <f>"51490/د"</f>
        <v>51490/د</v>
      </c>
      <c r="AA351" s="1" t="str">
        <f t="shared" si="79"/>
        <v>بنيادمسكن انقلاب اسلامي</v>
      </c>
      <c r="AB351" s="1" t="str">
        <f>"95/11/26"</f>
        <v>95/11/26</v>
      </c>
      <c r="AC351" s="1" t="str">
        <f>"استان تهران"</f>
        <v>استان تهران</v>
      </c>
      <c r="AD351" s="1" t="str">
        <f>"95/11/27"</f>
        <v>95/11/27</v>
      </c>
      <c r="AE351" s="1" t="str">
        <f t="shared" si="77"/>
        <v>اختتام</v>
      </c>
      <c r="AF351" s="1" t="str">
        <f>""</f>
        <v/>
      </c>
      <c r="AG351" s="1" t="str">
        <f>""</f>
        <v/>
      </c>
      <c r="AH351" s="1" t="str">
        <f>""</f>
        <v/>
      </c>
      <c r="AI351" s="1" t="str">
        <f>""</f>
        <v/>
      </c>
      <c r="AJ351" s="1" t="str">
        <f>""</f>
        <v/>
      </c>
      <c r="AK351" s="1" t="str">
        <f>""</f>
        <v/>
      </c>
    </row>
    <row r="352" spans="1:37" x14ac:dyDescent="0.2">
      <c r="A352" s="1">
        <v>57000</v>
      </c>
      <c r="B352" s="1">
        <v>956200278</v>
      </c>
      <c r="C352" s="1" t="str">
        <f>"تخليه - تهران -پاکدشت - جمال آباد - جاده کانال آب-کارخانه کوه گستران پارس"</f>
        <v>تخليه - تهران -پاکدشت - جمال آباد - جاده کانال آب-کارخانه کوه گستران پارس</v>
      </c>
      <c r="D352" s="1">
        <v>8848</v>
      </c>
      <c r="E352" s="1">
        <v>56780</v>
      </c>
      <c r="F352" s="1">
        <v>95</v>
      </c>
      <c r="G352" s="1">
        <v>220</v>
      </c>
      <c r="H352" s="1" t="str">
        <f>"95/12/04"</f>
        <v>95/12/04</v>
      </c>
      <c r="I352" s="1" t="str">
        <f t="shared" si="73"/>
        <v>كيلوگرم</v>
      </c>
      <c r="J352" s="1" t="str">
        <f t="shared" si="70"/>
        <v>0000000076</v>
      </c>
      <c r="K352" s="1" t="str">
        <f t="shared" si="71"/>
        <v>قير 60/70 - فله</v>
      </c>
      <c r="L352" s="1">
        <v>100</v>
      </c>
      <c r="M352" s="1" t="str">
        <f t="shared" si="74"/>
        <v>مخازن قير اصفهان</v>
      </c>
      <c r="N352" s="1">
        <v>11272</v>
      </c>
      <c r="O352" s="1">
        <v>50033848</v>
      </c>
      <c r="P352" s="1" t="str">
        <f>"  آرشيت سازه پايتخت"</f>
        <v xml:space="preserve">  آرشيت سازه پايتخت</v>
      </c>
      <c r="Q352" s="1">
        <v>62</v>
      </c>
      <c r="R352" s="1" t="str">
        <f t="shared" si="78"/>
        <v>فروش داخلي - سازمان بنيادمسكن انقلاب اسلامي</v>
      </c>
      <c r="S352" s="1" t="str">
        <f t="shared" si="75"/>
        <v>قرارداد فروش</v>
      </c>
      <c r="T352" s="1" t="str">
        <f t="shared" si="76"/>
        <v>ندارد</v>
      </c>
      <c r="U352" s="1" t="str">
        <f>"فتحي توحيد حسن(1841009)"</f>
        <v>فتحي توحيد حسن(1841009)</v>
      </c>
      <c r="V352" s="1">
        <v>956200278</v>
      </c>
      <c r="W352" s="1">
        <v>956200278</v>
      </c>
      <c r="X352" s="1" t="str">
        <f>"1395466581"</f>
        <v>1395466581</v>
      </c>
      <c r="Y352" s="1" t="str">
        <f>"95/12/04"</f>
        <v>95/12/04</v>
      </c>
      <c r="Z352" s="1" t="str">
        <f>"52107/د"</f>
        <v>52107/د</v>
      </c>
      <c r="AA352" s="1" t="str">
        <f t="shared" si="79"/>
        <v>بنيادمسكن انقلاب اسلامي</v>
      </c>
      <c r="AB352" s="1" t="str">
        <f>"95/11/30"</f>
        <v>95/11/30</v>
      </c>
      <c r="AC352" s="1" t="str">
        <f>"استان تهران"</f>
        <v>استان تهران</v>
      </c>
      <c r="AD352" s="1" t="str">
        <f>"95/12/03"</f>
        <v>95/12/03</v>
      </c>
      <c r="AE352" s="1" t="str">
        <f t="shared" si="77"/>
        <v>اختتام</v>
      </c>
      <c r="AF352" s="1" t="str">
        <f>""</f>
        <v/>
      </c>
      <c r="AG352" s="1" t="str">
        <f>""</f>
        <v/>
      </c>
      <c r="AH352" s="1" t="str">
        <f>""</f>
        <v/>
      </c>
      <c r="AI352" s="1" t="str">
        <f>""</f>
        <v/>
      </c>
      <c r="AJ352" s="1" t="str">
        <f>""</f>
        <v/>
      </c>
      <c r="AK352" s="1" t="str">
        <f>""</f>
        <v/>
      </c>
    </row>
    <row r="353" spans="1:37" x14ac:dyDescent="0.2">
      <c r="A353" s="1">
        <v>176000</v>
      </c>
      <c r="B353" s="1">
        <v>956200245</v>
      </c>
      <c r="C353" s="1" t="str">
        <f>"تخليه-يزد-اردکان-کيلوتر 15جاده چک چک کارخانه ميثاق اردکان"</f>
        <v>تخليه-يزد-اردکان-کيلوتر 15جاده چک چک کارخانه ميثاق اردکان</v>
      </c>
      <c r="D353" s="1">
        <v>9361</v>
      </c>
      <c r="E353" s="1">
        <v>175260</v>
      </c>
      <c r="F353" s="1">
        <v>95</v>
      </c>
      <c r="G353" s="1">
        <v>740</v>
      </c>
      <c r="H353" s="1" t="str">
        <f>"95/11/27"</f>
        <v>95/11/27</v>
      </c>
      <c r="I353" s="1" t="str">
        <f t="shared" si="73"/>
        <v>كيلوگرم</v>
      </c>
      <c r="J353" s="1" t="str">
        <f t="shared" si="70"/>
        <v>0000000076</v>
      </c>
      <c r="K353" s="1" t="str">
        <f t="shared" si="71"/>
        <v>قير 60/70 - فله</v>
      </c>
      <c r="L353" s="1">
        <v>100</v>
      </c>
      <c r="M353" s="1" t="str">
        <f t="shared" si="74"/>
        <v>مخازن قير اصفهان</v>
      </c>
      <c r="N353" s="1">
        <v>11125</v>
      </c>
      <c r="O353" s="1">
        <v>50033778</v>
      </c>
      <c r="P353" s="1" t="str">
        <f>"  اهورا کلبه جهان نما"</f>
        <v xml:space="preserve">  اهورا کلبه جهان نما</v>
      </c>
      <c r="Q353" s="1">
        <v>62</v>
      </c>
      <c r="R353" s="1" t="str">
        <f t="shared" si="78"/>
        <v>فروش داخلي - سازمان بنيادمسكن انقلاب اسلامي</v>
      </c>
      <c r="S353" s="1" t="str">
        <f t="shared" si="75"/>
        <v>قرارداد فروش</v>
      </c>
      <c r="T353" s="1" t="str">
        <f t="shared" si="76"/>
        <v>ندارد</v>
      </c>
      <c r="U353" s="1" t="str">
        <f>"قانعي محمدرضا(1011ج89)"</f>
        <v>قانعي محمدرضا(1011ج89)</v>
      </c>
      <c r="V353" s="1">
        <v>956200245</v>
      </c>
      <c r="W353" s="1">
        <v>956200245</v>
      </c>
      <c r="X353" s="1" t="str">
        <f>"1395465843"</f>
        <v>1395465843</v>
      </c>
      <c r="Y353" s="1" t="str">
        <f>"95/11/27"</f>
        <v>95/11/27</v>
      </c>
      <c r="Z353" s="1" t="str">
        <f>"51496/د"</f>
        <v>51496/د</v>
      </c>
      <c r="AA353" s="1" t="str">
        <f t="shared" si="79"/>
        <v>بنيادمسكن انقلاب اسلامي</v>
      </c>
      <c r="AB353" s="1" t="str">
        <f>"95/11/26"</f>
        <v>95/11/26</v>
      </c>
      <c r="AC353" s="1" t="str">
        <f>"استان يزد"</f>
        <v>استان يزد</v>
      </c>
      <c r="AD353" s="1" t="str">
        <f>"95/11/27"</f>
        <v>95/11/27</v>
      </c>
      <c r="AE353" s="1" t="str">
        <f t="shared" si="77"/>
        <v>اختتام</v>
      </c>
      <c r="AF353" s="1" t="str">
        <f>""</f>
        <v/>
      </c>
      <c r="AG353" s="1" t="str">
        <f>""</f>
        <v/>
      </c>
      <c r="AH353" s="1" t="str">
        <f>""</f>
        <v/>
      </c>
      <c r="AI353" s="1" t="str">
        <f>""</f>
        <v/>
      </c>
      <c r="AJ353" s="1" t="str">
        <f>""</f>
        <v/>
      </c>
      <c r="AK353" s="1" t="str">
        <f>""</f>
        <v/>
      </c>
    </row>
    <row r="354" spans="1:37" x14ac:dyDescent="0.2">
      <c r="A354" s="1">
        <v>68000</v>
      </c>
      <c r="B354" s="1">
        <v>952000230</v>
      </c>
      <c r="C354" s="1" t="str">
        <f>"تخليه -چهارمحال وبختياري -كارخانه آسفالت گندمكار"</f>
        <v>تخليه -چهارمحال وبختياري -كارخانه آسفالت گندمكار</v>
      </c>
      <c r="D354" s="1">
        <v>8023</v>
      </c>
      <c r="E354" s="1">
        <v>66040</v>
      </c>
      <c r="F354" s="1">
        <v>95</v>
      </c>
      <c r="G354" s="1">
        <v>1960</v>
      </c>
      <c r="H354" s="1" t="str">
        <f>"95/08/18"</f>
        <v>95/08/18</v>
      </c>
      <c r="I354" s="1" t="str">
        <f t="shared" si="73"/>
        <v>كيلوگرم</v>
      </c>
      <c r="J354" s="1" t="str">
        <f t="shared" si="70"/>
        <v>0000000076</v>
      </c>
      <c r="K354" s="1" t="str">
        <f t="shared" si="71"/>
        <v>قير 60/70 - فله</v>
      </c>
      <c r="L354" s="1">
        <v>100</v>
      </c>
      <c r="M354" s="1" t="str">
        <f t="shared" si="74"/>
        <v>مخازن قير اصفهان</v>
      </c>
      <c r="N354" s="1">
        <v>11158</v>
      </c>
      <c r="O354" s="1">
        <v>50032560</v>
      </c>
      <c r="P354" s="1" t="str">
        <f>"  شهرداري سرخون"</f>
        <v xml:space="preserve">  شهرداري سرخون</v>
      </c>
      <c r="Q354" s="1">
        <v>20</v>
      </c>
      <c r="R354" s="1" t="str">
        <f>"فروش داخلي - سازمان شهرداري ها و دهياري هاي كشور"</f>
        <v>فروش داخلي - سازمان شهرداري ها و دهياري هاي كشور</v>
      </c>
      <c r="S354" s="1" t="str">
        <f t="shared" si="75"/>
        <v>قرارداد فروش</v>
      </c>
      <c r="T354" s="1" t="str">
        <f t="shared" si="76"/>
        <v>ندارد</v>
      </c>
      <c r="U354" s="1" t="str">
        <f>"تاج سعيد هوشنگ (1031ج 89)"</f>
        <v>تاج سعيد هوشنگ (1031ج 89)</v>
      </c>
      <c r="V354" s="1">
        <v>952000230</v>
      </c>
      <c r="W354" s="1">
        <v>952000230</v>
      </c>
      <c r="X354" s="1" t="str">
        <f>"1395443706"</f>
        <v>1395443706</v>
      </c>
      <c r="Y354" s="1" t="str">
        <f>"95/08/17"</f>
        <v>95/08/17</v>
      </c>
      <c r="Z354" s="1" t="str">
        <f>"40016"</f>
        <v>40016</v>
      </c>
      <c r="AA354" s="1" t="str">
        <f>"شهرداريها"</f>
        <v>شهرداريها</v>
      </c>
      <c r="AB354" s="1" t="str">
        <f>"95/08/15"</f>
        <v>95/08/15</v>
      </c>
      <c r="AC354" s="1" t="str">
        <f>"استان چهارمحال بختياري"</f>
        <v>استان چهارمحال بختياري</v>
      </c>
      <c r="AD354" s="1" t="str">
        <f>"95/08/17"</f>
        <v>95/08/17</v>
      </c>
      <c r="AE354" s="1" t="str">
        <f t="shared" si="77"/>
        <v>اختتام</v>
      </c>
      <c r="AF354" s="1" t="str">
        <f>""</f>
        <v/>
      </c>
      <c r="AG354" s="1" t="str">
        <f>""</f>
        <v/>
      </c>
      <c r="AH354" s="1" t="str">
        <f>""</f>
        <v/>
      </c>
      <c r="AI354" s="1" t="str">
        <f>""</f>
        <v/>
      </c>
      <c r="AJ354" s="1" t="str">
        <f>""</f>
        <v/>
      </c>
      <c r="AK354" s="1" t="str">
        <f>""</f>
        <v/>
      </c>
    </row>
    <row r="355" spans="1:37" x14ac:dyDescent="0.2">
      <c r="A355" s="1">
        <v>310000</v>
      </c>
      <c r="B355" s="1">
        <v>956200076</v>
      </c>
      <c r="C355" s="1" t="str">
        <f>"تخليه - کهگيلويه و بويراحمد-دهدشت - لنده - روستاي ايدنک - کارخانه آسفالت تقي زاده"</f>
        <v>تخليه - کهگيلويه و بويراحمد-دهدشت - لنده - روستاي ايدنک - کارخانه آسفالت تقي زاده</v>
      </c>
      <c r="D355" s="1">
        <v>6876</v>
      </c>
      <c r="E355" s="1">
        <v>309200</v>
      </c>
      <c r="F355" s="1">
        <v>95</v>
      </c>
      <c r="G355" s="1">
        <v>800</v>
      </c>
      <c r="H355" s="1" t="str">
        <f>"95/06/24"</f>
        <v>95/06/24</v>
      </c>
      <c r="I355" s="1" t="str">
        <f t="shared" si="73"/>
        <v>كيلوگرم</v>
      </c>
      <c r="J355" s="1" t="str">
        <f t="shared" si="70"/>
        <v>0000000076</v>
      </c>
      <c r="K355" s="1" t="str">
        <f t="shared" si="71"/>
        <v>قير 60/70 - فله</v>
      </c>
      <c r="L355" s="1">
        <v>100</v>
      </c>
      <c r="M355" s="1" t="str">
        <f t="shared" si="74"/>
        <v>مخازن قير اصفهان</v>
      </c>
      <c r="N355" s="1">
        <v>11182</v>
      </c>
      <c r="O355" s="1">
        <v>50031873</v>
      </c>
      <c r="P355" s="1" t="str">
        <f>"  سخت سازان سيراف"</f>
        <v xml:space="preserve">  سخت سازان سيراف</v>
      </c>
      <c r="Q355" s="1">
        <v>62</v>
      </c>
      <c r="R355" s="1" t="str">
        <f>"فروش داخلي - سازمان بنيادمسكن انقلاب اسلامي"</f>
        <v>فروش داخلي - سازمان بنيادمسكن انقلاب اسلامي</v>
      </c>
      <c r="S355" s="1" t="str">
        <f t="shared" si="75"/>
        <v>قرارداد فروش</v>
      </c>
      <c r="T355" s="1" t="str">
        <f t="shared" si="76"/>
        <v>ندارد</v>
      </c>
      <c r="U355" s="1" t="str">
        <f>"غلام نجفي سيامك‌‌‌‌‌‌(1881082)"</f>
        <v>غلام نجفي سيامك‌‌‌‌‌‌(1881082)</v>
      </c>
      <c r="V355" s="1">
        <v>956200076</v>
      </c>
      <c r="W355" s="1">
        <v>956200076</v>
      </c>
      <c r="X355" s="1" t="str">
        <f>"1395431907"</f>
        <v>1395431907</v>
      </c>
      <c r="Y355" s="1" t="str">
        <f>"95/06/24"</f>
        <v>95/06/24</v>
      </c>
      <c r="Z355" s="1" t="str">
        <f>"26096/د"</f>
        <v>26096/د</v>
      </c>
      <c r="AA355" s="1" t="str">
        <f>"بنيادمسكن انقلاب اسلامي"</f>
        <v>بنيادمسكن انقلاب اسلامي</v>
      </c>
      <c r="AB355" s="1" t="str">
        <f>"95/06/24"</f>
        <v>95/06/24</v>
      </c>
      <c r="AC355" s="1" t="str">
        <f>"كهكيلويه و بوير احمد"</f>
        <v>كهكيلويه و بوير احمد</v>
      </c>
      <c r="AD355" s="1" t="str">
        <f>"95/06/24"</f>
        <v>95/06/24</v>
      </c>
      <c r="AE355" s="1" t="str">
        <f t="shared" si="77"/>
        <v>اختتام</v>
      </c>
      <c r="AF355" s="1" t="str">
        <f>""</f>
        <v/>
      </c>
      <c r="AG355" s="1" t="str">
        <f>""</f>
        <v/>
      </c>
      <c r="AH355" s="1" t="str">
        <f>""</f>
        <v/>
      </c>
      <c r="AI355" s="1" t="str">
        <f>""</f>
        <v/>
      </c>
      <c r="AJ355" s="1" t="str">
        <f>""</f>
        <v/>
      </c>
      <c r="AK355" s="1" t="str">
        <f>""</f>
        <v/>
      </c>
    </row>
    <row r="356" spans="1:37" x14ac:dyDescent="0.2">
      <c r="A356" s="1">
        <v>335000</v>
      </c>
      <c r="B356" s="1">
        <v>956200078</v>
      </c>
      <c r="C356" s="1" t="str">
        <f>"تخليه-کهگيلويه -دهدشت روستاي خيرآباد-کارخانه آسفالت مظفر"</f>
        <v>تخليه-کهگيلويه -دهدشت روستاي خيرآباد-کارخانه آسفالت مظفر</v>
      </c>
      <c r="D356" s="1">
        <v>6976</v>
      </c>
      <c r="E356" s="1">
        <v>334360</v>
      </c>
      <c r="F356" s="1">
        <v>95</v>
      </c>
      <c r="G356" s="1">
        <v>640</v>
      </c>
      <c r="H356" s="1" t="str">
        <f>"95/07/05"</f>
        <v>95/07/05</v>
      </c>
      <c r="I356" s="1" t="str">
        <f t="shared" si="73"/>
        <v>كيلوگرم</v>
      </c>
      <c r="J356" s="1" t="str">
        <f t="shared" si="70"/>
        <v>0000000076</v>
      </c>
      <c r="K356" s="1" t="str">
        <f t="shared" si="71"/>
        <v>قير 60/70 - فله</v>
      </c>
      <c r="L356" s="1">
        <v>100</v>
      </c>
      <c r="M356" s="1" t="str">
        <f t="shared" si="74"/>
        <v>مخازن قير اصفهان</v>
      </c>
      <c r="N356" s="1">
        <v>11185</v>
      </c>
      <c r="O356" s="1">
        <v>50031944</v>
      </c>
      <c r="P356" s="1" t="str">
        <f>"  طاق کسري رييسي"</f>
        <v xml:space="preserve">  طاق کسري رييسي</v>
      </c>
      <c r="Q356" s="1">
        <v>62</v>
      </c>
      <c r="R356" s="1" t="str">
        <f>"فروش داخلي - سازمان بنيادمسكن انقلاب اسلامي"</f>
        <v>فروش داخلي - سازمان بنيادمسكن انقلاب اسلامي</v>
      </c>
      <c r="S356" s="1" t="str">
        <f t="shared" si="75"/>
        <v>قرارداد فروش</v>
      </c>
      <c r="T356" s="1" t="str">
        <f t="shared" si="76"/>
        <v>ندارد</v>
      </c>
      <c r="U356" s="1" t="str">
        <f>"غلام نجفي سيامك‌‌‌‌‌‌(1881082)"</f>
        <v>غلام نجفي سيامك‌‌‌‌‌‌(1881082)</v>
      </c>
      <c r="V356" s="1">
        <v>956200078</v>
      </c>
      <c r="W356" s="1">
        <v>956200078</v>
      </c>
      <c r="X356" s="1" t="str">
        <f>"1395433644"</f>
        <v>1395433644</v>
      </c>
      <c r="Y356" s="1" t="str">
        <f>"95/07/05"</f>
        <v>95/07/05</v>
      </c>
      <c r="Z356" s="1" t="str">
        <f>"26268/د"</f>
        <v>26268/د</v>
      </c>
      <c r="AA356" s="1" t="str">
        <f>"بنيادمسكن انقلاب اسلامي"</f>
        <v>بنيادمسكن انقلاب اسلامي</v>
      </c>
      <c r="AB356" s="1" t="str">
        <f>"95/06/24"</f>
        <v>95/06/24</v>
      </c>
      <c r="AC356" s="1" t="str">
        <f>"كهكيلويه و بوير احمد"</f>
        <v>كهكيلويه و بوير احمد</v>
      </c>
      <c r="AD356" s="1" t="str">
        <f>"95/07/04"</f>
        <v>95/07/04</v>
      </c>
      <c r="AE356" s="1" t="str">
        <f t="shared" si="77"/>
        <v>اختتام</v>
      </c>
      <c r="AF356" s="1" t="str">
        <f>""</f>
        <v/>
      </c>
      <c r="AG356" s="1" t="str">
        <f>""</f>
        <v/>
      </c>
      <c r="AH356" s="1" t="str">
        <f>""</f>
        <v/>
      </c>
      <c r="AI356" s="1" t="str">
        <f>""</f>
        <v/>
      </c>
      <c r="AJ356" s="1" t="str">
        <f>""</f>
        <v/>
      </c>
      <c r="AK356" s="1" t="str">
        <f>""</f>
        <v/>
      </c>
    </row>
    <row r="357" spans="1:37" x14ac:dyDescent="0.2">
      <c r="A357" s="1">
        <v>15000</v>
      </c>
      <c r="B357" s="1">
        <v>956200049</v>
      </c>
      <c r="C357" s="1" t="str">
        <f>"تخليه- اردکان-جاده خرانق کيلومتر 8"</f>
        <v>تخليه- اردکان-جاده خرانق کيلومتر 8</v>
      </c>
      <c r="D357" s="1">
        <v>5950</v>
      </c>
      <c r="E357" s="1">
        <v>14780</v>
      </c>
      <c r="F357" s="1">
        <v>95</v>
      </c>
      <c r="G357" s="1">
        <v>220</v>
      </c>
      <c r="H357" s="1" t="str">
        <f>"95/04/14"</f>
        <v>95/04/14</v>
      </c>
      <c r="I357" s="1" t="str">
        <f t="shared" si="73"/>
        <v>كيلوگرم</v>
      </c>
      <c r="J357" s="1" t="str">
        <f t="shared" si="70"/>
        <v>0000000076</v>
      </c>
      <c r="K357" s="1" t="str">
        <f t="shared" si="71"/>
        <v>قير 60/70 - فله</v>
      </c>
      <c r="L357" s="1">
        <v>100</v>
      </c>
      <c r="M357" s="1" t="str">
        <f t="shared" si="74"/>
        <v>مخازن قير اصفهان</v>
      </c>
      <c r="N357" s="1">
        <v>10327</v>
      </c>
      <c r="O357" s="1">
        <v>50031194</v>
      </c>
      <c r="P357" s="1" t="str">
        <f>"  آسفالت هامون"</f>
        <v xml:space="preserve">  آسفالت هامون</v>
      </c>
      <c r="Q357" s="1">
        <v>62</v>
      </c>
      <c r="R357" s="1" t="str">
        <f>"فروش داخلي - سازمان بنيادمسكن انقلاب اسلامي"</f>
        <v>فروش داخلي - سازمان بنيادمسكن انقلاب اسلامي</v>
      </c>
      <c r="S357" s="1" t="str">
        <f t="shared" si="75"/>
        <v>قرارداد فروش</v>
      </c>
      <c r="T357" s="1" t="str">
        <f t="shared" si="76"/>
        <v>ندارد</v>
      </c>
      <c r="U357" s="1" t="str">
        <f>"قانعي محمدرضا(1011ج89)"</f>
        <v>قانعي محمدرضا(1011ج89)</v>
      </c>
      <c r="V357" s="1">
        <v>956200049</v>
      </c>
      <c r="W357" s="1">
        <v>956200049</v>
      </c>
      <c r="X357" s="1" t="str">
        <f>"1395412854"</f>
        <v>1395412854</v>
      </c>
      <c r="Y357" s="1" t="str">
        <f>"95/04/14"</f>
        <v>95/04/14</v>
      </c>
      <c r="Z357" s="1" t="str">
        <f>"14228/د"</f>
        <v>14228/د</v>
      </c>
      <c r="AA357" s="1" t="str">
        <f>"بنيادمسكن انقلاب اسلامي"</f>
        <v>بنيادمسكن انقلاب اسلامي</v>
      </c>
      <c r="AB357" s="1" t="str">
        <f>"95/04/09"</f>
        <v>95/04/09</v>
      </c>
      <c r="AC357" s="1" t="str">
        <f>"استان يزد"</f>
        <v>استان يزد</v>
      </c>
      <c r="AD357" s="1" t="str">
        <f>"95/04/13"</f>
        <v>95/04/13</v>
      </c>
      <c r="AE357" s="1" t="str">
        <f t="shared" si="77"/>
        <v>اختتام</v>
      </c>
      <c r="AF357" s="1" t="str">
        <f>""</f>
        <v/>
      </c>
      <c r="AG357" s="1" t="str">
        <f>""</f>
        <v/>
      </c>
      <c r="AH357" s="1" t="str">
        <f>""</f>
        <v/>
      </c>
      <c r="AI357" s="1" t="str">
        <f>""</f>
        <v/>
      </c>
      <c r="AJ357" s="1" t="str">
        <f>""</f>
        <v/>
      </c>
      <c r="AK357" s="1" t="str">
        <f>""</f>
        <v/>
      </c>
    </row>
    <row r="358" spans="1:37" x14ac:dyDescent="0.2">
      <c r="A358" s="1">
        <v>75000</v>
      </c>
      <c r="B358" s="1">
        <v>952000259</v>
      </c>
      <c r="C358" s="1" t="str">
        <f>"تخليه - اصفهان-شهرک صنعتي اشترجان-خيابان 11 بعداز شرکت تکرام مجيد شبانيان -شرکت راه آژند"</f>
        <v>تخليه - اصفهان-شهرک صنعتي اشترجان-خيابان 11 بعداز شرکت تکرام مجيد شبانيان -شرکت راه آژند</v>
      </c>
      <c r="D358" s="1">
        <v>7026</v>
      </c>
      <c r="E358" s="1">
        <v>73480</v>
      </c>
      <c r="F358" s="1">
        <v>95</v>
      </c>
      <c r="G358" s="1">
        <v>1520</v>
      </c>
      <c r="H358" s="1" t="str">
        <f>"95/09/09"</f>
        <v>95/09/09</v>
      </c>
      <c r="I358" s="1" t="str">
        <f t="shared" si="73"/>
        <v>كيلوگرم</v>
      </c>
      <c r="J358" s="1" t="str">
        <f t="shared" si="70"/>
        <v>0000000076</v>
      </c>
      <c r="K358" s="1" t="str">
        <f t="shared" si="71"/>
        <v>قير 60/70 - فله</v>
      </c>
      <c r="L358" s="1">
        <v>100</v>
      </c>
      <c r="M358" s="1" t="str">
        <f t="shared" si="74"/>
        <v>مخازن قير اصفهان</v>
      </c>
      <c r="N358" s="1">
        <v>10654</v>
      </c>
      <c r="O358" s="1">
        <v>50032732</v>
      </c>
      <c r="P358" s="1" t="str">
        <f>"  شهرداري جوزدان"</f>
        <v xml:space="preserve">  شهرداري جوزدان</v>
      </c>
      <c r="Q358" s="1">
        <v>20</v>
      </c>
      <c r="R358" s="1" t="str">
        <f>"فروش داخلي - سازمان شهرداري ها و دهياري هاي كشور"</f>
        <v>فروش داخلي - سازمان شهرداري ها و دهياري هاي كشور</v>
      </c>
      <c r="S358" s="1" t="str">
        <f t="shared" si="75"/>
        <v>قرارداد فروش</v>
      </c>
      <c r="T358" s="1" t="str">
        <f t="shared" si="76"/>
        <v>ندارد</v>
      </c>
      <c r="U358" s="1" t="str">
        <f>"سيفي پور عبدالمجيد(1009ج89)"</f>
        <v>سيفي پور عبدالمجيد(1009ج89)</v>
      </c>
      <c r="V358" s="1">
        <v>952000259</v>
      </c>
      <c r="W358" s="1">
        <v>952000259</v>
      </c>
      <c r="X358" s="1" t="str">
        <f>"1395447768"</f>
        <v>1395447768</v>
      </c>
      <c r="Y358" s="1" t="str">
        <f>"95/09/09"</f>
        <v>95/09/09</v>
      </c>
      <c r="Z358" s="1" t="str">
        <f>"43198"</f>
        <v>43198</v>
      </c>
      <c r="AA358" s="1" t="str">
        <f>"شهرداريها"</f>
        <v>شهرداريها</v>
      </c>
      <c r="AB358" s="1" t="str">
        <f>"95/09/01"</f>
        <v>95/09/01</v>
      </c>
      <c r="AC358" s="1" t="str">
        <f>"استان اصفهان"</f>
        <v>استان اصفهان</v>
      </c>
      <c r="AD358" s="1" t="str">
        <f>"95/09/07"</f>
        <v>95/09/07</v>
      </c>
      <c r="AE358" s="1" t="str">
        <f t="shared" si="77"/>
        <v>اختتام</v>
      </c>
      <c r="AF358" s="1" t="str">
        <f>""</f>
        <v/>
      </c>
      <c r="AG358" s="1" t="str">
        <f>""</f>
        <v/>
      </c>
      <c r="AH358" s="1" t="str">
        <f>""</f>
        <v/>
      </c>
      <c r="AI358" s="1" t="str">
        <f>""</f>
        <v/>
      </c>
      <c r="AJ358" s="1" t="str">
        <f>""</f>
        <v/>
      </c>
      <c r="AK358" s="1" t="str">
        <f>""</f>
        <v/>
      </c>
    </row>
    <row r="359" spans="1:37" x14ac:dyDescent="0.2">
      <c r="A359" s="1">
        <v>73000</v>
      </c>
      <c r="B359" s="1">
        <v>952000168</v>
      </c>
      <c r="C359" s="1" t="str">
        <f>"تخليه اصفهان جاده نجف آبادفولادشهربالاترازمسكن مهرفولادشهركارخانه آسفالت بتن كهتاب"</f>
        <v>تخليه اصفهان جاده نجف آبادفولادشهربالاترازمسكن مهرفولادشهركارخانه آسفالت بتن كهتاب</v>
      </c>
      <c r="D359" s="1">
        <v>8023</v>
      </c>
      <c r="E359" s="1">
        <v>72540</v>
      </c>
      <c r="F359" s="1">
        <v>95</v>
      </c>
      <c r="G359" s="1">
        <v>460</v>
      </c>
      <c r="H359" s="1" t="str">
        <f>"95/08/10"</f>
        <v>95/08/10</v>
      </c>
      <c r="I359" s="1" t="str">
        <f t="shared" si="73"/>
        <v>كيلوگرم</v>
      </c>
      <c r="J359" s="1" t="str">
        <f t="shared" si="70"/>
        <v>0000000076</v>
      </c>
      <c r="K359" s="1" t="str">
        <f t="shared" si="71"/>
        <v>قير 60/70 - فله</v>
      </c>
      <c r="L359" s="1">
        <v>100</v>
      </c>
      <c r="M359" s="1" t="str">
        <f t="shared" si="74"/>
        <v>مخازن قير اصفهان</v>
      </c>
      <c r="N359" s="1">
        <v>10660</v>
      </c>
      <c r="O359" s="1">
        <v>50032431</v>
      </c>
      <c r="P359" s="1" t="str">
        <f>"  شهرداري سين"</f>
        <v xml:space="preserve">  شهرداري سين</v>
      </c>
      <c r="Q359" s="1">
        <v>20</v>
      </c>
      <c r="R359" s="1" t="str">
        <f>"فروش داخلي - سازمان شهرداري ها و دهياري هاي كشور"</f>
        <v>فروش داخلي - سازمان شهرداري ها و دهياري هاي كشور</v>
      </c>
      <c r="S359" s="1" t="str">
        <f t="shared" si="75"/>
        <v>قرارداد فروش</v>
      </c>
      <c r="T359" s="1" t="str">
        <f t="shared" si="76"/>
        <v>ندارد</v>
      </c>
      <c r="U359" s="1" t="str">
        <f>"معماريان سعيد(1004ج89)"</f>
        <v>معماريان سعيد(1004ج89)</v>
      </c>
      <c r="V359" s="1">
        <v>952000168</v>
      </c>
      <c r="W359" s="1">
        <v>952000168</v>
      </c>
      <c r="X359" s="1" t="str">
        <f>"1395441430"</f>
        <v>1395441430</v>
      </c>
      <c r="Y359" s="1" t="str">
        <f>"95/08/10"</f>
        <v>95/08/10</v>
      </c>
      <c r="Z359" s="1" t="str">
        <f>"27733"</f>
        <v>27733</v>
      </c>
      <c r="AA359" s="1" t="str">
        <f>"شهرداريها"</f>
        <v>شهرداريها</v>
      </c>
      <c r="AB359" s="1" t="str">
        <f>"95/06/10"</f>
        <v>95/06/10</v>
      </c>
      <c r="AC359" s="1" t="str">
        <f>"استان اصفهان"</f>
        <v>استان اصفهان</v>
      </c>
      <c r="AD359" s="1" t="str">
        <f>"95/08/09"</f>
        <v>95/08/09</v>
      </c>
      <c r="AE359" s="1" t="str">
        <f t="shared" si="77"/>
        <v>اختتام</v>
      </c>
      <c r="AF359" s="1" t="str">
        <f>""</f>
        <v/>
      </c>
      <c r="AG359" s="1" t="str">
        <f>""</f>
        <v/>
      </c>
      <c r="AH359" s="1" t="str">
        <f>""</f>
        <v/>
      </c>
      <c r="AI359" s="1" t="str">
        <f>""</f>
        <v/>
      </c>
      <c r="AJ359" s="1" t="str">
        <f>""</f>
        <v/>
      </c>
      <c r="AK359" s="1" t="str">
        <f>""</f>
        <v/>
      </c>
    </row>
    <row r="360" spans="1:37" x14ac:dyDescent="0.2">
      <c r="A360" s="1">
        <v>102000</v>
      </c>
      <c r="B360" s="1">
        <v>952000175</v>
      </c>
      <c r="C360" s="1" t="str">
        <f>"تخليه اصفهان داران كارخانه آسفالت مشترك شهرداريهاي داران چادگان وبوئين ومياندشت"</f>
        <v>تخليه اصفهان داران كارخانه آسفالت مشترك شهرداريهاي داران چادگان وبوئين ومياندشت</v>
      </c>
      <c r="D360" s="1">
        <v>8023</v>
      </c>
      <c r="E360" s="1">
        <v>101140</v>
      </c>
      <c r="F360" s="1">
        <v>95</v>
      </c>
      <c r="G360" s="1">
        <v>860</v>
      </c>
      <c r="H360" s="1" t="str">
        <f>"95/08/10"</f>
        <v>95/08/10</v>
      </c>
      <c r="I360" s="1" t="str">
        <f t="shared" si="73"/>
        <v>كيلوگرم</v>
      </c>
      <c r="J360" s="1" t="str">
        <f t="shared" si="70"/>
        <v>0000000076</v>
      </c>
      <c r="K360" s="1" t="str">
        <f t="shared" si="71"/>
        <v>قير 60/70 - فله</v>
      </c>
      <c r="L360" s="1">
        <v>100</v>
      </c>
      <c r="M360" s="1" t="str">
        <f t="shared" si="74"/>
        <v>مخازن قير اصفهان</v>
      </c>
      <c r="N360" s="1">
        <v>10664</v>
      </c>
      <c r="O360" s="1">
        <v>50032443</v>
      </c>
      <c r="P360" s="1" t="str">
        <f>"  شهرداري چادگان"</f>
        <v xml:space="preserve">  شهرداري چادگان</v>
      </c>
      <c r="Q360" s="1">
        <v>20</v>
      </c>
      <c r="R360" s="1" t="str">
        <f>"فروش داخلي - سازمان شهرداري ها و دهياري هاي كشور"</f>
        <v>فروش داخلي - سازمان شهرداري ها و دهياري هاي كشور</v>
      </c>
      <c r="S360" s="1" t="str">
        <f t="shared" si="75"/>
        <v>قرارداد فروش</v>
      </c>
      <c r="T360" s="1" t="str">
        <f t="shared" si="76"/>
        <v>ندارد</v>
      </c>
      <c r="U360" s="1" t="str">
        <f>"سيفي پور گودرز(1019ج89)"</f>
        <v>سيفي پور گودرز(1019ج89)</v>
      </c>
      <c r="V360" s="1">
        <v>952000175</v>
      </c>
      <c r="W360" s="1">
        <v>952000175</v>
      </c>
      <c r="X360" s="1" t="str">
        <f>"1395441430"</f>
        <v>1395441430</v>
      </c>
      <c r="Y360" s="1" t="str">
        <f>"95/08/10"</f>
        <v>95/08/10</v>
      </c>
      <c r="Z360" s="1" t="str">
        <f>"34963"</f>
        <v>34963</v>
      </c>
      <c r="AA360" s="1" t="str">
        <f>"شهرداريها"</f>
        <v>شهرداريها</v>
      </c>
      <c r="AB360" s="1" t="str">
        <f>"95/07/18"</f>
        <v>95/07/18</v>
      </c>
      <c r="AC360" s="1" t="str">
        <f>"استان اصفهان"</f>
        <v>استان اصفهان</v>
      </c>
      <c r="AD360" s="1" t="str">
        <f>"95/08/09"</f>
        <v>95/08/09</v>
      </c>
      <c r="AE360" s="1" t="str">
        <f t="shared" si="77"/>
        <v>اختتام</v>
      </c>
      <c r="AF360" s="1" t="str">
        <f>""</f>
        <v/>
      </c>
      <c r="AG360" s="1" t="str">
        <f>""</f>
        <v/>
      </c>
      <c r="AH360" s="1" t="str">
        <f>""</f>
        <v/>
      </c>
      <c r="AI360" s="1" t="str">
        <f>""</f>
        <v/>
      </c>
      <c r="AJ360" s="1" t="str">
        <f>""</f>
        <v/>
      </c>
      <c r="AK360" s="1" t="str">
        <f>""</f>
        <v/>
      </c>
    </row>
    <row r="361" spans="1:37" x14ac:dyDescent="0.2">
      <c r="A361" s="1">
        <v>165000</v>
      </c>
      <c r="B361" s="1">
        <v>956200337</v>
      </c>
      <c r="C361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361" s="1">
        <v>8848</v>
      </c>
      <c r="E361" s="1">
        <v>165000</v>
      </c>
      <c r="F361" s="1">
        <v>95</v>
      </c>
      <c r="G361" s="1">
        <v>0</v>
      </c>
      <c r="H361" s="1" t="str">
        <f>"95/12/18"</f>
        <v>95/12/18</v>
      </c>
      <c r="I361" s="1" t="str">
        <f t="shared" si="73"/>
        <v>كيلوگرم</v>
      </c>
      <c r="J361" s="1" t="str">
        <f t="shared" si="70"/>
        <v>0000000076</v>
      </c>
      <c r="K361" s="1" t="str">
        <f t="shared" si="71"/>
        <v>قير 60/70 - فله</v>
      </c>
      <c r="L361" s="1">
        <v>100</v>
      </c>
      <c r="M361" s="1" t="str">
        <f t="shared" si="74"/>
        <v>مخازن قير اصفهان</v>
      </c>
      <c r="N361" s="1">
        <v>10828</v>
      </c>
      <c r="O361" s="1">
        <v>50034060</v>
      </c>
      <c r="P361" s="1" t="str">
        <f>"  زرين گستربيستون"</f>
        <v xml:space="preserve">  زرين گستربيستون</v>
      </c>
      <c r="Q361" s="1">
        <v>62</v>
      </c>
      <c r="R361" s="1" t="str">
        <f>"فروش داخلي - سازمان بنيادمسكن انقلاب اسلامي"</f>
        <v>فروش داخلي - سازمان بنيادمسكن انقلاب اسلامي</v>
      </c>
      <c r="S361" s="1" t="str">
        <f t="shared" si="75"/>
        <v>قرارداد فروش</v>
      </c>
      <c r="T361" s="1" t="str">
        <f t="shared" si="76"/>
        <v>ندارد</v>
      </c>
      <c r="U361" s="1" t="str">
        <f>"هيزچي مرتضي(1841036)"</f>
        <v>هيزچي مرتضي(1841036)</v>
      </c>
      <c r="V361" s="1">
        <v>956200337</v>
      </c>
      <c r="W361" s="1">
        <v>956200337</v>
      </c>
      <c r="X361" s="1" t="str">
        <f>"1395470078"</f>
        <v>1395470078</v>
      </c>
      <c r="Y361" s="1" t="str">
        <f>"95/12/18"</f>
        <v>95/12/18</v>
      </c>
      <c r="Z361" s="1" t="str">
        <f>"55951/د"</f>
        <v>55951/د</v>
      </c>
      <c r="AA361" s="1" t="str">
        <f>"بنيادمسكن انقلاب اسلامي"</f>
        <v>بنيادمسكن انقلاب اسلامي</v>
      </c>
      <c r="AB361" s="1" t="str">
        <f>"95/12/17"</f>
        <v>95/12/17</v>
      </c>
      <c r="AC361" s="1" t="str">
        <f>"استان كرمانشاه"</f>
        <v>استان كرمانشاه</v>
      </c>
      <c r="AD361" s="1" t="str">
        <f>"95/12/18"</f>
        <v>95/12/18</v>
      </c>
      <c r="AE361" s="1" t="str">
        <f t="shared" si="77"/>
        <v>اختتام</v>
      </c>
      <c r="AF361" s="1" t="str">
        <f>""</f>
        <v/>
      </c>
      <c r="AG361" s="1" t="str">
        <f>""</f>
        <v/>
      </c>
      <c r="AH361" s="1" t="str">
        <f>""</f>
        <v/>
      </c>
      <c r="AI361" s="1" t="str">
        <f>""</f>
        <v/>
      </c>
      <c r="AJ361" s="1" t="str">
        <f>""</f>
        <v/>
      </c>
      <c r="AK361" s="1" t="str">
        <f>""</f>
        <v/>
      </c>
    </row>
    <row r="362" spans="1:37" x14ac:dyDescent="0.2">
      <c r="A362" s="1">
        <v>88000</v>
      </c>
      <c r="B362" s="1">
        <v>956200372</v>
      </c>
      <c r="C362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362" s="1">
        <v>8848</v>
      </c>
      <c r="E362" s="1">
        <v>86260</v>
      </c>
      <c r="F362" s="1">
        <v>95</v>
      </c>
      <c r="G362" s="1">
        <v>1740</v>
      </c>
      <c r="H362" s="1" t="str">
        <f>"95/12/23"</f>
        <v>95/12/23</v>
      </c>
      <c r="I362" s="1" t="str">
        <f t="shared" si="73"/>
        <v>كيلوگرم</v>
      </c>
      <c r="J362" s="1" t="str">
        <f t="shared" si="70"/>
        <v>0000000076</v>
      </c>
      <c r="K362" s="1" t="str">
        <f t="shared" si="71"/>
        <v>قير 60/70 - فله</v>
      </c>
      <c r="L362" s="1">
        <v>100</v>
      </c>
      <c r="M362" s="1" t="str">
        <f t="shared" si="74"/>
        <v>مخازن قير اصفهان</v>
      </c>
      <c r="N362" s="1">
        <v>10828</v>
      </c>
      <c r="O362" s="1">
        <v>50034170</v>
      </c>
      <c r="P362" s="1" t="str">
        <f>"  زرين گستربيستون"</f>
        <v xml:space="preserve">  زرين گستربيستون</v>
      </c>
      <c r="Q362" s="1">
        <v>62</v>
      </c>
      <c r="R362" s="1" t="str">
        <f>"فروش داخلي - سازمان بنيادمسكن انقلاب اسلامي"</f>
        <v>فروش داخلي - سازمان بنيادمسكن انقلاب اسلامي</v>
      </c>
      <c r="S362" s="1" t="str">
        <f t="shared" si="75"/>
        <v>قرارداد فروش</v>
      </c>
      <c r="T362" s="1" t="str">
        <f t="shared" si="76"/>
        <v>ندارد</v>
      </c>
      <c r="U362" s="1" t="str">
        <f>"هيزچي مرتضي(1841036)"</f>
        <v>هيزچي مرتضي(1841036)</v>
      </c>
      <c r="V362" s="1">
        <v>956200372</v>
      </c>
      <c r="W362" s="1">
        <v>956200372</v>
      </c>
      <c r="X362" s="1" t="str">
        <f>"1395470885"</f>
        <v>1395470885</v>
      </c>
      <c r="Y362" s="1" t="str">
        <f>"95/12/23"</f>
        <v>95/12/23</v>
      </c>
      <c r="Z362" s="1" t="str">
        <f>"57001/د"</f>
        <v>57001/د</v>
      </c>
      <c r="AA362" s="1" t="str">
        <f>"بنيادمسكن انقلاب اسلامي"</f>
        <v>بنيادمسكن انقلاب اسلامي</v>
      </c>
      <c r="AB362" s="1" t="str">
        <f>"95/12/22"</f>
        <v>95/12/22</v>
      </c>
      <c r="AC362" s="1" t="str">
        <f>"استان كرمانشاه"</f>
        <v>استان كرمانشاه</v>
      </c>
      <c r="AD362" s="1" t="str">
        <f>"95/12/23"</f>
        <v>95/12/23</v>
      </c>
      <c r="AE362" s="1" t="str">
        <f t="shared" si="77"/>
        <v>اختتام</v>
      </c>
      <c r="AF362" s="1" t="str">
        <f>""</f>
        <v/>
      </c>
      <c r="AG362" s="1" t="str">
        <f>""</f>
        <v/>
      </c>
      <c r="AH362" s="1" t="str">
        <f>""</f>
        <v/>
      </c>
      <c r="AI362" s="1" t="str">
        <f>""</f>
        <v/>
      </c>
      <c r="AJ362" s="1" t="str">
        <f>""</f>
        <v/>
      </c>
      <c r="AK362" s="1" t="str">
        <f>""</f>
        <v/>
      </c>
    </row>
    <row r="363" spans="1:37" x14ac:dyDescent="0.2">
      <c r="A363" s="1">
        <v>67000</v>
      </c>
      <c r="B363" s="1">
        <v>956200377</v>
      </c>
      <c r="C363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363" s="1">
        <v>8848</v>
      </c>
      <c r="E363" s="1">
        <v>67000</v>
      </c>
      <c r="F363" s="1">
        <v>95</v>
      </c>
      <c r="G363" s="1">
        <v>0</v>
      </c>
      <c r="H363" s="1" t="str">
        <f>"95/12/23"</f>
        <v>95/12/23</v>
      </c>
      <c r="I363" s="1" t="str">
        <f t="shared" si="73"/>
        <v>كيلوگرم</v>
      </c>
      <c r="J363" s="1" t="str">
        <f t="shared" si="70"/>
        <v>0000000076</v>
      </c>
      <c r="K363" s="1" t="str">
        <f t="shared" si="71"/>
        <v>قير 60/70 - فله</v>
      </c>
      <c r="L363" s="1">
        <v>100</v>
      </c>
      <c r="M363" s="1" t="str">
        <f t="shared" si="74"/>
        <v>مخازن قير اصفهان</v>
      </c>
      <c r="N363" s="1">
        <v>10828</v>
      </c>
      <c r="O363" s="1">
        <v>50034175</v>
      </c>
      <c r="P363" s="1" t="str">
        <f>"  زرين گستربيستون"</f>
        <v xml:space="preserve">  زرين گستربيستون</v>
      </c>
      <c r="Q363" s="1">
        <v>62</v>
      </c>
      <c r="R363" s="1" t="str">
        <f>"فروش داخلي - سازمان بنيادمسكن انقلاب اسلامي"</f>
        <v>فروش داخلي - سازمان بنيادمسكن انقلاب اسلامي</v>
      </c>
      <c r="S363" s="1" t="str">
        <f t="shared" si="75"/>
        <v>قرارداد فروش</v>
      </c>
      <c r="T363" s="1" t="str">
        <f t="shared" si="76"/>
        <v>ندارد</v>
      </c>
      <c r="U363" s="1" t="str">
        <f>"پيرالي مجيد(1045ج 94)"</f>
        <v>پيرالي مجيد(1045ج 94)</v>
      </c>
      <c r="V363" s="1">
        <v>956200377</v>
      </c>
      <c r="W363" s="1">
        <v>956200377</v>
      </c>
      <c r="X363" s="1" t="str">
        <f>"1395470885"</f>
        <v>1395470885</v>
      </c>
      <c r="Y363" s="1" t="str">
        <f>"95/12/23"</f>
        <v>95/12/23</v>
      </c>
      <c r="Z363" s="1" t="str">
        <f>"57016/د"</f>
        <v>57016/د</v>
      </c>
      <c r="AA363" s="1" t="str">
        <f>"بنيادمسكن انقلاب اسلامي"</f>
        <v>بنيادمسكن انقلاب اسلامي</v>
      </c>
      <c r="AB363" s="1" t="str">
        <f>"95/12/22"</f>
        <v>95/12/22</v>
      </c>
      <c r="AC363" s="1" t="str">
        <f>"استان كرمانشاه"</f>
        <v>استان كرمانشاه</v>
      </c>
      <c r="AD363" s="1" t="str">
        <f>"95/12/23"</f>
        <v>95/12/23</v>
      </c>
      <c r="AE363" s="1" t="str">
        <f t="shared" si="77"/>
        <v>اختتام</v>
      </c>
      <c r="AF363" s="1" t="str">
        <f>""</f>
        <v/>
      </c>
      <c r="AG363" s="1" t="str">
        <f>""</f>
        <v/>
      </c>
      <c r="AH363" s="1" t="str">
        <f>""</f>
        <v/>
      </c>
      <c r="AI363" s="1" t="str">
        <f>""</f>
        <v/>
      </c>
      <c r="AJ363" s="1" t="str">
        <f>""</f>
        <v/>
      </c>
      <c r="AK363" s="1" t="str">
        <f>""</f>
        <v/>
      </c>
    </row>
    <row r="364" spans="1:37" x14ac:dyDescent="0.2">
      <c r="A364" s="1">
        <v>110000</v>
      </c>
      <c r="B364" s="1">
        <v>956200279</v>
      </c>
      <c r="C364" s="1" t="str">
        <f>"تخليه - تهران -پاکدشت - جمال آباد - جاده کانال آب-کارخانه کوه گستران پارس"</f>
        <v>تخليه - تهران -پاکدشت - جمال آباد - جاده کانال آب-کارخانه کوه گستران پارس</v>
      </c>
      <c r="D364" s="1">
        <v>8848</v>
      </c>
      <c r="E364" s="1">
        <v>110000</v>
      </c>
      <c r="F364" s="1">
        <v>95</v>
      </c>
      <c r="G364" s="1">
        <v>0</v>
      </c>
      <c r="H364" s="1" t="str">
        <f>"95/12/04"</f>
        <v>95/12/04</v>
      </c>
      <c r="I364" s="1" t="str">
        <f t="shared" si="73"/>
        <v>كيلوگرم</v>
      </c>
      <c r="J364" s="1" t="str">
        <f t="shared" si="70"/>
        <v>0000000076</v>
      </c>
      <c r="K364" s="1" t="str">
        <f t="shared" si="71"/>
        <v>قير 60/70 - فله</v>
      </c>
      <c r="L364" s="1">
        <v>100</v>
      </c>
      <c r="M364" s="1" t="str">
        <f t="shared" si="74"/>
        <v>مخازن قير اصفهان</v>
      </c>
      <c r="N364" s="1">
        <v>11272</v>
      </c>
      <c r="O364" s="1">
        <v>50033849</v>
      </c>
      <c r="P364" s="1" t="str">
        <f>"  آرشيت سازه پايتخت"</f>
        <v xml:space="preserve">  آرشيت سازه پايتخت</v>
      </c>
      <c r="Q364" s="1">
        <v>62</v>
      </c>
      <c r="R364" s="1" t="str">
        <f>"فروش داخلي - سازمان بنيادمسكن انقلاب اسلامي"</f>
        <v>فروش داخلي - سازمان بنيادمسكن انقلاب اسلامي</v>
      </c>
      <c r="S364" s="1" t="str">
        <f t="shared" si="75"/>
        <v>قرارداد فروش</v>
      </c>
      <c r="T364" s="1" t="str">
        <f t="shared" si="76"/>
        <v>ندارد</v>
      </c>
      <c r="U364" s="1" t="str">
        <f>"فتحي توحيد حسن(1841009)"</f>
        <v>فتحي توحيد حسن(1841009)</v>
      </c>
      <c r="V364" s="1">
        <v>956200279</v>
      </c>
      <c r="W364" s="1">
        <v>956200279</v>
      </c>
      <c r="X364" s="1" t="str">
        <f>"1395466581"</f>
        <v>1395466581</v>
      </c>
      <c r="Y364" s="1" t="str">
        <f>"95/12/04"</f>
        <v>95/12/04</v>
      </c>
      <c r="Z364" s="1" t="str">
        <f>"52108/د"</f>
        <v>52108/د</v>
      </c>
      <c r="AA364" s="1" t="str">
        <f>"بنيادمسكن انقلاب اسلامي"</f>
        <v>بنيادمسكن انقلاب اسلامي</v>
      </c>
      <c r="AB364" s="1" t="str">
        <f>"95/11/30"</f>
        <v>95/11/30</v>
      </c>
      <c r="AC364" s="1" t="str">
        <f>"استان تهران"</f>
        <v>استان تهران</v>
      </c>
      <c r="AD364" s="1" t="str">
        <f>"95/12/03"</f>
        <v>95/12/03</v>
      </c>
      <c r="AE364" s="1" t="str">
        <f t="shared" si="77"/>
        <v>اختتام</v>
      </c>
      <c r="AF364" s="1" t="str">
        <f>""</f>
        <v/>
      </c>
      <c r="AG364" s="1" t="str">
        <f>""</f>
        <v/>
      </c>
      <c r="AH364" s="1" t="str">
        <f>""</f>
        <v/>
      </c>
      <c r="AI364" s="1" t="str">
        <f>""</f>
        <v/>
      </c>
      <c r="AJ364" s="1" t="str">
        <f>""</f>
        <v/>
      </c>
      <c r="AK364" s="1" t="str">
        <f>""</f>
        <v/>
      </c>
    </row>
    <row r="365" spans="1:37" x14ac:dyDescent="0.2">
      <c r="A365" s="1">
        <v>517000</v>
      </c>
      <c r="B365" s="1">
        <v>956300025</v>
      </c>
      <c r="C365" s="1" t="str">
        <f>"تخليه يزدكيلومتر15محوريزدمهريزشركت راهسازي فرش راه يزد"</f>
        <v>تخليه يزدكيلومتر15محوريزدمهريزشركت راهسازي فرش راه يزد</v>
      </c>
      <c r="D365" s="1">
        <v>8848</v>
      </c>
      <c r="E365" s="1">
        <v>516580</v>
      </c>
      <c r="F365" s="1">
        <v>95</v>
      </c>
      <c r="G365" s="1">
        <v>420</v>
      </c>
      <c r="H365" s="1" t="str">
        <f>"95/12/05"</f>
        <v>95/12/05</v>
      </c>
      <c r="I365" s="1" t="str">
        <f t="shared" si="73"/>
        <v>كيلوگرم</v>
      </c>
      <c r="J365" s="1" t="str">
        <f t="shared" si="70"/>
        <v>0000000076</v>
      </c>
      <c r="K365" s="1" t="str">
        <f t="shared" si="71"/>
        <v>قير 60/70 - فله</v>
      </c>
      <c r="L365" s="1">
        <v>100</v>
      </c>
      <c r="M365" s="1" t="str">
        <f t="shared" si="74"/>
        <v>مخازن قير اصفهان</v>
      </c>
      <c r="N365" s="1">
        <v>11275</v>
      </c>
      <c r="O365" s="1">
        <v>50033863</v>
      </c>
      <c r="P365" s="1" t="str">
        <f>"  اداره كل نوسازي توسعه وتجهيزمدارس يزد"</f>
        <v xml:space="preserve">  اداره كل نوسازي توسعه وتجهيزمدارس يزد</v>
      </c>
      <c r="Q365" s="1">
        <v>63</v>
      </c>
      <c r="R365" s="1" t="str">
        <f>"سازمان نوسازي،توسعه و تجهيز مدارس كشور"</f>
        <v>سازمان نوسازي،توسعه و تجهيز مدارس كشور</v>
      </c>
      <c r="S365" s="1" t="str">
        <f t="shared" si="75"/>
        <v>قرارداد فروش</v>
      </c>
      <c r="T365" s="1" t="str">
        <f t="shared" si="76"/>
        <v>ندارد</v>
      </c>
      <c r="U365" s="1" t="str">
        <f>"قانعي محمدرضا(1011ج89)"</f>
        <v>قانعي محمدرضا(1011ج89)</v>
      </c>
      <c r="V365" s="1">
        <v>956300025</v>
      </c>
      <c r="W365" s="1">
        <v>956300025</v>
      </c>
      <c r="X365" s="1" t="str">
        <f>"1395466573"</f>
        <v>1395466573</v>
      </c>
      <c r="Y365" s="1" t="str">
        <f>"95/12/05"</f>
        <v>95/12/05</v>
      </c>
      <c r="Z365" s="1" t="str">
        <f>"8421/1"</f>
        <v>8421/1</v>
      </c>
      <c r="AA365" s="1" t="str">
        <f>"سازمان نوسازي توسعه وتجهيزمدارس كشور"</f>
        <v>سازمان نوسازي توسعه وتجهيزمدارس كشور</v>
      </c>
      <c r="AB365" s="1" t="str">
        <f>"95/11/11"</f>
        <v>95/11/11</v>
      </c>
      <c r="AC365" s="1" t="str">
        <f>"استان يزد"</f>
        <v>استان يزد</v>
      </c>
      <c r="AD365" s="1" t="str">
        <f>"95/12/03"</f>
        <v>95/12/03</v>
      </c>
      <c r="AE365" s="1" t="str">
        <f t="shared" si="77"/>
        <v>اختتام</v>
      </c>
      <c r="AF365" s="1" t="str">
        <f>""</f>
        <v/>
      </c>
      <c r="AG365" s="1" t="str">
        <f>""</f>
        <v/>
      </c>
      <c r="AH365" s="1" t="str">
        <f>""</f>
        <v/>
      </c>
      <c r="AI365" s="1" t="str">
        <f>""</f>
        <v/>
      </c>
      <c r="AJ365" s="1" t="str">
        <f>""</f>
        <v/>
      </c>
      <c r="AK365" s="1" t="str">
        <f>""</f>
        <v/>
      </c>
    </row>
    <row r="366" spans="1:37" x14ac:dyDescent="0.2">
      <c r="A366" s="1">
        <v>111000</v>
      </c>
      <c r="B366" s="1">
        <v>956200315</v>
      </c>
      <c r="C366" s="1" t="str">
        <f>"تخليه -تهران-دماوند -گيلاوند -انتهاي خيابان سپاه-کيلومتر 5 جاده روستاي زره در کارخانه آسفالت پارس دماوند"</f>
        <v>تخليه -تهران-دماوند -گيلاوند -انتهاي خيابان سپاه-کيلومتر 5 جاده روستاي زره در کارخانه آسفالت پارس دماوند</v>
      </c>
      <c r="D366" s="1">
        <v>8848</v>
      </c>
      <c r="E366" s="1">
        <v>109600</v>
      </c>
      <c r="F366" s="1">
        <v>95</v>
      </c>
      <c r="G366" s="1">
        <v>1400</v>
      </c>
      <c r="H366" s="1" t="str">
        <f>"95/12/11"</f>
        <v>95/12/11</v>
      </c>
      <c r="I366" s="1" t="str">
        <f t="shared" si="73"/>
        <v>كيلوگرم</v>
      </c>
      <c r="J366" s="1" t="str">
        <f t="shared" si="70"/>
        <v>0000000076</v>
      </c>
      <c r="K366" s="1" t="str">
        <f t="shared" si="71"/>
        <v>قير 60/70 - فله</v>
      </c>
      <c r="L366" s="1">
        <v>100</v>
      </c>
      <c r="M366" s="1" t="str">
        <f t="shared" si="74"/>
        <v>مخازن قير اصفهان</v>
      </c>
      <c r="N366" s="1">
        <v>11278</v>
      </c>
      <c r="O366" s="1">
        <v>50033961</v>
      </c>
      <c r="P366" s="1" t="str">
        <f>"  آباد بوم آريا"</f>
        <v xml:space="preserve">  آباد بوم آريا</v>
      </c>
      <c r="Q366" s="1">
        <v>62</v>
      </c>
      <c r="R366" s="1" t="str">
        <f>"فروش داخلي - سازمان بنيادمسكن انقلاب اسلامي"</f>
        <v>فروش داخلي - سازمان بنيادمسكن انقلاب اسلامي</v>
      </c>
      <c r="S366" s="1" t="str">
        <f t="shared" si="75"/>
        <v>قرارداد فروش</v>
      </c>
      <c r="T366" s="1" t="str">
        <f t="shared" si="76"/>
        <v>ندارد</v>
      </c>
      <c r="U366" s="1" t="str">
        <f>"فتحي حميد(1901090)"</f>
        <v>فتحي حميد(1901090)</v>
      </c>
      <c r="V366" s="1">
        <v>956200315</v>
      </c>
      <c r="W366" s="1">
        <v>956200315</v>
      </c>
      <c r="X366" s="1" t="str">
        <f>"1395468778"</f>
        <v>1395468778</v>
      </c>
      <c r="Y366" s="1" t="str">
        <f>"95/12/11"</f>
        <v>95/12/11</v>
      </c>
      <c r="Z366" s="1" t="str">
        <f>"54613/د"</f>
        <v>54613/د</v>
      </c>
      <c r="AA366" s="1" t="str">
        <f>"بنيادمسكن انقلاب اسلامي"</f>
        <v>بنيادمسكن انقلاب اسلامي</v>
      </c>
      <c r="AB366" s="1" t="str">
        <f>"95/12/10"</f>
        <v>95/12/10</v>
      </c>
      <c r="AC366" s="1" t="str">
        <f>"استان تهران"</f>
        <v>استان تهران</v>
      </c>
      <c r="AD366" s="1" t="str">
        <f>"95/12/11"</f>
        <v>95/12/11</v>
      </c>
      <c r="AE366" s="1" t="str">
        <f t="shared" si="77"/>
        <v>اختتام</v>
      </c>
      <c r="AF366" s="1" t="str">
        <f>""</f>
        <v/>
      </c>
      <c r="AG366" s="1" t="str">
        <f>""</f>
        <v/>
      </c>
      <c r="AH366" s="1" t="str">
        <f>""</f>
        <v/>
      </c>
      <c r="AI366" s="1" t="str">
        <f>""</f>
        <v/>
      </c>
      <c r="AJ366" s="1" t="str">
        <f>""</f>
        <v/>
      </c>
      <c r="AK366" s="1" t="str">
        <f>""</f>
        <v/>
      </c>
    </row>
    <row r="367" spans="1:37" x14ac:dyDescent="0.2">
      <c r="A367" s="1">
        <v>49000</v>
      </c>
      <c r="B367" s="1">
        <v>956200290</v>
      </c>
      <c r="C367" s="1" t="str">
        <f>"تخليه - کرمانشاه -صحنه - کيلومتر 7 کرمانشاه صحنه - روستاي هاشم آباد شرکت زاگرس راه نصر"</f>
        <v>تخليه - کرمانشاه -صحنه - کيلومتر 7 کرمانشاه صحنه - روستاي هاشم آباد شرکت زاگرس راه نصر</v>
      </c>
      <c r="D367" s="1">
        <v>8848</v>
      </c>
      <c r="E367" s="1">
        <v>49000</v>
      </c>
      <c r="F367" s="1">
        <v>95</v>
      </c>
      <c r="G367" s="1">
        <v>0</v>
      </c>
      <c r="H367" s="1" t="str">
        <f>"95/12/07"</f>
        <v>95/12/07</v>
      </c>
      <c r="I367" s="1" t="str">
        <f t="shared" si="73"/>
        <v>كيلوگرم</v>
      </c>
      <c r="J367" s="1" t="str">
        <f t="shared" si="70"/>
        <v>0000000076</v>
      </c>
      <c r="K367" s="1" t="str">
        <f t="shared" si="71"/>
        <v>قير 60/70 - فله</v>
      </c>
      <c r="L367" s="1">
        <v>100</v>
      </c>
      <c r="M367" s="1" t="str">
        <f t="shared" si="74"/>
        <v>مخازن قير اصفهان</v>
      </c>
      <c r="N367" s="1">
        <v>11279</v>
      </c>
      <c r="O367" s="1">
        <v>50033882</v>
      </c>
      <c r="P367" s="1" t="str">
        <f>"  ترسيم راه پارس"</f>
        <v xml:space="preserve">  ترسيم راه پارس</v>
      </c>
      <c r="Q367" s="1">
        <v>62</v>
      </c>
      <c r="R367" s="1" t="str">
        <f>"فروش داخلي - سازمان بنيادمسكن انقلاب اسلامي"</f>
        <v>فروش داخلي - سازمان بنيادمسكن انقلاب اسلامي</v>
      </c>
      <c r="S367" s="1" t="str">
        <f t="shared" si="75"/>
        <v>قرارداد فروش</v>
      </c>
      <c r="T367" s="1" t="str">
        <f t="shared" si="76"/>
        <v>ندارد</v>
      </c>
      <c r="U367" s="1" t="str">
        <f>"عظيمي محمد(2842015)"</f>
        <v>عظيمي محمد(2842015)</v>
      </c>
      <c r="V367" s="1">
        <v>956200290</v>
      </c>
      <c r="W367" s="1">
        <v>956200290</v>
      </c>
      <c r="X367" s="1" t="str">
        <f>"1395467571"</f>
        <v>1395467571</v>
      </c>
      <c r="Y367" s="1" t="str">
        <f>"95/12/07"</f>
        <v>95/12/07</v>
      </c>
      <c r="Z367" s="1" t="str">
        <f>"53600/د"</f>
        <v>53600/د</v>
      </c>
      <c r="AA367" s="1" t="str">
        <f>"بنيادمسكن انقلاب اسلامي"</f>
        <v>بنيادمسكن انقلاب اسلامي</v>
      </c>
      <c r="AB367" s="1" t="str">
        <f>"95/12/07"</f>
        <v>95/12/07</v>
      </c>
      <c r="AC367" s="1" t="str">
        <f>"استان كرمانشاه"</f>
        <v>استان كرمانشاه</v>
      </c>
      <c r="AD367" s="1" t="str">
        <f>"95/12/07"</f>
        <v>95/12/07</v>
      </c>
      <c r="AE367" s="1" t="str">
        <f t="shared" si="77"/>
        <v>اختتام</v>
      </c>
      <c r="AF367" s="1" t="str">
        <f>""</f>
        <v/>
      </c>
      <c r="AG367" s="1" t="str">
        <f>""</f>
        <v/>
      </c>
      <c r="AH367" s="1" t="str">
        <f>""</f>
        <v/>
      </c>
      <c r="AI367" s="1" t="str">
        <f>""</f>
        <v/>
      </c>
      <c r="AJ367" s="1" t="str">
        <f>""</f>
        <v/>
      </c>
      <c r="AK367" s="1" t="str">
        <f>""</f>
        <v/>
      </c>
    </row>
    <row r="368" spans="1:37" x14ac:dyDescent="0.2">
      <c r="A368" s="1">
        <v>86000</v>
      </c>
      <c r="B368" s="1">
        <v>956200307</v>
      </c>
      <c r="C368" s="1" t="str">
        <f>"تخليه - کرمانشاه -10کيلومتري جاده سراب نيلوفر سه راهي شاهيني-کارخانه الياف سخت دانه"</f>
        <v>تخليه - کرمانشاه -10کيلومتري جاده سراب نيلوفر سه راهي شاهيني-کارخانه الياف سخت دانه</v>
      </c>
      <c r="D368" s="1">
        <v>8848</v>
      </c>
      <c r="E368" s="1">
        <v>72100</v>
      </c>
      <c r="F368" s="1">
        <v>95</v>
      </c>
      <c r="G368" s="1">
        <v>13900</v>
      </c>
      <c r="H368" s="1" t="str">
        <f>"95/12/10"</f>
        <v>95/12/10</v>
      </c>
      <c r="I368" s="1" t="str">
        <f t="shared" si="73"/>
        <v>كيلوگرم</v>
      </c>
      <c r="J368" s="1" t="str">
        <f t="shared" si="70"/>
        <v>0000000076</v>
      </c>
      <c r="K368" s="1" t="str">
        <f t="shared" si="71"/>
        <v>قير 60/70 - فله</v>
      </c>
      <c r="L368" s="1">
        <v>100</v>
      </c>
      <c r="M368" s="1" t="str">
        <f t="shared" si="74"/>
        <v>مخازن قير اصفهان</v>
      </c>
      <c r="N368" s="1">
        <v>11283</v>
      </c>
      <c r="O368" s="1">
        <v>50033940</v>
      </c>
      <c r="P368" s="1" t="str">
        <f>"  نوين راه آزادگان کرمانشاه"</f>
        <v xml:space="preserve">  نوين راه آزادگان کرمانشاه</v>
      </c>
      <c r="Q368" s="1">
        <v>62</v>
      </c>
      <c r="R368" s="1" t="str">
        <f>"فروش داخلي - سازمان بنيادمسكن انقلاب اسلامي"</f>
        <v>فروش داخلي - سازمان بنيادمسكن انقلاب اسلامي</v>
      </c>
      <c r="S368" s="1" t="str">
        <f t="shared" si="75"/>
        <v>قرارداد فروش</v>
      </c>
      <c r="T368" s="1" t="str">
        <f t="shared" si="76"/>
        <v>ندارد</v>
      </c>
      <c r="U368" s="1" t="str">
        <f>"ميهن دوست عبداله(2842010)"</f>
        <v>ميهن دوست عبداله(2842010)</v>
      </c>
      <c r="V368" s="1">
        <v>956200307</v>
      </c>
      <c r="W368" s="1">
        <v>956200307</v>
      </c>
      <c r="X368" s="1" t="str">
        <f>"1395468357"</f>
        <v>1395468357</v>
      </c>
      <c r="Y368" s="1" t="str">
        <f>"95/12/10"</f>
        <v>95/12/10</v>
      </c>
      <c r="Z368" s="1" t="str">
        <f>"54421/د"</f>
        <v>54421/د</v>
      </c>
      <c r="AA368" s="1" t="str">
        <f>"بنيادمسكن انقلاب اسلامي"</f>
        <v>بنيادمسكن انقلاب اسلامي</v>
      </c>
      <c r="AB368" s="1" t="str">
        <f>"95/12/09"</f>
        <v>95/12/09</v>
      </c>
      <c r="AC368" s="1" t="str">
        <f>"استان كرمانشاه"</f>
        <v>استان كرمانشاه</v>
      </c>
      <c r="AD368" s="1" t="str">
        <f>"95/12/10"</f>
        <v>95/12/10</v>
      </c>
      <c r="AE368" s="1" t="str">
        <f t="shared" si="77"/>
        <v>اختتام</v>
      </c>
      <c r="AF368" s="1" t="str">
        <f>""</f>
        <v/>
      </c>
      <c r="AG368" s="1" t="str">
        <f>""</f>
        <v/>
      </c>
      <c r="AH368" s="1" t="str">
        <f>""</f>
        <v/>
      </c>
      <c r="AI368" s="1" t="str">
        <f>""</f>
        <v/>
      </c>
      <c r="AJ368" s="1" t="str">
        <f>""</f>
        <v/>
      </c>
      <c r="AK368" s="1" t="str">
        <f>""</f>
        <v/>
      </c>
    </row>
    <row r="369" spans="1:37" x14ac:dyDescent="0.2">
      <c r="A369" s="1">
        <v>375000</v>
      </c>
      <c r="B369" s="1">
        <v>956200394</v>
      </c>
      <c r="C369" s="1" t="str">
        <f>"تخليه - کرمان- کيلومتر 15 جاده زرند-کارخانه آسفالت نژاد حسيني"</f>
        <v>تخليه - کرمان- کيلومتر 15 جاده زرند-کارخانه آسفالت نژاد حسيني</v>
      </c>
      <c r="D369" s="1">
        <v>8848</v>
      </c>
      <c r="E369" s="1">
        <v>374320</v>
      </c>
      <c r="F369" s="1">
        <v>95</v>
      </c>
      <c r="G369" s="1">
        <v>680</v>
      </c>
      <c r="H369" s="1" t="str">
        <f>"95/12/25"</f>
        <v>95/12/25</v>
      </c>
      <c r="I369" s="1" t="str">
        <f t="shared" si="73"/>
        <v>كيلوگرم</v>
      </c>
      <c r="J369" s="1" t="str">
        <f t="shared" si="70"/>
        <v>0000000076</v>
      </c>
      <c r="K369" s="1" t="str">
        <f t="shared" si="71"/>
        <v>قير 60/70 - فله</v>
      </c>
      <c r="L369" s="1">
        <v>100</v>
      </c>
      <c r="M369" s="1" t="str">
        <f t="shared" si="74"/>
        <v>مخازن قير اصفهان</v>
      </c>
      <c r="N369" s="1">
        <v>11308</v>
      </c>
      <c r="O369" s="1">
        <v>50034215</v>
      </c>
      <c r="P369" s="1" t="str">
        <f>"  راه عمران باستان سازه کارمانيا"</f>
        <v xml:space="preserve">  راه عمران باستان سازه کارمانيا</v>
      </c>
      <c r="Q369" s="1">
        <v>62</v>
      </c>
      <c r="R369" s="1" t="str">
        <f>"فروش داخلي - سازمان بنيادمسكن انقلاب اسلامي"</f>
        <v>فروش داخلي - سازمان بنيادمسكن انقلاب اسلامي</v>
      </c>
      <c r="S369" s="1" t="str">
        <f t="shared" si="75"/>
        <v>قرارداد فروش</v>
      </c>
      <c r="T369" s="1" t="str">
        <f t="shared" si="76"/>
        <v>ندارد</v>
      </c>
      <c r="U369" s="1" t="str">
        <f>"دهقانيان بيژن (4954038)"</f>
        <v>دهقانيان بيژن (4954038)</v>
      </c>
      <c r="V369" s="1">
        <v>956200394</v>
      </c>
      <c r="W369" s="1">
        <v>956200394</v>
      </c>
      <c r="X369" s="1" t="str">
        <f>"1395470894"</f>
        <v>1395470894</v>
      </c>
      <c r="Y369" s="1" t="str">
        <f>"95/12/25"</f>
        <v>95/12/25</v>
      </c>
      <c r="Z369" s="1" t="str">
        <f>"56968/د"</f>
        <v>56968/د</v>
      </c>
      <c r="AA369" s="1" t="str">
        <f>"بنيادمسكن انقلاب اسلامي"</f>
        <v>بنيادمسكن انقلاب اسلامي</v>
      </c>
      <c r="AB369" s="1" t="str">
        <f>"95/12/22"</f>
        <v>95/12/22</v>
      </c>
      <c r="AC369" s="1" t="str">
        <f>"استان كرمان"</f>
        <v>استان كرمان</v>
      </c>
      <c r="AD369" s="1" t="str">
        <f>"95/12/23"</f>
        <v>95/12/23</v>
      </c>
      <c r="AE369" s="1" t="str">
        <f t="shared" si="77"/>
        <v>اختتام</v>
      </c>
      <c r="AF369" s="1" t="str">
        <f>""</f>
        <v/>
      </c>
      <c r="AG369" s="1" t="str">
        <f>""</f>
        <v/>
      </c>
      <c r="AH369" s="1" t="str">
        <f>""</f>
        <v/>
      </c>
      <c r="AI369" s="1" t="str">
        <f>""</f>
        <v/>
      </c>
      <c r="AJ369" s="1" t="str">
        <f>""</f>
        <v/>
      </c>
      <c r="AK369" s="1" t="str">
        <f>""</f>
        <v/>
      </c>
    </row>
    <row r="370" spans="1:37" x14ac:dyDescent="0.2">
      <c r="A370" s="1">
        <v>73000</v>
      </c>
      <c r="B370" s="1">
        <v>952000321</v>
      </c>
      <c r="C370" s="1" t="str">
        <f>"تخليه اصفهان جاده اصفهان مباركه جنب صنايع 7تيركارخانه آسفالت مباركه"</f>
        <v>تخليه اصفهان جاده اصفهان مباركه جنب صنايع 7تيركارخانه آسفالت مباركه</v>
      </c>
      <c r="D370" s="1">
        <v>9361</v>
      </c>
      <c r="E370" s="1">
        <v>72780</v>
      </c>
      <c r="F370" s="1">
        <v>95</v>
      </c>
      <c r="G370" s="1">
        <v>220</v>
      </c>
      <c r="H370" s="1" t="str">
        <f>"95/11/23"</f>
        <v>95/11/23</v>
      </c>
      <c r="I370" s="1" t="str">
        <f t="shared" si="73"/>
        <v>كيلوگرم</v>
      </c>
      <c r="J370" s="1" t="str">
        <f t="shared" si="70"/>
        <v>0000000076</v>
      </c>
      <c r="K370" s="1" t="str">
        <f t="shared" si="71"/>
        <v>قير 60/70 - فله</v>
      </c>
      <c r="L370" s="1">
        <v>100</v>
      </c>
      <c r="M370" s="1" t="str">
        <f t="shared" si="74"/>
        <v>مخازن قير اصفهان</v>
      </c>
      <c r="N370" s="1">
        <v>10847</v>
      </c>
      <c r="O370" s="1">
        <v>50033678</v>
      </c>
      <c r="P370" s="1" t="str">
        <f>"  شهرداري كركوند"</f>
        <v xml:space="preserve">  شهرداري كركوند</v>
      </c>
      <c r="Q370" s="1">
        <v>20</v>
      </c>
      <c r="R370" s="1" t="str">
        <f t="shared" ref="R370:R375" si="80">"فروش داخلي - سازمان شهرداري ها و دهياري هاي كشور"</f>
        <v>فروش داخلي - سازمان شهرداري ها و دهياري هاي كشور</v>
      </c>
      <c r="S370" s="1" t="str">
        <f t="shared" si="75"/>
        <v>قرارداد فروش</v>
      </c>
      <c r="T370" s="1" t="str">
        <f t="shared" si="76"/>
        <v>ندارد</v>
      </c>
      <c r="U370" s="1" t="str">
        <f>"شهبازي محمدرضا(1029ج89)"</f>
        <v>شهبازي محمدرضا(1029ج89)</v>
      </c>
      <c r="V370" s="1">
        <v>952000321</v>
      </c>
      <c r="W370" s="1">
        <v>952000321</v>
      </c>
      <c r="X370" s="1" t="str">
        <f>"1395464401"</f>
        <v>1395464401</v>
      </c>
      <c r="Y370" s="1" t="str">
        <f>"95/11/23"</f>
        <v>95/11/23</v>
      </c>
      <c r="Z370" s="1" t="str">
        <f>"43398"</f>
        <v>43398</v>
      </c>
      <c r="AA370" s="1" t="str">
        <f t="shared" ref="AA370:AA375" si="81">"شهرداريها"</f>
        <v>شهرداريها</v>
      </c>
      <c r="AB370" s="1" t="str">
        <f>"95/09/02"</f>
        <v>95/09/02</v>
      </c>
      <c r="AC370" s="1" t="str">
        <f>"استان اصفهان"</f>
        <v>استان اصفهان</v>
      </c>
      <c r="AD370" s="1" t="str">
        <f>"95/11/23"</f>
        <v>95/11/23</v>
      </c>
      <c r="AE370" s="1" t="str">
        <f t="shared" si="77"/>
        <v>اختتام</v>
      </c>
      <c r="AF370" s="1" t="str">
        <f>""</f>
        <v/>
      </c>
      <c r="AG370" s="1" t="str">
        <f>""</f>
        <v/>
      </c>
      <c r="AH370" s="1" t="str">
        <f>""</f>
        <v/>
      </c>
      <c r="AI370" s="1" t="str">
        <f>""</f>
        <v/>
      </c>
      <c r="AJ370" s="1" t="str">
        <f>""</f>
        <v/>
      </c>
      <c r="AK370" s="1" t="str">
        <f>""</f>
        <v/>
      </c>
    </row>
    <row r="371" spans="1:37" x14ac:dyDescent="0.2">
      <c r="A371" s="1">
        <v>77000</v>
      </c>
      <c r="B371" s="1">
        <v>952000145</v>
      </c>
      <c r="C371" s="1" t="str">
        <f>"تخليه:كهگيلويه وبويراحمد-ياسوج -پشت زندان مركزي كارخانه آسفالت جوكار"</f>
        <v>تخليه:كهگيلويه وبويراحمد-ياسوج -پشت زندان مركزي كارخانه آسفالت جوكار</v>
      </c>
      <c r="D371" s="1">
        <v>6976</v>
      </c>
      <c r="E371" s="1">
        <v>73080</v>
      </c>
      <c r="F371" s="1">
        <v>95</v>
      </c>
      <c r="G371" s="1">
        <v>3920</v>
      </c>
      <c r="H371" s="1" t="str">
        <f>"95/07/14"</f>
        <v>95/07/14</v>
      </c>
      <c r="I371" s="1" t="str">
        <f t="shared" si="73"/>
        <v>كيلوگرم</v>
      </c>
      <c r="J371" s="1" t="str">
        <f t="shared" si="70"/>
        <v>0000000076</v>
      </c>
      <c r="K371" s="1" t="str">
        <f t="shared" si="71"/>
        <v>قير 60/70 - فله</v>
      </c>
      <c r="L371" s="1">
        <v>100</v>
      </c>
      <c r="M371" s="1" t="str">
        <f t="shared" si="74"/>
        <v>مخازن قير اصفهان</v>
      </c>
      <c r="N371" s="1">
        <v>10860</v>
      </c>
      <c r="O371" s="1">
        <v>50032102</v>
      </c>
      <c r="P371" s="1" t="str">
        <f>"  شهرداري سي سخت"</f>
        <v xml:space="preserve">  شهرداري سي سخت</v>
      </c>
      <c r="Q371" s="1">
        <v>20</v>
      </c>
      <c r="R371" s="1" t="str">
        <f t="shared" si="80"/>
        <v>فروش داخلي - سازمان شهرداري ها و دهياري هاي كشور</v>
      </c>
      <c r="S371" s="1" t="str">
        <f t="shared" si="75"/>
        <v>قرارداد فروش</v>
      </c>
      <c r="T371" s="1" t="str">
        <f t="shared" si="76"/>
        <v>ندارد</v>
      </c>
      <c r="U371" s="1" t="str">
        <f>"غلام نجفي سيامك‌‌‌‌‌‌(1881082)"</f>
        <v>غلام نجفي سيامك‌‌‌‌‌‌(1881082)</v>
      </c>
      <c r="V371" s="1">
        <v>952000145</v>
      </c>
      <c r="W371" s="1">
        <v>952000145</v>
      </c>
      <c r="X371" s="1" t="str">
        <f>"1395436486"</f>
        <v>1395436486</v>
      </c>
      <c r="Y371" s="1" t="str">
        <f>"95/07/14"</f>
        <v>95/07/14</v>
      </c>
      <c r="Z371" s="1" t="str">
        <f>"33659"</f>
        <v>33659</v>
      </c>
      <c r="AA371" s="1" t="str">
        <f t="shared" si="81"/>
        <v>شهرداريها</v>
      </c>
      <c r="AB371" s="1" t="str">
        <f>"95/07/12"</f>
        <v>95/07/12</v>
      </c>
      <c r="AC371" s="1" t="str">
        <f>"كهكيلويه و بوير احمد"</f>
        <v>كهكيلويه و بوير احمد</v>
      </c>
      <c r="AD371" s="1" t="str">
        <f>"95/07/14"</f>
        <v>95/07/14</v>
      </c>
      <c r="AE371" s="1" t="str">
        <f t="shared" ref="AE371:AE388" si="82">"اختتام"</f>
        <v>اختتام</v>
      </c>
      <c r="AF371" s="1" t="str">
        <f>""</f>
        <v/>
      </c>
      <c r="AG371" s="1" t="str">
        <f>""</f>
        <v/>
      </c>
      <c r="AH371" s="1" t="str">
        <f>""</f>
        <v/>
      </c>
      <c r="AI371" s="1" t="str">
        <f>""</f>
        <v/>
      </c>
      <c r="AJ371" s="1" t="str">
        <f>""</f>
        <v/>
      </c>
      <c r="AK371" s="1" t="str">
        <f>""</f>
        <v/>
      </c>
    </row>
    <row r="372" spans="1:37" x14ac:dyDescent="0.2">
      <c r="A372" s="1">
        <v>79000</v>
      </c>
      <c r="B372" s="1">
        <v>952000335</v>
      </c>
      <c r="C372" s="1" t="str">
        <f>"تخليه:كهگيلويه وبويراحمد-ياسوج -پشت زندان مركزي كارخانه آسفالت جوكار"</f>
        <v>تخليه:كهگيلويه وبويراحمد-ياسوج -پشت زندان مركزي كارخانه آسفالت جوكار</v>
      </c>
      <c r="D372" s="1">
        <v>9361</v>
      </c>
      <c r="E372" s="1">
        <v>76080</v>
      </c>
      <c r="F372" s="1">
        <v>95</v>
      </c>
      <c r="G372" s="1">
        <v>2920</v>
      </c>
      <c r="H372" s="1" t="str">
        <f>"95/11/24"</f>
        <v>95/11/24</v>
      </c>
      <c r="I372" s="1" t="str">
        <f t="shared" si="73"/>
        <v>كيلوگرم</v>
      </c>
      <c r="J372" s="1" t="str">
        <f t="shared" ref="J372:J435" si="83">"0000000076"</f>
        <v>0000000076</v>
      </c>
      <c r="K372" s="1" t="str">
        <f t="shared" ref="K372:K435" si="84">"قير 60/70 - فله"</f>
        <v>قير 60/70 - فله</v>
      </c>
      <c r="L372" s="1">
        <v>100</v>
      </c>
      <c r="M372" s="1" t="str">
        <f t="shared" si="74"/>
        <v>مخازن قير اصفهان</v>
      </c>
      <c r="N372" s="1">
        <v>10860</v>
      </c>
      <c r="O372" s="1">
        <v>50033700</v>
      </c>
      <c r="P372" s="1" t="str">
        <f>"  شهرداري سي سخت"</f>
        <v xml:space="preserve">  شهرداري سي سخت</v>
      </c>
      <c r="Q372" s="1">
        <v>20</v>
      </c>
      <c r="R372" s="1" t="str">
        <f t="shared" si="80"/>
        <v>فروش داخلي - سازمان شهرداري ها و دهياري هاي كشور</v>
      </c>
      <c r="S372" s="1" t="str">
        <f t="shared" si="75"/>
        <v>قرارداد فروش</v>
      </c>
      <c r="T372" s="1" t="str">
        <f t="shared" si="76"/>
        <v>ندارد</v>
      </c>
      <c r="U372" s="1" t="str">
        <f>"غلام نجفي سيامك‌‌‌‌‌‌(1881082)"</f>
        <v>غلام نجفي سيامك‌‌‌‌‌‌(1881082)</v>
      </c>
      <c r="V372" s="1">
        <v>952000335</v>
      </c>
      <c r="W372" s="1">
        <v>952000335</v>
      </c>
      <c r="X372" s="1" t="str">
        <f>"1395464401"</f>
        <v>1395464401</v>
      </c>
      <c r="Y372" s="1" t="str">
        <f>"95/11/24"</f>
        <v>95/11/24</v>
      </c>
      <c r="Z372" s="1" t="str">
        <f>"45460"</f>
        <v>45460</v>
      </c>
      <c r="AA372" s="1" t="str">
        <f t="shared" si="81"/>
        <v>شهرداريها</v>
      </c>
      <c r="AB372" s="1" t="str">
        <f>"95/09/15"</f>
        <v>95/09/15</v>
      </c>
      <c r="AC372" s="1" t="str">
        <f>"كهكيلويه و بوير احمد"</f>
        <v>كهكيلويه و بوير احمد</v>
      </c>
      <c r="AD372" s="1" t="str">
        <f>"95/11/23"</f>
        <v>95/11/23</v>
      </c>
      <c r="AE372" s="1" t="str">
        <f t="shared" si="82"/>
        <v>اختتام</v>
      </c>
      <c r="AF372" s="1" t="str">
        <f>""</f>
        <v/>
      </c>
      <c r="AG372" s="1" t="str">
        <f>""</f>
        <v/>
      </c>
      <c r="AH372" s="1" t="str">
        <f>""</f>
        <v/>
      </c>
      <c r="AI372" s="1" t="str">
        <f>""</f>
        <v/>
      </c>
      <c r="AJ372" s="1" t="str">
        <f>""</f>
        <v/>
      </c>
      <c r="AK372" s="1" t="str">
        <f>""</f>
        <v/>
      </c>
    </row>
    <row r="373" spans="1:37" x14ac:dyDescent="0.2">
      <c r="A373" s="1">
        <v>77000</v>
      </c>
      <c r="B373" s="1">
        <v>952000133</v>
      </c>
      <c r="C373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373" s="1">
        <v>6976</v>
      </c>
      <c r="E373" s="1">
        <v>77000</v>
      </c>
      <c r="F373" s="1">
        <v>95</v>
      </c>
      <c r="G373" s="1">
        <v>0</v>
      </c>
      <c r="H373" s="1" t="str">
        <f>"95/07/11"</f>
        <v>95/07/11</v>
      </c>
      <c r="I373" s="1" t="str">
        <f t="shared" si="73"/>
        <v>كيلوگرم</v>
      </c>
      <c r="J373" s="1" t="str">
        <f t="shared" si="83"/>
        <v>0000000076</v>
      </c>
      <c r="K373" s="1" t="str">
        <f t="shared" si="84"/>
        <v>قير 60/70 - فله</v>
      </c>
      <c r="L373" s="1">
        <v>100</v>
      </c>
      <c r="M373" s="1" t="str">
        <f t="shared" si="74"/>
        <v>مخازن قير اصفهان</v>
      </c>
      <c r="N373" s="1">
        <v>11194</v>
      </c>
      <c r="O373" s="1">
        <v>50032058</v>
      </c>
      <c r="P373" s="1" t="str">
        <f>"  شهرداري سوق"</f>
        <v xml:space="preserve">  شهرداري سوق</v>
      </c>
      <c r="Q373" s="1">
        <v>20</v>
      </c>
      <c r="R373" s="1" t="str">
        <f t="shared" si="80"/>
        <v>فروش داخلي - سازمان شهرداري ها و دهياري هاي كشور</v>
      </c>
      <c r="S373" s="1" t="str">
        <f t="shared" si="75"/>
        <v>قرارداد فروش</v>
      </c>
      <c r="T373" s="1" t="str">
        <f t="shared" si="76"/>
        <v>ندارد</v>
      </c>
      <c r="U373" s="1" t="str">
        <f>"دشت بشي پودنگ وبرادران رضا(4844014)"</f>
        <v>دشت بشي پودنگ وبرادران رضا(4844014)</v>
      </c>
      <c r="V373" s="1">
        <v>952000133</v>
      </c>
      <c r="W373" s="1">
        <v>952000133</v>
      </c>
      <c r="X373" s="1" t="str">
        <f>"1395435297"</f>
        <v>1395435297</v>
      </c>
      <c r="Y373" s="1" t="str">
        <f>"95/07/11"</f>
        <v>95/07/11</v>
      </c>
      <c r="Z373" s="1" t="str">
        <f>"33290"</f>
        <v>33290</v>
      </c>
      <c r="AA373" s="1" t="str">
        <f t="shared" si="81"/>
        <v>شهرداريها</v>
      </c>
      <c r="AB373" s="1" t="str">
        <f>"95/07/10"</f>
        <v>95/07/10</v>
      </c>
      <c r="AC373" s="1" t="str">
        <f>"كهكيلويه و بوير احمد"</f>
        <v>كهكيلويه و بوير احمد</v>
      </c>
      <c r="AD373" s="1" t="str">
        <f>"95/07/11"</f>
        <v>95/07/11</v>
      </c>
      <c r="AE373" s="1" t="str">
        <f t="shared" si="82"/>
        <v>اختتام</v>
      </c>
      <c r="AF373" s="1" t="str">
        <f>""</f>
        <v/>
      </c>
      <c r="AG373" s="1" t="str">
        <f>""</f>
        <v/>
      </c>
      <c r="AH373" s="1" t="str">
        <f>""</f>
        <v/>
      </c>
      <c r="AI373" s="1" t="str">
        <f>""</f>
        <v/>
      </c>
      <c r="AJ373" s="1" t="str">
        <f>""</f>
        <v/>
      </c>
      <c r="AK373" s="1" t="str">
        <f>""</f>
        <v/>
      </c>
    </row>
    <row r="374" spans="1:37" x14ac:dyDescent="0.2">
      <c r="A374" s="1">
        <v>77000</v>
      </c>
      <c r="B374" s="1">
        <v>952000270</v>
      </c>
      <c r="C374" s="1" t="str">
        <f>"تخليه - اصفهان -ايمانشهر- جاده سيمان سپاهان-خ يازدهم-منطقه صنعتي شرکت راه آژند"</f>
        <v>تخليه - اصفهان -ايمانشهر- جاده سيمان سپاهان-خ يازدهم-منطقه صنعتي شرکت راه آژند</v>
      </c>
      <c r="D374" s="1">
        <v>7026</v>
      </c>
      <c r="E374" s="1">
        <v>63560</v>
      </c>
      <c r="F374" s="1">
        <v>95</v>
      </c>
      <c r="G374" s="1">
        <v>13440</v>
      </c>
      <c r="H374" s="1" t="str">
        <f>"95/09/09"</f>
        <v>95/09/09</v>
      </c>
      <c r="I374" s="1" t="str">
        <f t="shared" si="73"/>
        <v>كيلوگرم</v>
      </c>
      <c r="J374" s="1" t="str">
        <f t="shared" si="83"/>
        <v>0000000076</v>
      </c>
      <c r="K374" s="1" t="str">
        <f t="shared" si="84"/>
        <v>قير 60/70 - فله</v>
      </c>
      <c r="L374" s="1">
        <v>100</v>
      </c>
      <c r="M374" s="1" t="str">
        <f t="shared" si="74"/>
        <v>مخازن قير اصفهان</v>
      </c>
      <c r="N374" s="1">
        <v>11195</v>
      </c>
      <c r="O374" s="1">
        <v>50032745</v>
      </c>
      <c r="P374" s="1" t="str">
        <f>"  شهرداري زازران"</f>
        <v xml:space="preserve">  شهرداري زازران</v>
      </c>
      <c r="Q374" s="1">
        <v>20</v>
      </c>
      <c r="R374" s="1" t="str">
        <f t="shared" si="80"/>
        <v>فروش داخلي - سازمان شهرداري ها و دهياري هاي كشور</v>
      </c>
      <c r="S374" s="1" t="str">
        <f t="shared" si="75"/>
        <v>قرارداد فروش</v>
      </c>
      <c r="T374" s="1" t="str">
        <f t="shared" si="76"/>
        <v>ندارد</v>
      </c>
      <c r="U374" s="1" t="str">
        <f>"سيفي پور عبدالمجيد(1009ج89)"</f>
        <v>سيفي پور عبدالمجيد(1009ج89)</v>
      </c>
      <c r="V374" s="1">
        <v>952000270</v>
      </c>
      <c r="W374" s="1">
        <v>952000270</v>
      </c>
      <c r="X374" s="1" t="str">
        <f>"1395447768"</f>
        <v>1395447768</v>
      </c>
      <c r="Y374" s="1" t="str">
        <f>"95/09/09"</f>
        <v>95/09/09</v>
      </c>
      <c r="Z374" s="1" t="str">
        <f>"43222"</f>
        <v>43222</v>
      </c>
      <c r="AA374" s="1" t="str">
        <f t="shared" si="81"/>
        <v>شهرداريها</v>
      </c>
      <c r="AB374" s="1" t="str">
        <f>"95/09/01"</f>
        <v>95/09/01</v>
      </c>
      <c r="AC374" s="1" t="str">
        <f>"استان اصفهان"</f>
        <v>استان اصفهان</v>
      </c>
      <c r="AD374" s="1" t="str">
        <f>"95/09/07"</f>
        <v>95/09/07</v>
      </c>
      <c r="AE374" s="1" t="str">
        <f t="shared" si="82"/>
        <v>اختتام</v>
      </c>
      <c r="AF374" s="1" t="str">
        <f>""</f>
        <v/>
      </c>
      <c r="AG374" s="1" t="str">
        <f>""</f>
        <v/>
      </c>
      <c r="AH374" s="1" t="str">
        <f>""</f>
        <v/>
      </c>
      <c r="AI374" s="1" t="str">
        <f>""</f>
        <v/>
      </c>
      <c r="AJ374" s="1" t="str">
        <f>""</f>
        <v/>
      </c>
      <c r="AK374" s="1" t="str">
        <f>""</f>
        <v/>
      </c>
    </row>
    <row r="375" spans="1:37" x14ac:dyDescent="0.2">
      <c r="A375" s="1">
        <v>107000</v>
      </c>
      <c r="B375" s="1">
        <v>952000324</v>
      </c>
      <c r="C375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375" s="1">
        <v>9361</v>
      </c>
      <c r="E375" s="1">
        <v>106340</v>
      </c>
      <c r="F375" s="1">
        <v>95</v>
      </c>
      <c r="G375" s="1">
        <v>660</v>
      </c>
      <c r="H375" s="1" t="str">
        <f>"95/11/23"</f>
        <v>95/11/23</v>
      </c>
      <c r="I375" s="1" t="str">
        <f t="shared" si="73"/>
        <v>كيلوگرم</v>
      </c>
      <c r="J375" s="1" t="str">
        <f t="shared" si="83"/>
        <v>0000000076</v>
      </c>
      <c r="K375" s="1" t="str">
        <f t="shared" si="84"/>
        <v>قير 60/70 - فله</v>
      </c>
      <c r="L375" s="1">
        <v>100</v>
      </c>
      <c r="M375" s="1" t="str">
        <f t="shared" si="74"/>
        <v>مخازن قير اصفهان</v>
      </c>
      <c r="N375" s="1">
        <v>11196</v>
      </c>
      <c r="O375" s="1">
        <v>50033681</v>
      </c>
      <c r="P375" s="1" t="str">
        <f>"  شهرداري چرمهين"</f>
        <v xml:space="preserve">  شهرداري چرمهين</v>
      </c>
      <c r="Q375" s="1">
        <v>20</v>
      </c>
      <c r="R375" s="1" t="str">
        <f t="shared" si="80"/>
        <v>فروش داخلي - سازمان شهرداري ها و دهياري هاي كشور</v>
      </c>
      <c r="S375" s="1" t="str">
        <f t="shared" si="75"/>
        <v>قرارداد فروش</v>
      </c>
      <c r="T375" s="1" t="str">
        <f t="shared" si="76"/>
        <v>ندارد</v>
      </c>
      <c r="U375" s="1" t="str">
        <f>"ترك شاهسوندي مهدي(1022ج89)"</f>
        <v>ترك شاهسوندي مهدي(1022ج89)</v>
      </c>
      <c r="V375" s="1">
        <v>952000324</v>
      </c>
      <c r="W375" s="1">
        <v>952000324</v>
      </c>
      <c r="X375" s="1" t="str">
        <f>"1395464401"</f>
        <v>1395464401</v>
      </c>
      <c r="Y375" s="1" t="str">
        <f>"95/11/23"</f>
        <v>95/11/23</v>
      </c>
      <c r="Z375" s="1" t="str">
        <f>"43498"</f>
        <v>43498</v>
      </c>
      <c r="AA375" s="1" t="str">
        <f t="shared" si="81"/>
        <v>شهرداريها</v>
      </c>
      <c r="AB375" s="1" t="str">
        <f>"95/09/02"</f>
        <v>95/09/02</v>
      </c>
      <c r="AC375" s="1" t="str">
        <f>"استان اصفهان"</f>
        <v>استان اصفهان</v>
      </c>
      <c r="AD375" s="1" t="str">
        <f>"95/11/23"</f>
        <v>95/11/23</v>
      </c>
      <c r="AE375" s="1" t="str">
        <f t="shared" si="82"/>
        <v>اختتام</v>
      </c>
      <c r="AF375" s="1" t="str">
        <f>""</f>
        <v/>
      </c>
      <c r="AG375" s="1" t="str">
        <f>""</f>
        <v/>
      </c>
      <c r="AH375" s="1" t="str">
        <f>""</f>
        <v/>
      </c>
      <c r="AI375" s="1" t="str">
        <f>""</f>
        <v/>
      </c>
      <c r="AJ375" s="1" t="str">
        <f>""</f>
        <v/>
      </c>
      <c r="AK375" s="1" t="str">
        <f>""</f>
        <v/>
      </c>
    </row>
    <row r="376" spans="1:37" x14ac:dyDescent="0.2">
      <c r="A376" s="1">
        <v>289000</v>
      </c>
      <c r="B376" s="1">
        <v>956200434</v>
      </c>
      <c r="C376" s="1" t="str">
        <f>"تخليه - کرمان-شهربابک-خاتون آباد -کارخانه پ-بل"</f>
        <v>تخليه - کرمان-شهربابک-خاتون آباد -کارخانه پ-بل</v>
      </c>
      <c r="D376" s="1">
        <v>8848</v>
      </c>
      <c r="E376" s="1">
        <v>288520</v>
      </c>
      <c r="F376" s="1">
        <v>95</v>
      </c>
      <c r="G376" s="1">
        <v>480</v>
      </c>
      <c r="H376" s="1" t="str">
        <f>"95/12/28"</f>
        <v>95/12/28</v>
      </c>
      <c r="I376" s="1" t="str">
        <f t="shared" si="73"/>
        <v>كيلوگرم</v>
      </c>
      <c r="J376" s="1" t="str">
        <f t="shared" si="83"/>
        <v>0000000076</v>
      </c>
      <c r="K376" s="1" t="str">
        <f t="shared" si="84"/>
        <v>قير 60/70 - فله</v>
      </c>
      <c r="L376" s="1">
        <v>100</v>
      </c>
      <c r="M376" s="1" t="str">
        <f t="shared" si="74"/>
        <v>مخازن قير اصفهان</v>
      </c>
      <c r="N376" s="1">
        <v>11319</v>
      </c>
      <c r="O376" s="1">
        <v>50034323</v>
      </c>
      <c r="P376" s="1" t="str">
        <f>"  تسطيح سازان بنا راه"</f>
        <v xml:space="preserve">  تسطيح سازان بنا راه</v>
      </c>
      <c r="Q376" s="1">
        <v>62</v>
      </c>
      <c r="R376" s="1" t="str">
        <f>"فروش داخلي - سازمان بنيادمسكن انقلاب اسلامي"</f>
        <v>فروش داخلي - سازمان بنيادمسكن انقلاب اسلامي</v>
      </c>
      <c r="S376" s="1" t="str">
        <f t="shared" si="75"/>
        <v>قرارداد فروش</v>
      </c>
      <c r="T376" s="1" t="str">
        <f t="shared" si="76"/>
        <v>ندارد</v>
      </c>
      <c r="U376" s="1" t="str">
        <f>"خضرائي فريدون(4844003)"</f>
        <v>خضرائي فريدون(4844003)</v>
      </c>
      <c r="V376" s="1">
        <v>956200434</v>
      </c>
      <c r="W376" s="1">
        <v>956200434</v>
      </c>
      <c r="X376" s="1" t="str">
        <f>"1395470952"</f>
        <v>1395470952</v>
      </c>
      <c r="Y376" s="1" t="str">
        <f>"95/12/28"</f>
        <v>95/12/28</v>
      </c>
      <c r="Z376" s="1" t="str">
        <f>"57179/د"</f>
        <v>57179/د</v>
      </c>
      <c r="AA376" s="1" t="str">
        <f>"بنيادمسكن انقلاب اسلامي"</f>
        <v>بنيادمسكن انقلاب اسلامي</v>
      </c>
      <c r="AB376" s="1" t="str">
        <f>"95/12/22"</f>
        <v>95/12/22</v>
      </c>
      <c r="AC376" s="1" t="str">
        <f>"استان كرمان"</f>
        <v>استان كرمان</v>
      </c>
      <c r="AD376" s="1" t="str">
        <f>"95/12/24"</f>
        <v>95/12/24</v>
      </c>
      <c r="AE376" s="1" t="str">
        <f t="shared" si="82"/>
        <v>اختتام</v>
      </c>
      <c r="AF376" s="1" t="str">
        <f>""</f>
        <v/>
      </c>
      <c r="AG376" s="1" t="str">
        <f>""</f>
        <v/>
      </c>
      <c r="AH376" s="1" t="str">
        <f>""</f>
        <v/>
      </c>
      <c r="AI376" s="1" t="str">
        <f>""</f>
        <v/>
      </c>
      <c r="AJ376" s="1" t="str">
        <f>""</f>
        <v/>
      </c>
      <c r="AK376" s="1" t="str">
        <f>""</f>
        <v/>
      </c>
    </row>
    <row r="377" spans="1:37" x14ac:dyDescent="0.2">
      <c r="A377" s="1">
        <v>502000</v>
      </c>
      <c r="B377" s="1">
        <v>956200433</v>
      </c>
      <c r="C377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377" s="1">
        <v>8848</v>
      </c>
      <c r="E377" s="1">
        <v>498940</v>
      </c>
      <c r="F377" s="1">
        <v>95</v>
      </c>
      <c r="G377" s="1">
        <v>3060</v>
      </c>
      <c r="H377" s="1" t="str">
        <f>"95/12/28"</f>
        <v>95/12/28</v>
      </c>
      <c r="I377" s="1" t="str">
        <f t="shared" si="73"/>
        <v>كيلوگرم</v>
      </c>
      <c r="J377" s="1" t="str">
        <f t="shared" si="83"/>
        <v>0000000076</v>
      </c>
      <c r="K377" s="1" t="str">
        <f t="shared" si="84"/>
        <v>قير 60/70 - فله</v>
      </c>
      <c r="L377" s="1">
        <v>100</v>
      </c>
      <c r="M377" s="1" t="str">
        <f t="shared" si="74"/>
        <v>مخازن قير اصفهان</v>
      </c>
      <c r="N377" s="1">
        <v>11320</v>
      </c>
      <c r="O377" s="1">
        <v>50034322</v>
      </c>
      <c r="P377" s="1" t="str">
        <f>"  طراحان بتن ماندگار"</f>
        <v xml:space="preserve">  طراحان بتن ماندگار</v>
      </c>
      <c r="Q377" s="1">
        <v>62</v>
      </c>
      <c r="R377" s="1" t="str">
        <f>"فروش داخلي - سازمان بنيادمسكن انقلاب اسلامي"</f>
        <v>فروش داخلي - سازمان بنيادمسكن انقلاب اسلامي</v>
      </c>
      <c r="S377" s="1" t="str">
        <f t="shared" si="75"/>
        <v>قرارداد فروش</v>
      </c>
      <c r="T377" s="1" t="str">
        <f t="shared" si="76"/>
        <v>ندارد</v>
      </c>
      <c r="U377" s="1" t="str">
        <f>"دشت بشي پودنگ وبرادران رضا(4844014)"</f>
        <v>دشت بشي پودنگ وبرادران رضا(4844014)</v>
      </c>
      <c r="V377" s="1">
        <v>956200433</v>
      </c>
      <c r="W377" s="1">
        <v>956200433</v>
      </c>
      <c r="X377" s="1" t="str">
        <f>"1395470977"</f>
        <v>1395470977</v>
      </c>
      <c r="Y377" s="1" t="str">
        <f>"95/12/28"</f>
        <v>95/12/28</v>
      </c>
      <c r="Z377" s="1" t="str">
        <f>"57183/د"</f>
        <v>57183/د</v>
      </c>
      <c r="AA377" s="1" t="str">
        <f>"بنيادمسكن انقلاب اسلامي"</f>
        <v>بنيادمسكن انقلاب اسلامي</v>
      </c>
      <c r="AB377" s="1" t="str">
        <f>"95/12/22"</f>
        <v>95/12/22</v>
      </c>
      <c r="AC377" s="1" t="str">
        <f>"استان كرمان"</f>
        <v>استان كرمان</v>
      </c>
      <c r="AD377" s="1" t="str">
        <f>"95/12/24"</f>
        <v>95/12/24</v>
      </c>
      <c r="AE377" s="1" t="str">
        <f t="shared" si="82"/>
        <v>اختتام</v>
      </c>
      <c r="AF377" s="1" t="str">
        <f>""</f>
        <v/>
      </c>
      <c r="AG377" s="1" t="str">
        <f>""</f>
        <v/>
      </c>
      <c r="AH377" s="1" t="str">
        <f>""</f>
        <v/>
      </c>
      <c r="AI377" s="1" t="str">
        <f>""</f>
        <v/>
      </c>
      <c r="AJ377" s="1" t="str">
        <f>""</f>
        <v/>
      </c>
      <c r="AK377" s="1" t="str">
        <f>""</f>
        <v/>
      </c>
    </row>
    <row r="378" spans="1:37" x14ac:dyDescent="0.2">
      <c r="A378" s="1">
        <v>254000</v>
      </c>
      <c r="B378" s="1">
        <v>956200432</v>
      </c>
      <c r="C378" s="1" t="str">
        <f>"تخليه - کرمان-کيلومتر 135 بندر عباس-کهنوج بعداز شهرک صنعتي منوجان -کارخانه آسفالت الماس سياه"</f>
        <v>تخليه - کرمان-کيلومتر 135 بندر عباس-کهنوج بعداز شهرک صنعتي منوجان -کارخانه آسفالت الماس سياه</v>
      </c>
      <c r="D378" s="1">
        <v>8848</v>
      </c>
      <c r="E378" s="1">
        <v>250900</v>
      </c>
      <c r="F378" s="1">
        <v>95</v>
      </c>
      <c r="G378" s="1">
        <v>3100</v>
      </c>
      <c r="H378" s="1" t="str">
        <f>"95/12/28"</f>
        <v>95/12/28</v>
      </c>
      <c r="I378" s="1" t="str">
        <f t="shared" si="73"/>
        <v>كيلوگرم</v>
      </c>
      <c r="J378" s="1" t="str">
        <f t="shared" si="83"/>
        <v>0000000076</v>
      </c>
      <c r="K378" s="1" t="str">
        <f t="shared" si="84"/>
        <v>قير 60/70 - فله</v>
      </c>
      <c r="L378" s="1">
        <v>100</v>
      </c>
      <c r="M378" s="1" t="str">
        <f t="shared" si="74"/>
        <v>مخازن قير اصفهان</v>
      </c>
      <c r="N378" s="1">
        <v>11321</v>
      </c>
      <c r="O378" s="1">
        <v>50034321</v>
      </c>
      <c r="P378" s="1" t="str">
        <f>"  ساعي گستر ماژين"</f>
        <v xml:space="preserve">  ساعي گستر ماژين</v>
      </c>
      <c r="Q378" s="1">
        <v>62</v>
      </c>
      <c r="R378" s="1" t="str">
        <f>"فروش داخلي - سازمان بنيادمسكن انقلاب اسلامي"</f>
        <v>فروش داخلي - سازمان بنيادمسكن انقلاب اسلامي</v>
      </c>
      <c r="S378" s="1" t="str">
        <f t="shared" si="75"/>
        <v>قرارداد فروش</v>
      </c>
      <c r="T378" s="1" t="str">
        <f t="shared" si="76"/>
        <v>ندارد</v>
      </c>
      <c r="U378" s="1" t="str">
        <f>"خضرائي فريدون(4844003)"</f>
        <v>خضرائي فريدون(4844003)</v>
      </c>
      <c r="V378" s="1">
        <v>956200432</v>
      </c>
      <c r="W378" s="1">
        <v>956200432</v>
      </c>
      <c r="X378" s="1" t="str">
        <f>"1395470977"</f>
        <v>1395470977</v>
      </c>
      <c r="Y378" s="1" t="str">
        <f>"95/12/28"</f>
        <v>95/12/28</v>
      </c>
      <c r="Z378" s="1" t="str">
        <f>"57182/د"</f>
        <v>57182/د</v>
      </c>
      <c r="AA378" s="1" t="str">
        <f>"بنيادمسكن انقلاب اسلامي"</f>
        <v>بنيادمسكن انقلاب اسلامي</v>
      </c>
      <c r="AB378" s="1" t="str">
        <f>"95/12/22"</f>
        <v>95/12/22</v>
      </c>
      <c r="AC378" s="1" t="str">
        <f>"استان كرمان"</f>
        <v>استان كرمان</v>
      </c>
      <c r="AD378" s="1" t="str">
        <f>"95/12/24"</f>
        <v>95/12/24</v>
      </c>
      <c r="AE378" s="1" t="str">
        <f t="shared" si="82"/>
        <v>اختتام</v>
      </c>
      <c r="AF378" s="1" t="str">
        <f>""</f>
        <v/>
      </c>
      <c r="AG378" s="1" t="str">
        <f>""</f>
        <v/>
      </c>
      <c r="AH378" s="1" t="str">
        <f>""</f>
        <v/>
      </c>
      <c r="AI378" s="1" t="str">
        <f>""</f>
        <v/>
      </c>
      <c r="AJ378" s="1" t="str">
        <f>""</f>
        <v/>
      </c>
      <c r="AK378" s="1" t="str">
        <f>""</f>
        <v/>
      </c>
    </row>
    <row r="379" spans="1:37" x14ac:dyDescent="0.2">
      <c r="A379" s="1">
        <v>31000</v>
      </c>
      <c r="B379" s="1">
        <v>956200431</v>
      </c>
      <c r="C379" s="1" t="str">
        <f>"تخليه - کرمان-کارخانه آسفالت پ-بل-جاده رفسنجان-انار"</f>
        <v>تخليه - کرمان-کارخانه آسفالت پ-بل-جاده رفسنجان-انار</v>
      </c>
      <c r="D379" s="1">
        <v>8848</v>
      </c>
      <c r="E379" s="1">
        <v>30040</v>
      </c>
      <c r="F379" s="1">
        <v>95</v>
      </c>
      <c r="G379" s="1">
        <v>960</v>
      </c>
      <c r="H379" s="1" t="str">
        <f>"95/12/28"</f>
        <v>95/12/28</v>
      </c>
      <c r="I379" s="1" t="str">
        <f t="shared" si="73"/>
        <v>كيلوگرم</v>
      </c>
      <c r="J379" s="1" t="str">
        <f t="shared" si="83"/>
        <v>0000000076</v>
      </c>
      <c r="K379" s="1" t="str">
        <f t="shared" si="84"/>
        <v>قير 60/70 - فله</v>
      </c>
      <c r="L379" s="1">
        <v>100</v>
      </c>
      <c r="M379" s="1" t="str">
        <f t="shared" si="74"/>
        <v>مخازن قير اصفهان</v>
      </c>
      <c r="N379" s="1">
        <v>11322</v>
      </c>
      <c r="O379" s="1">
        <v>50034320</v>
      </c>
      <c r="P379" s="1" t="str">
        <f>"  مرسل سازه کرمان"</f>
        <v xml:space="preserve">  مرسل سازه کرمان</v>
      </c>
      <c r="Q379" s="1">
        <v>62</v>
      </c>
      <c r="R379" s="1" t="str">
        <f>"فروش داخلي - سازمان بنيادمسكن انقلاب اسلامي"</f>
        <v>فروش داخلي - سازمان بنيادمسكن انقلاب اسلامي</v>
      </c>
      <c r="S379" s="1" t="str">
        <f t="shared" si="75"/>
        <v>قرارداد فروش</v>
      </c>
      <c r="T379" s="1" t="str">
        <f t="shared" si="76"/>
        <v>ندارد</v>
      </c>
      <c r="U379" s="1" t="str">
        <f>"خضرائي فريدون(4844003)"</f>
        <v>خضرائي فريدون(4844003)</v>
      </c>
      <c r="V379" s="1">
        <v>956200431</v>
      </c>
      <c r="W379" s="1">
        <v>956200431</v>
      </c>
      <c r="X379" s="1" t="str">
        <f>"1395470952"</f>
        <v>1395470952</v>
      </c>
      <c r="Y379" s="1" t="str">
        <f>"95/12/28"</f>
        <v>95/12/28</v>
      </c>
      <c r="Z379" s="1" t="str">
        <f>"57176/د"</f>
        <v>57176/د</v>
      </c>
      <c r="AA379" s="1" t="str">
        <f>"بنيادمسكن انقلاب اسلامي"</f>
        <v>بنيادمسكن انقلاب اسلامي</v>
      </c>
      <c r="AB379" s="1" t="str">
        <f>"95/12/22"</f>
        <v>95/12/22</v>
      </c>
      <c r="AC379" s="1" t="str">
        <f>"استان كرمان"</f>
        <v>استان كرمان</v>
      </c>
      <c r="AD379" s="1" t="str">
        <f>"95/12/24"</f>
        <v>95/12/24</v>
      </c>
      <c r="AE379" s="1" t="str">
        <f t="shared" si="82"/>
        <v>اختتام</v>
      </c>
      <c r="AF379" s="1" t="str">
        <f>""</f>
        <v/>
      </c>
      <c r="AG379" s="1" t="str">
        <f>""</f>
        <v/>
      </c>
      <c r="AH379" s="1" t="str">
        <f>""</f>
        <v/>
      </c>
      <c r="AI379" s="1" t="str">
        <f>""</f>
        <v/>
      </c>
      <c r="AJ379" s="1" t="str">
        <f>""</f>
        <v/>
      </c>
      <c r="AK379" s="1" t="str">
        <f>""</f>
        <v/>
      </c>
    </row>
    <row r="380" spans="1:37" x14ac:dyDescent="0.2">
      <c r="A380" s="1">
        <v>70000</v>
      </c>
      <c r="B380" s="1">
        <v>952000271</v>
      </c>
      <c r="C380" s="1" t="str">
        <f>"تخليه اصفهان شهرك صنعتي اشترجان خيابان 11شركت راه آژند"</f>
        <v>تخليه اصفهان شهرك صنعتي اشترجان خيابان 11شركت راه آژند</v>
      </c>
      <c r="D380" s="1">
        <v>7026</v>
      </c>
      <c r="E380" s="1">
        <v>69140</v>
      </c>
      <c r="F380" s="1">
        <v>95</v>
      </c>
      <c r="G380" s="1">
        <v>860</v>
      </c>
      <c r="H380" s="1" t="str">
        <f>"95/09/09"</f>
        <v>95/09/09</v>
      </c>
      <c r="I380" s="1" t="str">
        <f t="shared" si="73"/>
        <v>كيلوگرم</v>
      </c>
      <c r="J380" s="1" t="str">
        <f t="shared" si="83"/>
        <v>0000000076</v>
      </c>
      <c r="K380" s="1" t="str">
        <f t="shared" si="84"/>
        <v>قير 60/70 - فله</v>
      </c>
      <c r="L380" s="1">
        <v>100</v>
      </c>
      <c r="M380" s="1" t="str">
        <f t="shared" si="74"/>
        <v>مخازن قير اصفهان</v>
      </c>
      <c r="N380" s="1">
        <v>10669</v>
      </c>
      <c r="O380" s="1">
        <v>50032746</v>
      </c>
      <c r="P380" s="1" t="str">
        <f>"  شهرداري رضوانشهراصفهان"</f>
        <v xml:space="preserve">  شهرداري رضوانشهراصفهان</v>
      </c>
      <c r="Q380" s="1">
        <v>20</v>
      </c>
      <c r="R380" s="1" t="str">
        <f>"فروش داخلي - سازمان شهرداري ها و دهياري هاي كشور"</f>
        <v>فروش داخلي - سازمان شهرداري ها و دهياري هاي كشور</v>
      </c>
      <c r="S380" s="1" t="str">
        <f t="shared" si="75"/>
        <v>قرارداد فروش</v>
      </c>
      <c r="T380" s="1" t="str">
        <f t="shared" si="76"/>
        <v>ندارد</v>
      </c>
      <c r="U380" s="1" t="str">
        <f>"سيفي پور عبدالمجيد(1009ج89)"</f>
        <v>سيفي پور عبدالمجيد(1009ج89)</v>
      </c>
      <c r="V380" s="1">
        <v>952000271</v>
      </c>
      <c r="W380" s="1">
        <v>952000271</v>
      </c>
      <c r="X380" s="1" t="str">
        <f>"1395447768"</f>
        <v>1395447768</v>
      </c>
      <c r="Y380" s="1" t="str">
        <f>"95/09/09"</f>
        <v>95/09/09</v>
      </c>
      <c r="Z380" s="1" t="str">
        <f>"43223"</f>
        <v>43223</v>
      </c>
      <c r="AA380" s="1" t="str">
        <f>"شهرداريها"</f>
        <v>شهرداريها</v>
      </c>
      <c r="AB380" s="1" t="str">
        <f>"95/09/01"</f>
        <v>95/09/01</v>
      </c>
      <c r="AC380" s="1" t="str">
        <f>"استان اصفهان"</f>
        <v>استان اصفهان</v>
      </c>
      <c r="AD380" s="1" t="str">
        <f>"95/09/07"</f>
        <v>95/09/07</v>
      </c>
      <c r="AE380" s="1" t="str">
        <f t="shared" si="82"/>
        <v>اختتام</v>
      </c>
      <c r="AF380" s="1" t="str">
        <f>""</f>
        <v/>
      </c>
      <c r="AG380" s="1" t="str">
        <f>""</f>
        <v/>
      </c>
      <c r="AH380" s="1" t="str">
        <f>""</f>
        <v/>
      </c>
      <c r="AI380" s="1" t="str">
        <f>""</f>
        <v/>
      </c>
      <c r="AJ380" s="1" t="str">
        <f>""</f>
        <v/>
      </c>
      <c r="AK380" s="1" t="str">
        <f>""</f>
        <v/>
      </c>
    </row>
    <row r="381" spans="1:37" x14ac:dyDescent="0.2">
      <c r="A381" s="1">
        <v>69000</v>
      </c>
      <c r="B381" s="1">
        <v>952000299</v>
      </c>
      <c r="C381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381" s="1">
        <v>7026</v>
      </c>
      <c r="E381" s="1">
        <v>68320</v>
      </c>
      <c r="F381" s="1">
        <v>95</v>
      </c>
      <c r="G381" s="1">
        <v>680</v>
      </c>
      <c r="H381" s="1" t="str">
        <f>"95/09/09"</f>
        <v>95/09/09</v>
      </c>
      <c r="I381" s="1" t="str">
        <f t="shared" si="73"/>
        <v>كيلوگرم</v>
      </c>
      <c r="J381" s="1" t="str">
        <f t="shared" si="83"/>
        <v>0000000076</v>
      </c>
      <c r="K381" s="1" t="str">
        <f t="shared" si="84"/>
        <v>قير 60/70 - فله</v>
      </c>
      <c r="L381" s="1">
        <v>100</v>
      </c>
      <c r="M381" s="1" t="str">
        <f t="shared" si="74"/>
        <v>مخازن قير اصفهان</v>
      </c>
      <c r="N381" s="1">
        <v>10670</v>
      </c>
      <c r="O381" s="1">
        <v>50032783</v>
      </c>
      <c r="P381" s="1" t="str">
        <f>"  شهرداري بافران"</f>
        <v xml:space="preserve">  شهرداري بافران</v>
      </c>
      <c r="Q381" s="1">
        <v>20</v>
      </c>
      <c r="R381" s="1" t="str">
        <f>"فروش داخلي - سازمان شهرداري ها و دهياري هاي كشور"</f>
        <v>فروش داخلي - سازمان شهرداري ها و دهياري هاي كشور</v>
      </c>
      <c r="S381" s="1" t="str">
        <f t="shared" si="75"/>
        <v>قرارداد فروش</v>
      </c>
      <c r="T381" s="1" t="str">
        <f t="shared" si="76"/>
        <v>ندارد</v>
      </c>
      <c r="U381" s="1" t="str">
        <f>"ريسماني حسن(1007ج89)"</f>
        <v>ريسماني حسن(1007ج89)</v>
      </c>
      <c r="V381" s="1">
        <v>952000299</v>
      </c>
      <c r="W381" s="1">
        <v>952000299</v>
      </c>
      <c r="X381" s="1" t="str">
        <f>"1395447798"</f>
        <v>1395447798</v>
      </c>
      <c r="Y381" s="1" t="str">
        <f>"95/09/09"</f>
        <v>95/09/09</v>
      </c>
      <c r="Z381" s="1" t="str">
        <f>"43291"</f>
        <v>43291</v>
      </c>
      <c r="AA381" s="1" t="str">
        <f>"شهرداريها"</f>
        <v>شهرداريها</v>
      </c>
      <c r="AB381" s="1" t="str">
        <f>"95/09/02"</f>
        <v>95/09/02</v>
      </c>
      <c r="AC381" s="1" t="str">
        <f>"استان اصفهان"</f>
        <v>استان اصفهان</v>
      </c>
      <c r="AD381" s="1" t="str">
        <f>"95/09/07"</f>
        <v>95/09/07</v>
      </c>
      <c r="AE381" s="1" t="str">
        <f t="shared" si="82"/>
        <v>اختتام</v>
      </c>
      <c r="AF381" s="1" t="str">
        <f>""</f>
        <v/>
      </c>
      <c r="AG381" s="1" t="str">
        <f>""</f>
        <v/>
      </c>
      <c r="AH381" s="1" t="str">
        <f>""</f>
        <v/>
      </c>
      <c r="AI381" s="1" t="str">
        <f>""</f>
        <v/>
      </c>
      <c r="AJ381" s="1" t="str">
        <f>""</f>
        <v/>
      </c>
      <c r="AK381" s="1" t="str">
        <f>""</f>
        <v/>
      </c>
    </row>
    <row r="382" spans="1:37" x14ac:dyDescent="0.2">
      <c r="A382" s="1">
        <v>72000</v>
      </c>
      <c r="B382" s="1">
        <v>952000190</v>
      </c>
      <c r="C382" s="1" t="str">
        <f>"تخليه - لرستان-شهرستان رومشگان شهر چغابل شهرداري چغابل"</f>
        <v>تخليه - لرستان-شهرستان رومشگان شهر چغابل شهرداري چغابل</v>
      </c>
      <c r="D382" s="1">
        <v>8023</v>
      </c>
      <c r="E382" s="1">
        <v>69000</v>
      </c>
      <c r="F382" s="1">
        <v>95</v>
      </c>
      <c r="G382" s="1">
        <v>3000</v>
      </c>
      <c r="H382" s="1" t="str">
        <f>"95/08/15"</f>
        <v>95/08/15</v>
      </c>
      <c r="I382" s="1" t="str">
        <f t="shared" si="73"/>
        <v>كيلوگرم</v>
      </c>
      <c r="J382" s="1" t="str">
        <f t="shared" si="83"/>
        <v>0000000076</v>
      </c>
      <c r="K382" s="1" t="str">
        <f t="shared" si="84"/>
        <v>قير 60/70 - فله</v>
      </c>
      <c r="L382" s="1">
        <v>100</v>
      </c>
      <c r="M382" s="1" t="str">
        <f t="shared" si="74"/>
        <v>مخازن قير اصفهان</v>
      </c>
      <c r="N382" s="1">
        <v>10865</v>
      </c>
      <c r="O382" s="1">
        <v>50032484</v>
      </c>
      <c r="P382" s="1" t="str">
        <f>"  شهرداري چغابل"</f>
        <v xml:space="preserve">  شهرداري چغابل</v>
      </c>
      <c r="Q382" s="1">
        <v>20</v>
      </c>
      <c r="R382" s="1" t="str">
        <f>"فروش داخلي - سازمان شهرداري ها و دهياري هاي كشور"</f>
        <v>فروش داخلي - سازمان شهرداري ها و دهياري هاي كشور</v>
      </c>
      <c r="S382" s="1" t="str">
        <f t="shared" si="75"/>
        <v>قرارداد فروش</v>
      </c>
      <c r="T382" s="1" t="str">
        <f t="shared" si="76"/>
        <v>ندارد</v>
      </c>
      <c r="U382" s="1" t="str">
        <f>"ريسماني حسن(1007ج89)"</f>
        <v>ريسماني حسن(1007ج89)</v>
      </c>
      <c r="V382" s="1">
        <v>952000190</v>
      </c>
      <c r="W382" s="1">
        <v>952000190</v>
      </c>
      <c r="X382" s="1" t="str">
        <f>"1395443199"</f>
        <v>1395443199</v>
      </c>
      <c r="Y382" s="1" t="str">
        <f>"95/08/15"</f>
        <v>95/08/15</v>
      </c>
      <c r="Z382" s="1" t="str">
        <f>"39488"</f>
        <v>39488</v>
      </c>
      <c r="AA382" s="1" t="str">
        <f>"شهرداريها"</f>
        <v>شهرداريها</v>
      </c>
      <c r="AB382" s="1" t="str">
        <f>"95/08/11"</f>
        <v>95/08/11</v>
      </c>
      <c r="AC382" s="1" t="str">
        <f>"لرستان"</f>
        <v>لرستان</v>
      </c>
      <c r="AD382" s="1" t="str">
        <f>"95/08/15"</f>
        <v>95/08/15</v>
      </c>
      <c r="AE382" s="1" t="str">
        <f t="shared" si="82"/>
        <v>اختتام</v>
      </c>
      <c r="AF382" s="1" t="str">
        <f>""</f>
        <v/>
      </c>
      <c r="AG382" s="1" t="str">
        <f>""</f>
        <v/>
      </c>
      <c r="AH382" s="1" t="str">
        <f>""</f>
        <v/>
      </c>
      <c r="AI382" s="1" t="str">
        <f>""</f>
        <v/>
      </c>
      <c r="AJ382" s="1" t="str">
        <f>""</f>
        <v/>
      </c>
      <c r="AK382" s="1" t="str">
        <f>""</f>
        <v/>
      </c>
    </row>
    <row r="383" spans="1:37" x14ac:dyDescent="0.2">
      <c r="A383" s="1">
        <v>115000</v>
      </c>
      <c r="B383" s="1">
        <v>956200047</v>
      </c>
      <c r="C383" s="1" t="str">
        <f>"تخليه- يزد-کيلومتر 30جاده فهرج -کارخانه آسفالت گستر نصر"</f>
        <v>تخليه- يزد-کيلومتر 30جاده فهرج -کارخانه آسفالت گستر نصر</v>
      </c>
      <c r="D383" s="1">
        <v>5950</v>
      </c>
      <c r="E383" s="1">
        <v>114060</v>
      </c>
      <c r="F383" s="1">
        <v>95</v>
      </c>
      <c r="G383" s="1">
        <v>940</v>
      </c>
      <c r="H383" s="1" t="str">
        <f>"95/04/14"</f>
        <v>95/04/14</v>
      </c>
      <c r="I383" s="1" t="str">
        <f t="shared" si="73"/>
        <v>كيلوگرم</v>
      </c>
      <c r="J383" s="1" t="str">
        <f t="shared" si="83"/>
        <v>0000000076</v>
      </c>
      <c r="K383" s="1" t="str">
        <f t="shared" si="84"/>
        <v>قير 60/70 - فله</v>
      </c>
      <c r="L383" s="1">
        <v>100</v>
      </c>
      <c r="M383" s="1" t="str">
        <f t="shared" si="74"/>
        <v>مخازن قير اصفهان</v>
      </c>
      <c r="N383" s="1">
        <v>10405</v>
      </c>
      <c r="O383" s="1">
        <v>50031192</v>
      </c>
      <c r="P383" s="1" t="str">
        <f>"  آسفالت گسترنصريزد"</f>
        <v xml:space="preserve">  آسفالت گسترنصريزد</v>
      </c>
      <c r="Q383" s="1">
        <v>62</v>
      </c>
      <c r="R383" s="1" t="str">
        <f>"فروش داخلي - سازمان بنيادمسكن انقلاب اسلامي"</f>
        <v>فروش داخلي - سازمان بنيادمسكن انقلاب اسلامي</v>
      </c>
      <c r="S383" s="1" t="str">
        <f t="shared" si="75"/>
        <v>قرارداد فروش</v>
      </c>
      <c r="T383" s="1" t="str">
        <f t="shared" si="76"/>
        <v>ندارد</v>
      </c>
      <c r="U383" s="1" t="str">
        <f>"قانعي محمدرضا(1011ج89)"</f>
        <v>قانعي محمدرضا(1011ج89)</v>
      </c>
      <c r="V383" s="1">
        <v>956200047</v>
      </c>
      <c r="W383" s="1">
        <v>956200047</v>
      </c>
      <c r="X383" s="1" t="str">
        <f>"1395412854"</f>
        <v>1395412854</v>
      </c>
      <c r="Y383" s="1" t="str">
        <f>"95/04/14"</f>
        <v>95/04/14</v>
      </c>
      <c r="Z383" s="1" t="str">
        <f>"14232/د"</f>
        <v>14232/د</v>
      </c>
      <c r="AA383" s="1" t="str">
        <f>"بنيادمسكن انقلاب اسلامي"</f>
        <v>بنيادمسكن انقلاب اسلامي</v>
      </c>
      <c r="AB383" s="1" t="str">
        <f>"95/04/09"</f>
        <v>95/04/09</v>
      </c>
      <c r="AC383" s="1" t="str">
        <f>"استان يزد"</f>
        <v>استان يزد</v>
      </c>
      <c r="AD383" s="1" t="str">
        <f>"95/04/13"</f>
        <v>95/04/13</v>
      </c>
      <c r="AE383" s="1" t="str">
        <f t="shared" si="82"/>
        <v>اختتام</v>
      </c>
      <c r="AF383" s="1" t="str">
        <f>""</f>
        <v/>
      </c>
      <c r="AG383" s="1" t="str">
        <f>""</f>
        <v/>
      </c>
      <c r="AH383" s="1" t="str">
        <f>""</f>
        <v/>
      </c>
      <c r="AI383" s="1" t="str">
        <f>""</f>
        <v/>
      </c>
      <c r="AJ383" s="1" t="str">
        <f>""</f>
        <v/>
      </c>
      <c r="AK383" s="1" t="str">
        <f>""</f>
        <v/>
      </c>
    </row>
    <row r="384" spans="1:37" x14ac:dyDescent="0.2">
      <c r="A384" s="1">
        <v>68000</v>
      </c>
      <c r="B384" s="1">
        <v>952000151</v>
      </c>
      <c r="C384" s="1" t="str">
        <f>"تخليه يزداردكان كارخانه هامون"</f>
        <v>تخليه يزداردكان كارخانه هامون</v>
      </c>
      <c r="D384" s="1">
        <v>6976</v>
      </c>
      <c r="E384" s="1">
        <v>67560</v>
      </c>
      <c r="F384" s="1">
        <v>95</v>
      </c>
      <c r="G384" s="1">
        <v>440</v>
      </c>
      <c r="H384" s="1" t="str">
        <f>"95/07/15"</f>
        <v>95/07/15</v>
      </c>
      <c r="I384" s="1" t="str">
        <f t="shared" si="73"/>
        <v>كيلوگرم</v>
      </c>
      <c r="J384" s="1" t="str">
        <f t="shared" si="83"/>
        <v>0000000076</v>
      </c>
      <c r="K384" s="1" t="str">
        <f t="shared" si="84"/>
        <v>قير 60/70 - فله</v>
      </c>
      <c r="L384" s="1">
        <v>100</v>
      </c>
      <c r="M384" s="1" t="str">
        <f t="shared" si="74"/>
        <v>مخازن قير اصفهان</v>
      </c>
      <c r="N384" s="1">
        <v>11200</v>
      </c>
      <c r="O384" s="1">
        <v>50032111</v>
      </c>
      <c r="P384" s="1" t="str">
        <f>"  شهرداري ندوشن"</f>
        <v xml:space="preserve">  شهرداري ندوشن</v>
      </c>
      <c r="Q384" s="1">
        <v>20</v>
      </c>
      <c r="R384" s="1" t="str">
        <f>"فروش داخلي - سازمان شهرداري ها و دهياري هاي كشور"</f>
        <v>فروش داخلي - سازمان شهرداري ها و دهياري هاي كشور</v>
      </c>
      <c r="S384" s="1" t="str">
        <f t="shared" si="75"/>
        <v>قرارداد فروش</v>
      </c>
      <c r="T384" s="1" t="str">
        <f t="shared" si="76"/>
        <v>ندارد</v>
      </c>
      <c r="U384" s="1" t="str">
        <f>"قانعي محمدرضا(1011ج89)"</f>
        <v>قانعي محمدرضا(1011ج89)</v>
      </c>
      <c r="V384" s="1">
        <v>952000151</v>
      </c>
      <c r="W384" s="1">
        <v>952000151</v>
      </c>
      <c r="X384" s="1" t="str">
        <f>"1395436486"</f>
        <v>1395436486</v>
      </c>
      <c r="Y384" s="1" t="str">
        <f>"95/07/15"</f>
        <v>95/07/15</v>
      </c>
      <c r="Z384" s="1" t="str">
        <f>"27920"</f>
        <v>27920</v>
      </c>
      <c r="AA384" s="1" t="str">
        <f>"شهرداريها"</f>
        <v>شهرداريها</v>
      </c>
      <c r="AB384" s="1" t="str">
        <f>"95/06/13"</f>
        <v>95/06/13</v>
      </c>
      <c r="AC384" s="1" t="str">
        <f>"استان يزد"</f>
        <v>استان يزد</v>
      </c>
      <c r="AD384" s="1" t="str">
        <f>"95/07/14"</f>
        <v>95/07/14</v>
      </c>
      <c r="AE384" s="1" t="str">
        <f t="shared" si="82"/>
        <v>اختتام</v>
      </c>
      <c r="AF384" s="1" t="str">
        <f>""</f>
        <v/>
      </c>
      <c r="AG384" s="1" t="str">
        <f>""</f>
        <v/>
      </c>
      <c r="AH384" s="1" t="str">
        <f>""</f>
        <v/>
      </c>
      <c r="AI384" s="1" t="str">
        <f>""</f>
        <v/>
      </c>
      <c r="AJ384" s="1" t="str">
        <f>""</f>
        <v/>
      </c>
      <c r="AK384" s="1" t="str">
        <f>""</f>
        <v/>
      </c>
    </row>
    <row r="385" spans="1:37" x14ac:dyDescent="0.2">
      <c r="A385" s="1">
        <v>200000</v>
      </c>
      <c r="B385" s="1">
        <v>956200088</v>
      </c>
      <c r="C385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385" s="1">
        <v>6976</v>
      </c>
      <c r="E385" s="1">
        <v>189900</v>
      </c>
      <c r="F385" s="1">
        <v>95</v>
      </c>
      <c r="G385" s="1">
        <v>10100</v>
      </c>
      <c r="H385" s="1" t="str">
        <f>"95/07/19"</f>
        <v>95/07/19</v>
      </c>
      <c r="I385" s="1" t="str">
        <f t="shared" si="73"/>
        <v>كيلوگرم</v>
      </c>
      <c r="J385" s="1" t="str">
        <f t="shared" si="83"/>
        <v>0000000076</v>
      </c>
      <c r="K385" s="1" t="str">
        <f t="shared" si="84"/>
        <v>قير 60/70 - فله</v>
      </c>
      <c r="L385" s="1">
        <v>100</v>
      </c>
      <c r="M385" s="1" t="str">
        <f t="shared" si="74"/>
        <v>مخازن قير اصفهان</v>
      </c>
      <c r="N385" s="1">
        <v>11203</v>
      </c>
      <c r="O385" s="1">
        <v>50032165</v>
      </c>
      <c r="P385" s="1" t="str">
        <f>"  مسير پيماي شياس"</f>
        <v xml:space="preserve">  مسير پيماي شياس</v>
      </c>
      <c r="Q385" s="1">
        <v>62</v>
      </c>
      <c r="R385" s="1" t="str">
        <f>"فروش داخلي - سازمان بنيادمسكن انقلاب اسلامي"</f>
        <v>فروش داخلي - سازمان بنيادمسكن انقلاب اسلامي</v>
      </c>
      <c r="S385" s="1" t="str">
        <f t="shared" si="75"/>
        <v>قرارداد فروش</v>
      </c>
      <c r="T385" s="1" t="str">
        <f t="shared" si="76"/>
        <v>ندارد</v>
      </c>
      <c r="U385" s="1" t="str">
        <f>"غلام نجفي سيامك‌‌‌‌‌‌(1881082)"</f>
        <v>غلام نجفي سيامك‌‌‌‌‌‌(1881082)</v>
      </c>
      <c r="V385" s="1">
        <v>956200088</v>
      </c>
      <c r="W385" s="1">
        <v>956200088</v>
      </c>
      <c r="X385" s="1" t="str">
        <f>"1395437814"</f>
        <v>1395437814</v>
      </c>
      <c r="Y385" s="1" t="str">
        <f>"95/07/19"</f>
        <v>95/07/19</v>
      </c>
      <c r="Z385" s="1" t="str">
        <f>"29184/د"</f>
        <v>29184/د</v>
      </c>
      <c r="AA385" s="1" t="str">
        <f>"بنيادمسكن انقلاب اسلامي"</f>
        <v>بنيادمسكن انقلاب اسلامي</v>
      </c>
      <c r="AB385" s="1" t="str">
        <f>"95/07/13"</f>
        <v>95/07/13</v>
      </c>
      <c r="AC385" s="1" t="str">
        <f>"كهكيلويه و بوير احمد"</f>
        <v>كهكيلويه و بوير احمد</v>
      </c>
      <c r="AD385" s="1" t="str">
        <f>"95/07/19"</f>
        <v>95/07/19</v>
      </c>
      <c r="AE385" s="1" t="str">
        <f t="shared" si="82"/>
        <v>اختتام</v>
      </c>
      <c r="AF385" s="1" t="str">
        <f>""</f>
        <v/>
      </c>
      <c r="AG385" s="1" t="str">
        <f>""</f>
        <v/>
      </c>
      <c r="AH385" s="1" t="str">
        <f>""</f>
        <v/>
      </c>
      <c r="AI385" s="1" t="str">
        <f>""</f>
        <v/>
      </c>
      <c r="AJ385" s="1" t="str">
        <f>""</f>
        <v/>
      </c>
      <c r="AK385" s="1" t="str">
        <f>""</f>
        <v/>
      </c>
    </row>
    <row r="386" spans="1:37" x14ac:dyDescent="0.2">
      <c r="A386" s="1">
        <v>71000</v>
      </c>
      <c r="B386" s="1">
        <v>952000344</v>
      </c>
      <c r="C386" s="1" t="str">
        <f>"تخليه -كهگيلويه وبويراحمدياسوج كارخانه آسفالت دارشاهي"</f>
        <v>تخليه -كهگيلويه وبويراحمدياسوج كارخانه آسفالت دارشاهي</v>
      </c>
      <c r="D386" s="1">
        <v>9361</v>
      </c>
      <c r="E386" s="1">
        <v>70120</v>
      </c>
      <c r="F386" s="1">
        <v>95</v>
      </c>
      <c r="G386" s="1">
        <v>880</v>
      </c>
      <c r="H386" s="1" t="str">
        <f>"95/11/24"</f>
        <v>95/11/24</v>
      </c>
      <c r="I386" s="1" t="str">
        <f t="shared" ref="I386:I449" si="85">"كيلوگرم"</f>
        <v>كيلوگرم</v>
      </c>
      <c r="J386" s="1" t="str">
        <f t="shared" si="83"/>
        <v>0000000076</v>
      </c>
      <c r="K386" s="1" t="str">
        <f t="shared" si="84"/>
        <v>قير 60/70 - فله</v>
      </c>
      <c r="L386" s="1">
        <v>100</v>
      </c>
      <c r="M386" s="1" t="str">
        <f t="shared" ref="M386:M449" si="86">"مخازن قير اصفهان"</f>
        <v>مخازن قير اصفهان</v>
      </c>
      <c r="N386" s="1">
        <v>11205</v>
      </c>
      <c r="O386" s="1">
        <v>50033714</v>
      </c>
      <c r="P386" s="1" t="str">
        <f>"  شهرداري مارگون"</f>
        <v xml:space="preserve">  شهرداري مارگون</v>
      </c>
      <c r="Q386" s="1">
        <v>20</v>
      </c>
      <c r="R386" s="1" t="str">
        <f>"فروش داخلي - سازمان شهرداري ها و دهياري هاي كشور"</f>
        <v>فروش داخلي - سازمان شهرداري ها و دهياري هاي كشور</v>
      </c>
      <c r="S386" s="1" t="str">
        <f t="shared" ref="S386:S449" si="87">"قرارداد فروش"</f>
        <v>قرارداد فروش</v>
      </c>
      <c r="T386" s="1" t="str">
        <f t="shared" ref="T386:T449" si="88">"ندارد"</f>
        <v>ندارد</v>
      </c>
      <c r="U386" s="1" t="str">
        <f>"دشت بشي پودنگ وبرادران رضا(4844014)"</f>
        <v>دشت بشي پودنگ وبرادران رضا(4844014)</v>
      </c>
      <c r="V386" s="1">
        <v>952000344</v>
      </c>
      <c r="W386" s="1">
        <v>952000344</v>
      </c>
      <c r="X386" s="1" t="str">
        <f>"1395464562"</f>
        <v>1395464562</v>
      </c>
      <c r="Y386" s="1" t="str">
        <f>"95/11/24"</f>
        <v>95/11/24</v>
      </c>
      <c r="Z386" s="1" t="str">
        <f>"46794"</f>
        <v>46794</v>
      </c>
      <c r="AA386" s="1" t="str">
        <f>"شهرداريها"</f>
        <v>شهرداريها</v>
      </c>
      <c r="AB386" s="1" t="str">
        <f>"95/09/22"</f>
        <v>95/09/22</v>
      </c>
      <c r="AC386" s="1" t="str">
        <f>"كهكيلويه و بوير احمد"</f>
        <v>كهكيلويه و بوير احمد</v>
      </c>
      <c r="AD386" s="1" t="str">
        <f>"95/11/24"</f>
        <v>95/11/24</v>
      </c>
      <c r="AE386" s="1" t="str">
        <f t="shared" si="82"/>
        <v>اختتام</v>
      </c>
      <c r="AF386" s="1" t="str">
        <f>""</f>
        <v/>
      </c>
      <c r="AG386" s="1" t="str">
        <f>""</f>
        <v/>
      </c>
      <c r="AH386" s="1" t="str">
        <f>""</f>
        <v/>
      </c>
      <c r="AI386" s="1" t="str">
        <f>""</f>
        <v/>
      </c>
      <c r="AJ386" s="1" t="str">
        <f>""</f>
        <v/>
      </c>
      <c r="AK386" s="1" t="str">
        <f>""</f>
        <v/>
      </c>
    </row>
    <row r="387" spans="1:37" x14ac:dyDescent="0.2">
      <c r="A387" s="1">
        <v>123000</v>
      </c>
      <c r="B387" s="1">
        <v>952000213</v>
      </c>
      <c r="C387" s="1" t="str">
        <f>"تخليه كهگيلويه وبويراحمدشهرليكك كارخانه آسفالت خوب"</f>
        <v>تخليه كهگيلويه وبويراحمدشهرليكك كارخانه آسفالت خوب</v>
      </c>
      <c r="D387" s="1">
        <v>8023</v>
      </c>
      <c r="E387" s="1">
        <v>119600</v>
      </c>
      <c r="F387" s="1">
        <v>95</v>
      </c>
      <c r="G387" s="1">
        <v>3400</v>
      </c>
      <c r="H387" s="1" t="str">
        <f>"95/08/17"</f>
        <v>95/08/17</v>
      </c>
      <c r="I387" s="1" t="str">
        <f t="shared" si="85"/>
        <v>كيلوگرم</v>
      </c>
      <c r="J387" s="1" t="str">
        <f t="shared" si="83"/>
        <v>0000000076</v>
      </c>
      <c r="K387" s="1" t="str">
        <f t="shared" si="84"/>
        <v>قير 60/70 - فله</v>
      </c>
      <c r="L387" s="1">
        <v>100</v>
      </c>
      <c r="M387" s="1" t="str">
        <f t="shared" si="86"/>
        <v>مخازن قير اصفهان</v>
      </c>
      <c r="N387" s="1">
        <v>11211</v>
      </c>
      <c r="O387" s="1">
        <v>50032529</v>
      </c>
      <c r="P387" s="1" t="str">
        <f>"  شهرداري ليكك"</f>
        <v xml:space="preserve">  شهرداري ليكك</v>
      </c>
      <c r="Q387" s="1">
        <v>20</v>
      </c>
      <c r="R387" s="1" t="str">
        <f>"فروش داخلي - سازمان شهرداري ها و دهياري هاي كشور"</f>
        <v>فروش داخلي - سازمان شهرداري ها و دهياري هاي كشور</v>
      </c>
      <c r="S387" s="1" t="str">
        <f t="shared" si="87"/>
        <v>قرارداد فروش</v>
      </c>
      <c r="T387" s="1" t="str">
        <f t="shared" si="88"/>
        <v>ندارد</v>
      </c>
      <c r="U387" s="1" t="str">
        <f>"غلام نجفي سيامك‌‌‌‌‌‌(1881082)"</f>
        <v>غلام نجفي سيامك‌‌‌‌‌‌(1881082)</v>
      </c>
      <c r="V387" s="1">
        <v>952000213</v>
      </c>
      <c r="W387" s="1">
        <v>952000213</v>
      </c>
      <c r="X387" s="1" t="str">
        <f>"1395443199"</f>
        <v>1395443199</v>
      </c>
      <c r="Y387" s="1" t="str">
        <f>"95/08/16"</f>
        <v>95/08/16</v>
      </c>
      <c r="Z387" s="1" t="str">
        <f>"32688"</f>
        <v>32688</v>
      </c>
      <c r="AA387" s="1" t="str">
        <f>"شهرداريها"</f>
        <v>شهرداريها</v>
      </c>
      <c r="AB387" s="1" t="str">
        <f>"95/07/06"</f>
        <v>95/07/06</v>
      </c>
      <c r="AC387" s="1" t="str">
        <f>"كهكيلويه و بوير احمد"</f>
        <v>كهكيلويه و بوير احمد</v>
      </c>
      <c r="AD387" s="1" t="str">
        <f>"95/08/15"</f>
        <v>95/08/15</v>
      </c>
      <c r="AE387" s="1" t="str">
        <f t="shared" si="82"/>
        <v>اختتام</v>
      </c>
      <c r="AF387" s="1" t="str">
        <f>""</f>
        <v/>
      </c>
      <c r="AG387" s="1" t="str">
        <f>""</f>
        <v/>
      </c>
      <c r="AH387" s="1" t="str">
        <f>""</f>
        <v/>
      </c>
      <c r="AI387" s="1" t="str">
        <f>""</f>
        <v/>
      </c>
      <c r="AJ387" s="1" t="str">
        <f>""</f>
        <v/>
      </c>
      <c r="AK387" s="1" t="str">
        <f>""</f>
        <v/>
      </c>
    </row>
    <row r="388" spans="1:37" x14ac:dyDescent="0.2">
      <c r="A388" s="1">
        <v>127000</v>
      </c>
      <c r="B388" s="1">
        <v>952000050</v>
      </c>
      <c r="C388" s="1" t="str">
        <f>"تخليه اصفهان زرين شهركيلومتر5زرين شهركارگاه زرين سپاهان"</f>
        <v>تخليه اصفهان زرين شهركيلومتر5زرين شهركارگاه زرين سپاهان</v>
      </c>
      <c r="D388" s="1">
        <v>6876</v>
      </c>
      <c r="E388" s="1">
        <v>126680</v>
      </c>
      <c r="F388" s="1">
        <v>95</v>
      </c>
      <c r="G388" s="1">
        <v>320</v>
      </c>
      <c r="H388" s="1" t="str">
        <f>"95/06/07"</f>
        <v>95/06/07</v>
      </c>
      <c r="I388" s="1" t="str">
        <f t="shared" si="85"/>
        <v>كيلوگرم</v>
      </c>
      <c r="J388" s="1" t="str">
        <f t="shared" si="83"/>
        <v>0000000076</v>
      </c>
      <c r="K388" s="1" t="str">
        <f t="shared" si="84"/>
        <v>قير 60/70 - فله</v>
      </c>
      <c r="L388" s="1">
        <v>100</v>
      </c>
      <c r="M388" s="1" t="str">
        <f t="shared" si="86"/>
        <v>مخازن قير اصفهان</v>
      </c>
      <c r="N388" s="1">
        <v>10680</v>
      </c>
      <c r="O388" s="1">
        <v>50031696</v>
      </c>
      <c r="P388" s="1" t="str">
        <f>"  شهرداري گلدشت"</f>
        <v xml:space="preserve">  شهرداري گلدشت</v>
      </c>
      <c r="Q388" s="1">
        <v>20</v>
      </c>
      <c r="R388" s="1" t="str">
        <f>"فروش داخلي - سازمان شهرداري ها و دهياري هاي كشور"</f>
        <v>فروش داخلي - سازمان شهرداري ها و دهياري هاي كشور</v>
      </c>
      <c r="S388" s="1" t="str">
        <f t="shared" si="87"/>
        <v>قرارداد فروش</v>
      </c>
      <c r="T388" s="1" t="str">
        <f t="shared" si="88"/>
        <v>ندارد</v>
      </c>
      <c r="U388" s="1" t="str">
        <f>"مرادي نجاتعلي(1020ج89)"</f>
        <v>مرادي نجاتعلي(1020ج89)</v>
      </c>
      <c r="V388" s="1">
        <v>952000050</v>
      </c>
      <c r="W388" s="1">
        <v>952000050</v>
      </c>
      <c r="X388" s="1" t="str">
        <f>"1395426944"</f>
        <v>1395426944</v>
      </c>
      <c r="Y388" s="1" t="str">
        <f>"95/06/07"</f>
        <v>95/06/07</v>
      </c>
      <c r="Z388" s="1" t="str">
        <f>"25684"</f>
        <v>25684</v>
      </c>
      <c r="AA388" s="1" t="str">
        <f>"شهرداريها"</f>
        <v>شهرداريها</v>
      </c>
      <c r="AB388" s="1" t="str">
        <f>"95/06/02"</f>
        <v>95/06/02</v>
      </c>
      <c r="AC388" s="1" t="str">
        <f>"استان اصفهان"</f>
        <v>استان اصفهان</v>
      </c>
      <c r="AD388" s="1" t="str">
        <f>"95/06/06"</f>
        <v>95/06/06</v>
      </c>
      <c r="AE388" s="1" t="str">
        <f t="shared" si="82"/>
        <v>اختتام</v>
      </c>
      <c r="AF388" s="1" t="str">
        <f>""</f>
        <v/>
      </c>
      <c r="AG388" s="1" t="str">
        <f>""</f>
        <v/>
      </c>
      <c r="AH388" s="1" t="str">
        <f>""</f>
        <v/>
      </c>
      <c r="AI388" s="1" t="str">
        <f>""</f>
        <v/>
      </c>
      <c r="AJ388" s="1" t="str">
        <f>""</f>
        <v/>
      </c>
      <c r="AK388" s="1" t="str">
        <f>""</f>
        <v/>
      </c>
    </row>
    <row r="389" spans="1:37" x14ac:dyDescent="0.2">
      <c r="A389" s="1">
        <v>50000</v>
      </c>
      <c r="B389" s="1">
        <v>951100109</v>
      </c>
      <c r="C389" s="1" t="str">
        <f>"تخليه-شهرستان آباده-روبروي کارخانه سيمان"</f>
        <v>تخليه-شهرستان آباده-روبروي کارخانه سيمان</v>
      </c>
      <c r="D389" s="1">
        <v>6876</v>
      </c>
      <c r="E389" s="1">
        <v>50000</v>
      </c>
      <c r="F389" s="1">
        <v>95</v>
      </c>
      <c r="G389" s="1">
        <v>0</v>
      </c>
      <c r="H389" s="1" t="str">
        <f>"95/06/13"</f>
        <v>95/06/13</v>
      </c>
      <c r="I389" s="1" t="str">
        <f t="shared" si="85"/>
        <v>كيلوگرم</v>
      </c>
      <c r="J389" s="1" t="str">
        <f t="shared" si="83"/>
        <v>0000000076</v>
      </c>
      <c r="K389" s="1" t="str">
        <f t="shared" si="84"/>
        <v>قير 60/70 - فله</v>
      </c>
      <c r="L389" s="1">
        <v>100</v>
      </c>
      <c r="M389" s="1" t="str">
        <f t="shared" si="86"/>
        <v>مخازن قير اصفهان</v>
      </c>
      <c r="N389" s="1">
        <v>10683</v>
      </c>
      <c r="O389" s="1">
        <v>50031752</v>
      </c>
      <c r="P389" s="1" t="str">
        <f>"  عايق اندود شرق سيصدو دو آسيا"</f>
        <v xml:space="preserve">  عايق اندود شرق سيصدو دو آسيا</v>
      </c>
      <c r="Q389" s="1">
        <v>11</v>
      </c>
      <c r="R389" s="1" t="str">
        <f>"فروش داخلي تهران - بورس"</f>
        <v>فروش داخلي تهران - بورس</v>
      </c>
      <c r="S389" s="1" t="str">
        <f t="shared" si="87"/>
        <v>قرارداد فروش</v>
      </c>
      <c r="T389" s="1" t="str">
        <f t="shared" si="88"/>
        <v>ندارد</v>
      </c>
      <c r="U389" s="1" t="str">
        <f>"تاج سعيد هوشنگ (1031ج 89)"</f>
        <v>تاج سعيد هوشنگ (1031ج 89)</v>
      </c>
      <c r="V389" s="1">
        <v>951100109</v>
      </c>
      <c r="W389" s="1">
        <v>951100109</v>
      </c>
      <c r="X389" s="1" t="str">
        <f>"1395427127"</f>
        <v>1395427127</v>
      </c>
      <c r="Y389" s="1" t="str">
        <f>"95/06/10"</f>
        <v>95/06/10</v>
      </c>
      <c r="Z389" s="1" t="str">
        <f>"95-34563"</f>
        <v>95-34563</v>
      </c>
      <c r="AA389" s="1" t="str">
        <f>"راه سازي"</f>
        <v>راه سازي</v>
      </c>
      <c r="AB389" s="1" t="str">
        <f>"95/06/10"</f>
        <v>95/06/10</v>
      </c>
      <c r="AC389" s="1" t="str">
        <f>"استان فارس"</f>
        <v>استان فارس</v>
      </c>
      <c r="AD389" s="1" t="str">
        <f>"95/06/07"</f>
        <v>95/06/07</v>
      </c>
      <c r="AE389" s="1" t="str">
        <f>"تاييدشده"</f>
        <v>تاييدشده</v>
      </c>
      <c r="AF389" s="1" t="str">
        <f>""</f>
        <v/>
      </c>
      <c r="AG389" s="1" t="str">
        <f>""</f>
        <v/>
      </c>
      <c r="AH389" s="1" t="str">
        <f>""</f>
        <v/>
      </c>
      <c r="AI389" s="1" t="str">
        <f>""</f>
        <v/>
      </c>
      <c r="AJ389" s="1" t="str">
        <f>""</f>
        <v/>
      </c>
      <c r="AK389" s="1" t="str">
        <f>""</f>
        <v/>
      </c>
    </row>
    <row r="390" spans="1:37" x14ac:dyDescent="0.2">
      <c r="A390" s="1">
        <v>25000</v>
      </c>
      <c r="B390" s="1">
        <v>951100181</v>
      </c>
      <c r="C390" s="1" t="str">
        <f>"تخليه-شهرستان آباده-روبروي کارخانه سيمان"</f>
        <v>تخليه-شهرستان آباده-روبروي کارخانه سيمان</v>
      </c>
      <c r="D390" s="1">
        <v>9361</v>
      </c>
      <c r="E390" s="1">
        <v>24480</v>
      </c>
      <c r="F390" s="1">
        <v>95</v>
      </c>
      <c r="G390" s="1">
        <v>520</v>
      </c>
      <c r="H390" s="1" t="str">
        <f>"95/11/16"</f>
        <v>95/11/16</v>
      </c>
      <c r="I390" s="1" t="str">
        <f t="shared" si="85"/>
        <v>كيلوگرم</v>
      </c>
      <c r="J390" s="1" t="str">
        <f t="shared" si="83"/>
        <v>0000000076</v>
      </c>
      <c r="K390" s="1" t="str">
        <f t="shared" si="84"/>
        <v>قير 60/70 - فله</v>
      </c>
      <c r="L390" s="1">
        <v>100</v>
      </c>
      <c r="M390" s="1" t="str">
        <f t="shared" si="86"/>
        <v>مخازن قير اصفهان</v>
      </c>
      <c r="N390" s="1">
        <v>10683</v>
      </c>
      <c r="O390" s="1">
        <v>50033586</v>
      </c>
      <c r="P390" s="1" t="str">
        <f>"  عايق اندود شرق سيصدو دو آسيا"</f>
        <v xml:space="preserve">  عايق اندود شرق سيصدو دو آسيا</v>
      </c>
      <c r="Q390" s="1">
        <v>11</v>
      </c>
      <c r="R390" s="1" t="str">
        <f>"فروش داخلي تهران - بورس"</f>
        <v>فروش داخلي تهران - بورس</v>
      </c>
      <c r="S390" s="1" t="str">
        <f t="shared" si="87"/>
        <v>قرارداد فروش</v>
      </c>
      <c r="T390" s="1" t="str">
        <f t="shared" si="88"/>
        <v>ندارد</v>
      </c>
      <c r="U390" s="1" t="str">
        <f>"تاج سعيد هوشنگ (1031ج 89)"</f>
        <v>تاج سعيد هوشنگ (1031ج 89)</v>
      </c>
      <c r="V390" s="1">
        <v>951100181</v>
      </c>
      <c r="W390" s="1">
        <v>951100181</v>
      </c>
      <c r="X390" s="1" t="str">
        <f>"1395461520"</f>
        <v>1395461520</v>
      </c>
      <c r="Y390" s="1" t="str">
        <f>"95/11/13"</f>
        <v>95/11/13</v>
      </c>
      <c r="Z390" s="1" t="str">
        <f>"95-35150"</f>
        <v>95-35150</v>
      </c>
      <c r="AA390" s="1" t="str">
        <f>"راه سازي"</f>
        <v>راه سازي</v>
      </c>
      <c r="AB390" s="1" t="str">
        <f>"95/11/13"</f>
        <v>95/11/13</v>
      </c>
      <c r="AC390" s="1" t="str">
        <f>"استان فارس"</f>
        <v>استان فارس</v>
      </c>
      <c r="AD390" s="1" t="str">
        <f>"95/11/10"</f>
        <v>95/11/10</v>
      </c>
      <c r="AE390" s="1" t="str">
        <f t="shared" ref="AE390:AE395" si="89">"اختتام"</f>
        <v>اختتام</v>
      </c>
      <c r="AF390" s="1" t="str">
        <f>""</f>
        <v/>
      </c>
      <c r="AG390" s="1" t="str">
        <f>""</f>
        <v/>
      </c>
      <c r="AH390" s="1" t="str">
        <f>""</f>
        <v/>
      </c>
      <c r="AI390" s="1" t="str">
        <f>""</f>
        <v/>
      </c>
      <c r="AJ390" s="1" t="str">
        <f>""</f>
        <v/>
      </c>
      <c r="AK390" s="1" t="str">
        <f>""</f>
        <v/>
      </c>
    </row>
    <row r="391" spans="1:37" x14ac:dyDescent="0.2">
      <c r="A391" s="1">
        <v>67000</v>
      </c>
      <c r="B391" s="1">
        <v>952000117</v>
      </c>
      <c r="C391" s="1" t="str">
        <f>"تخليه -اصفهان -كيلومتر3جاده وزوان -اصفهان -شركت خاك پي"</f>
        <v>تخليه -اصفهان -كيلومتر3جاده وزوان -اصفهان -شركت خاك پي</v>
      </c>
      <c r="D391" s="1">
        <v>6976</v>
      </c>
      <c r="E391" s="1">
        <v>66040</v>
      </c>
      <c r="F391" s="1">
        <v>95</v>
      </c>
      <c r="G391" s="1">
        <v>960</v>
      </c>
      <c r="H391" s="1" t="str">
        <f>"95/07/06"</f>
        <v>95/07/06</v>
      </c>
      <c r="I391" s="1" t="str">
        <f t="shared" si="85"/>
        <v>كيلوگرم</v>
      </c>
      <c r="J391" s="1" t="str">
        <f t="shared" si="83"/>
        <v>0000000076</v>
      </c>
      <c r="K391" s="1" t="str">
        <f t="shared" si="84"/>
        <v>قير 60/70 - فله</v>
      </c>
      <c r="L391" s="1">
        <v>100</v>
      </c>
      <c r="M391" s="1" t="str">
        <f t="shared" si="86"/>
        <v>مخازن قير اصفهان</v>
      </c>
      <c r="N391" s="1">
        <v>10701</v>
      </c>
      <c r="O391" s="1">
        <v>50032010</v>
      </c>
      <c r="P391" s="1" t="str">
        <f>"  شهرداري كامو و چوگان"</f>
        <v xml:space="preserve">  شهرداري كامو و چوگان</v>
      </c>
      <c r="Q391" s="1">
        <v>20</v>
      </c>
      <c r="R391" s="1" t="str">
        <f>"فروش داخلي - سازمان شهرداري ها و دهياري هاي كشور"</f>
        <v>فروش داخلي - سازمان شهرداري ها و دهياري هاي كشور</v>
      </c>
      <c r="S391" s="1" t="str">
        <f t="shared" si="87"/>
        <v>قرارداد فروش</v>
      </c>
      <c r="T391" s="1" t="str">
        <f t="shared" si="88"/>
        <v>ندارد</v>
      </c>
      <c r="U391" s="1" t="str">
        <f>"ريسماني حسن(1007ج89)"</f>
        <v>ريسماني حسن(1007ج89)</v>
      </c>
      <c r="V391" s="1">
        <v>952000117</v>
      </c>
      <c r="W391" s="1">
        <v>952000117</v>
      </c>
      <c r="X391" s="1" t="str">
        <f>"1395434112"</f>
        <v>1395434112</v>
      </c>
      <c r="Y391" s="1" t="str">
        <f>"95/07/06"</f>
        <v>95/07/06</v>
      </c>
      <c r="Z391" s="1" t="str">
        <f>"27782"</f>
        <v>27782</v>
      </c>
      <c r="AA391" s="1" t="str">
        <f>"شهرداريها"</f>
        <v>شهرداريها</v>
      </c>
      <c r="AB391" s="1" t="str">
        <f>"95/06/10"</f>
        <v>95/06/10</v>
      </c>
      <c r="AC391" s="1" t="str">
        <f>"استان اصفهان"</f>
        <v>استان اصفهان</v>
      </c>
      <c r="AD391" s="1" t="str">
        <f>"95/07/06"</f>
        <v>95/07/06</v>
      </c>
      <c r="AE391" s="1" t="str">
        <f t="shared" si="89"/>
        <v>اختتام</v>
      </c>
      <c r="AF391" s="1" t="str">
        <f>""</f>
        <v/>
      </c>
      <c r="AG391" s="1" t="str">
        <f>""</f>
        <v/>
      </c>
      <c r="AH391" s="1" t="str">
        <f>""</f>
        <v/>
      </c>
      <c r="AI391" s="1" t="str">
        <f>""</f>
        <v/>
      </c>
      <c r="AJ391" s="1" t="str">
        <f>""</f>
        <v/>
      </c>
      <c r="AK391" s="1" t="str">
        <f>""</f>
        <v/>
      </c>
    </row>
    <row r="392" spans="1:37" x14ac:dyDescent="0.2">
      <c r="A392" s="1">
        <v>170000</v>
      </c>
      <c r="B392" s="1">
        <v>956200090</v>
      </c>
      <c r="C392" s="1" t="str">
        <f>"تخليه-ايلام-جاده ايلام- بدره -کارخانه آسفالت شرکت ايلام راه بان"</f>
        <v>تخليه-ايلام-جاده ايلام- بدره -کارخانه آسفالت شرکت ايلام راه بان</v>
      </c>
      <c r="D392" s="1">
        <v>6976</v>
      </c>
      <c r="E392" s="1">
        <v>168460</v>
      </c>
      <c r="F392" s="1">
        <v>95</v>
      </c>
      <c r="G392" s="1">
        <v>1540</v>
      </c>
      <c r="H392" s="1" t="str">
        <f>"95/07/25"</f>
        <v>95/07/25</v>
      </c>
      <c r="I392" s="1" t="str">
        <f t="shared" si="85"/>
        <v>كيلوگرم</v>
      </c>
      <c r="J392" s="1" t="str">
        <f t="shared" si="83"/>
        <v>0000000076</v>
      </c>
      <c r="K392" s="1" t="str">
        <f t="shared" si="84"/>
        <v>قير 60/70 - فله</v>
      </c>
      <c r="L392" s="1">
        <v>100</v>
      </c>
      <c r="M392" s="1" t="str">
        <f t="shared" si="86"/>
        <v>مخازن قير اصفهان</v>
      </c>
      <c r="N392" s="1">
        <v>10942</v>
      </c>
      <c r="O392" s="1">
        <v>50032193</v>
      </c>
      <c r="P392" s="1" t="str">
        <f>"  سپهران سازه کبير کوه"</f>
        <v xml:space="preserve">  سپهران سازه کبير کوه</v>
      </c>
      <c r="Q392" s="1">
        <v>62</v>
      </c>
      <c r="R392" s="1" t="str">
        <f>"فروش داخلي - سازمان بنيادمسكن انقلاب اسلامي"</f>
        <v>فروش داخلي - سازمان بنيادمسكن انقلاب اسلامي</v>
      </c>
      <c r="S392" s="1" t="str">
        <f t="shared" si="87"/>
        <v>قرارداد فروش</v>
      </c>
      <c r="T392" s="1" t="str">
        <f t="shared" si="88"/>
        <v>ندارد</v>
      </c>
      <c r="U392" s="1" t="str">
        <f>"عظيمي محمد(2842015)"</f>
        <v>عظيمي محمد(2842015)</v>
      </c>
      <c r="V392" s="1">
        <v>956200090</v>
      </c>
      <c r="W392" s="1">
        <v>956200090</v>
      </c>
      <c r="X392" s="1" t="str">
        <f>"1395438129"</f>
        <v>1395438129</v>
      </c>
      <c r="Y392" s="1" t="str">
        <f>"95/07/25"</f>
        <v>95/07/25</v>
      </c>
      <c r="Z392" s="1" t="str">
        <f>"30269/د"</f>
        <v>30269/د</v>
      </c>
      <c r="AA392" s="1" t="str">
        <f>"بنيادمسكن انقلاب اسلامي"</f>
        <v>بنيادمسكن انقلاب اسلامي</v>
      </c>
      <c r="AB392" s="1" t="str">
        <f>"95/07/19"</f>
        <v>95/07/19</v>
      </c>
      <c r="AC392" s="1" t="str">
        <f>"استان ايلام"</f>
        <v>استان ايلام</v>
      </c>
      <c r="AD392" s="1" t="str">
        <f>"95/07/25"</f>
        <v>95/07/25</v>
      </c>
      <c r="AE392" s="1" t="str">
        <f t="shared" si="89"/>
        <v>اختتام</v>
      </c>
      <c r="AF392" s="1" t="str">
        <f>""</f>
        <v/>
      </c>
      <c r="AG392" s="1" t="str">
        <f>""</f>
        <v/>
      </c>
      <c r="AH392" s="1" t="str">
        <f>""</f>
        <v/>
      </c>
      <c r="AI392" s="1" t="str">
        <f>""</f>
        <v/>
      </c>
      <c r="AJ392" s="1" t="str">
        <f>""</f>
        <v/>
      </c>
      <c r="AK392" s="1" t="str">
        <f>""</f>
        <v/>
      </c>
    </row>
    <row r="393" spans="1:37" x14ac:dyDescent="0.2">
      <c r="A393" s="1">
        <v>68000</v>
      </c>
      <c r="B393" s="1">
        <v>952000227</v>
      </c>
      <c r="C393" s="1" t="str">
        <f>"تخليه - اصفهان-جاده سميرم شهرضا 25 کيلومتري سميرم جنب شن شوي نادري کارخانه آسفالت سميرم"</f>
        <v>تخليه - اصفهان-جاده سميرم شهرضا 25 کيلومتري سميرم جنب شن شوي نادري کارخانه آسفالت سميرم</v>
      </c>
      <c r="D393" s="1">
        <v>8023</v>
      </c>
      <c r="E393" s="1">
        <v>66120</v>
      </c>
      <c r="F393" s="1">
        <v>95</v>
      </c>
      <c r="G393" s="1">
        <v>1880</v>
      </c>
      <c r="H393" s="1" t="str">
        <f>"95/08/18"</f>
        <v>95/08/18</v>
      </c>
      <c r="I393" s="1" t="str">
        <f t="shared" si="85"/>
        <v>كيلوگرم</v>
      </c>
      <c r="J393" s="1" t="str">
        <f t="shared" si="83"/>
        <v>0000000076</v>
      </c>
      <c r="K393" s="1" t="str">
        <f t="shared" si="84"/>
        <v>قير 60/70 - فله</v>
      </c>
      <c r="L393" s="1">
        <v>100</v>
      </c>
      <c r="M393" s="1" t="str">
        <f t="shared" si="86"/>
        <v>مخازن قير اصفهان</v>
      </c>
      <c r="N393" s="1">
        <v>10716</v>
      </c>
      <c r="O393" s="1">
        <v>50032556</v>
      </c>
      <c r="P393" s="1" t="str">
        <f>"  شهرداري كمه"</f>
        <v xml:space="preserve">  شهرداري كمه</v>
      </c>
      <c r="Q393" s="1">
        <v>20</v>
      </c>
      <c r="R393" s="1" t="str">
        <f>"فروش داخلي - سازمان شهرداري ها و دهياري هاي كشور"</f>
        <v>فروش داخلي - سازمان شهرداري ها و دهياري هاي كشور</v>
      </c>
      <c r="S393" s="1" t="str">
        <f t="shared" si="87"/>
        <v>قرارداد فروش</v>
      </c>
      <c r="T393" s="1" t="str">
        <f t="shared" si="88"/>
        <v>ندارد</v>
      </c>
      <c r="U393" s="1" t="str">
        <f>"معماريان سعيد(1004ج89)"</f>
        <v>معماريان سعيد(1004ج89)</v>
      </c>
      <c r="V393" s="1">
        <v>952000227</v>
      </c>
      <c r="W393" s="1">
        <v>952000227</v>
      </c>
      <c r="X393" s="1" t="str">
        <f>"1395443706"</f>
        <v>1395443706</v>
      </c>
      <c r="Y393" s="1" t="str">
        <f>"95/08/17"</f>
        <v>95/08/17</v>
      </c>
      <c r="Z393" s="1" t="str">
        <f>"39609"</f>
        <v>39609</v>
      </c>
      <c r="AA393" s="1" t="str">
        <f>"شهرداريها"</f>
        <v>شهرداريها</v>
      </c>
      <c r="AB393" s="1" t="str">
        <f>"95/08/11"</f>
        <v>95/08/11</v>
      </c>
      <c r="AC393" s="1" t="str">
        <f t="shared" ref="AC393:AC398" si="90">"استان اصفهان"</f>
        <v>استان اصفهان</v>
      </c>
      <c r="AD393" s="1" t="str">
        <f>"95/08/17"</f>
        <v>95/08/17</v>
      </c>
      <c r="AE393" s="1" t="str">
        <f t="shared" si="89"/>
        <v>اختتام</v>
      </c>
      <c r="AF393" s="1" t="str">
        <f>""</f>
        <v/>
      </c>
      <c r="AG393" s="1" t="str">
        <f>""</f>
        <v/>
      </c>
      <c r="AH393" s="1" t="str">
        <f>""</f>
        <v/>
      </c>
      <c r="AI393" s="1" t="str">
        <f>""</f>
        <v/>
      </c>
      <c r="AJ393" s="1" t="str">
        <f>""</f>
        <v/>
      </c>
      <c r="AK393" s="1" t="str">
        <f>""</f>
        <v/>
      </c>
    </row>
    <row r="394" spans="1:37" x14ac:dyDescent="0.2">
      <c r="A394" s="1">
        <v>240000</v>
      </c>
      <c r="B394" s="1">
        <v>956200119</v>
      </c>
      <c r="C394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94" s="1">
        <v>8861</v>
      </c>
      <c r="E394" s="1">
        <v>240000</v>
      </c>
      <c r="F394" s="1">
        <v>95</v>
      </c>
      <c r="G394" s="1">
        <v>0</v>
      </c>
      <c r="H394" s="1" t="str">
        <f>"95/10/06"</f>
        <v>95/10/06</v>
      </c>
      <c r="I394" s="1" t="str">
        <f t="shared" si="85"/>
        <v>كيلوگرم</v>
      </c>
      <c r="J394" s="1" t="str">
        <f t="shared" si="83"/>
        <v>0000000076</v>
      </c>
      <c r="K394" s="1" t="str">
        <f t="shared" si="84"/>
        <v>قير 60/70 - فله</v>
      </c>
      <c r="L394" s="1">
        <v>100</v>
      </c>
      <c r="M394" s="1" t="str">
        <f t="shared" si="86"/>
        <v>مخازن قير اصفهان</v>
      </c>
      <c r="N394" s="1">
        <v>11001</v>
      </c>
      <c r="O394" s="1">
        <v>50033177</v>
      </c>
      <c r="P394" s="1" t="str">
        <f>"  بنياد مسکن انقلاب اسلامي نجف آباد"</f>
        <v xml:space="preserve">  بنياد مسکن انقلاب اسلامي نجف آباد</v>
      </c>
      <c r="Q394" s="1">
        <v>62</v>
      </c>
      <c r="R394" s="1" t="str">
        <f>"فروش داخلي - سازمان بنيادمسكن انقلاب اسلامي"</f>
        <v>فروش داخلي - سازمان بنيادمسكن انقلاب اسلامي</v>
      </c>
      <c r="S394" s="1" t="str">
        <f t="shared" si="87"/>
        <v>قرارداد فروش</v>
      </c>
      <c r="T394" s="1" t="str">
        <f t="shared" si="88"/>
        <v>ندارد</v>
      </c>
      <c r="U394" s="1" t="str">
        <f>"سيفي پور عبدالمجيد(1009ج89)"</f>
        <v>سيفي پور عبدالمجيد(1009ج89)</v>
      </c>
      <c r="V394" s="1">
        <v>956200119</v>
      </c>
      <c r="W394" s="1">
        <v>956200119</v>
      </c>
      <c r="X394" s="1" t="str">
        <f>"1395454526"</f>
        <v>1395454526</v>
      </c>
      <c r="Y394" s="1" t="str">
        <f>"95/10/06"</f>
        <v>95/10/06</v>
      </c>
      <c r="Z394" s="1" t="str">
        <f>"41272/د"</f>
        <v>41272/د</v>
      </c>
      <c r="AA394" s="1" t="str">
        <f>"بنيادمسكن انقلاب اسلامي"</f>
        <v>بنيادمسكن انقلاب اسلامي</v>
      </c>
      <c r="AB394" s="1" t="str">
        <f>"95/09/30"</f>
        <v>95/09/30</v>
      </c>
      <c r="AC394" s="1" t="str">
        <f t="shared" si="90"/>
        <v>استان اصفهان</v>
      </c>
      <c r="AD394" s="1" t="str">
        <f>"95/10/05"</f>
        <v>95/10/05</v>
      </c>
      <c r="AE394" s="1" t="str">
        <f t="shared" si="89"/>
        <v>اختتام</v>
      </c>
      <c r="AF394" s="1" t="str">
        <f>""</f>
        <v/>
      </c>
      <c r="AG394" s="1" t="str">
        <f>""</f>
        <v/>
      </c>
      <c r="AH394" s="1" t="str">
        <f>""</f>
        <v/>
      </c>
      <c r="AI394" s="1" t="str">
        <f>""</f>
        <v/>
      </c>
      <c r="AJ394" s="1" t="str">
        <f>""</f>
        <v/>
      </c>
      <c r="AK394" s="1" t="str">
        <f>""</f>
        <v/>
      </c>
    </row>
    <row r="395" spans="1:37" x14ac:dyDescent="0.2">
      <c r="A395" s="1">
        <v>135000</v>
      </c>
      <c r="B395" s="1">
        <v>956200133</v>
      </c>
      <c r="C395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95" s="1">
        <v>8861</v>
      </c>
      <c r="E395" s="1">
        <v>135000</v>
      </c>
      <c r="F395" s="1">
        <v>95</v>
      </c>
      <c r="G395" s="1">
        <v>0</v>
      </c>
      <c r="H395" s="1" t="str">
        <f>"95/10/12"</f>
        <v>95/10/12</v>
      </c>
      <c r="I395" s="1" t="str">
        <f t="shared" si="85"/>
        <v>كيلوگرم</v>
      </c>
      <c r="J395" s="1" t="str">
        <f t="shared" si="83"/>
        <v>0000000076</v>
      </c>
      <c r="K395" s="1" t="str">
        <f t="shared" si="84"/>
        <v>قير 60/70 - فله</v>
      </c>
      <c r="L395" s="1">
        <v>100</v>
      </c>
      <c r="M395" s="1" t="str">
        <f t="shared" si="86"/>
        <v>مخازن قير اصفهان</v>
      </c>
      <c r="N395" s="1">
        <v>11001</v>
      </c>
      <c r="O395" s="1">
        <v>50033241</v>
      </c>
      <c r="P395" s="1" t="str">
        <f>"  بنياد مسکن انقلاب اسلامي نجف آباد"</f>
        <v xml:space="preserve">  بنياد مسکن انقلاب اسلامي نجف آباد</v>
      </c>
      <c r="Q395" s="1">
        <v>62</v>
      </c>
      <c r="R395" s="1" t="str">
        <f>"فروش داخلي - سازمان بنيادمسكن انقلاب اسلامي"</f>
        <v>فروش داخلي - سازمان بنيادمسكن انقلاب اسلامي</v>
      </c>
      <c r="S395" s="1" t="str">
        <f t="shared" si="87"/>
        <v>قرارداد فروش</v>
      </c>
      <c r="T395" s="1" t="str">
        <f t="shared" si="88"/>
        <v>ندارد</v>
      </c>
      <c r="U395" s="1" t="str">
        <f>"سيفي پور عبدالمجيد(1009ج89)"</f>
        <v>سيفي پور عبدالمجيد(1009ج89)</v>
      </c>
      <c r="V395" s="1">
        <v>956200133</v>
      </c>
      <c r="W395" s="1">
        <v>956200133</v>
      </c>
      <c r="X395" s="1" t="str">
        <f>"1395456107"</f>
        <v>1395456107</v>
      </c>
      <c r="Y395" s="1" t="str">
        <f>"95/10/12"</f>
        <v>95/10/12</v>
      </c>
      <c r="Z395" s="1" t="str">
        <f>"42757/د"</f>
        <v>42757/د</v>
      </c>
      <c r="AA395" s="1" t="str">
        <f>"بنيادمسكن انقلاب اسلامي"</f>
        <v>بنيادمسكن انقلاب اسلامي</v>
      </c>
      <c r="AB395" s="1" t="str">
        <f>"95/10/08"</f>
        <v>95/10/08</v>
      </c>
      <c r="AC395" s="1" t="str">
        <f t="shared" si="90"/>
        <v>استان اصفهان</v>
      </c>
      <c r="AD395" s="1" t="str">
        <f>"95/10/11"</f>
        <v>95/10/11</v>
      </c>
      <c r="AE395" s="1" t="str">
        <f t="shared" si="89"/>
        <v>اختتام</v>
      </c>
      <c r="AF395" s="1" t="str">
        <f>""</f>
        <v/>
      </c>
      <c r="AG395" s="1" t="str">
        <f>""</f>
        <v/>
      </c>
      <c r="AH395" s="1" t="str">
        <f>""</f>
        <v/>
      </c>
      <c r="AI395" s="1" t="str">
        <f>""</f>
        <v/>
      </c>
      <c r="AJ395" s="1" t="str">
        <f>""</f>
        <v/>
      </c>
      <c r="AK395" s="1" t="str">
        <f>""</f>
        <v/>
      </c>
    </row>
    <row r="396" spans="1:37" x14ac:dyDescent="0.2">
      <c r="A396" s="1">
        <v>300000</v>
      </c>
      <c r="B396" s="1">
        <v>951100112</v>
      </c>
      <c r="C396" s="1" t="str">
        <f>"تخليه-جاده علويجه-کيلومتر12 شرکت افق راه ماندگار"</f>
        <v>تخليه-جاده علويجه-کيلومتر12 شرکت افق راه ماندگار</v>
      </c>
      <c r="D396" s="1">
        <v>6876</v>
      </c>
      <c r="E396" s="1">
        <v>300000</v>
      </c>
      <c r="F396" s="1">
        <v>95</v>
      </c>
      <c r="G396" s="1">
        <v>0</v>
      </c>
      <c r="H396" s="1" t="str">
        <f>"95/06/15"</f>
        <v>95/06/15</v>
      </c>
      <c r="I396" s="1" t="str">
        <f t="shared" si="85"/>
        <v>كيلوگرم</v>
      </c>
      <c r="J396" s="1" t="str">
        <f t="shared" si="83"/>
        <v>0000000076</v>
      </c>
      <c r="K396" s="1" t="str">
        <f t="shared" si="84"/>
        <v>قير 60/70 - فله</v>
      </c>
      <c r="L396" s="1">
        <v>100</v>
      </c>
      <c r="M396" s="1" t="str">
        <f t="shared" si="86"/>
        <v>مخازن قير اصفهان</v>
      </c>
      <c r="N396" s="1">
        <v>11008</v>
      </c>
      <c r="O396" s="1">
        <v>50031786</v>
      </c>
      <c r="P396" s="1" t="str">
        <f>"  افق راه ماندگار"</f>
        <v xml:space="preserve">  افق راه ماندگار</v>
      </c>
      <c r="Q396" s="1">
        <v>11</v>
      </c>
      <c r="R396" s="1" t="str">
        <f>"فروش داخلي تهران - بورس"</f>
        <v>فروش داخلي تهران - بورس</v>
      </c>
      <c r="S396" s="1" t="str">
        <f t="shared" si="87"/>
        <v>قرارداد فروش</v>
      </c>
      <c r="T396" s="1" t="str">
        <f t="shared" si="88"/>
        <v>ندارد</v>
      </c>
      <c r="U396" s="1" t="str">
        <f>"عزيزي صفر(1006ج 89)"</f>
        <v>عزيزي صفر(1006ج 89)</v>
      </c>
      <c r="V396" s="1">
        <v>951100112</v>
      </c>
      <c r="W396" s="1">
        <v>951100112</v>
      </c>
      <c r="X396" s="1" t="str">
        <f>"1395427126"</f>
        <v>1395427126</v>
      </c>
      <c r="Y396" s="1" t="str">
        <f>"95/06/15"</f>
        <v>95/06/15</v>
      </c>
      <c r="Z396" s="1" t="str">
        <f>"95-34571"</f>
        <v>95-34571</v>
      </c>
      <c r="AA396" s="1" t="str">
        <f>"راه سازي"</f>
        <v>راه سازي</v>
      </c>
      <c r="AB396" s="1" t="str">
        <f>"95/06/14"</f>
        <v>95/06/14</v>
      </c>
      <c r="AC396" s="1" t="str">
        <f t="shared" si="90"/>
        <v>استان اصفهان</v>
      </c>
      <c r="AD396" s="1" t="str">
        <f>"95/06/07"</f>
        <v>95/06/07</v>
      </c>
      <c r="AE396" s="1" t="str">
        <f>"تاييدشده"</f>
        <v>تاييدشده</v>
      </c>
      <c r="AF396" s="1" t="str">
        <f>""</f>
        <v/>
      </c>
      <c r="AG396" s="1" t="str">
        <f>""</f>
        <v/>
      </c>
      <c r="AH396" s="1" t="str">
        <f>""</f>
        <v/>
      </c>
      <c r="AI396" s="1" t="str">
        <f>""</f>
        <v/>
      </c>
      <c r="AJ396" s="1" t="str">
        <f>""</f>
        <v/>
      </c>
      <c r="AK396" s="1" t="str">
        <f>""</f>
        <v/>
      </c>
    </row>
    <row r="397" spans="1:37" x14ac:dyDescent="0.2">
      <c r="A397" s="1">
        <v>85000</v>
      </c>
      <c r="B397" s="1">
        <v>956200017</v>
      </c>
      <c r="C397" s="1" t="str">
        <f>"تخليه-اصفهان-خور-محور جاده جعفرآباد-کيلومتر 8- کارخانه آسفالت رحيمي"</f>
        <v>تخليه-اصفهان-خور-محور جاده جعفرآباد-کيلومتر 8- کارخانه آسفالت رحيمي</v>
      </c>
      <c r="D397" s="1">
        <v>5750</v>
      </c>
      <c r="E397" s="1">
        <v>83620</v>
      </c>
      <c r="F397" s="1">
        <v>95</v>
      </c>
      <c r="G397" s="1">
        <v>1380</v>
      </c>
      <c r="H397" s="1" t="str">
        <f>"95/03/12"</f>
        <v>95/03/12</v>
      </c>
      <c r="I397" s="1" t="str">
        <f t="shared" si="85"/>
        <v>كيلوگرم</v>
      </c>
      <c r="J397" s="1" t="str">
        <f t="shared" si="83"/>
        <v>0000000076</v>
      </c>
      <c r="K397" s="1" t="str">
        <f t="shared" si="84"/>
        <v>قير 60/70 - فله</v>
      </c>
      <c r="L397" s="1">
        <v>100</v>
      </c>
      <c r="M397" s="1" t="str">
        <f t="shared" si="86"/>
        <v>مخازن قير اصفهان</v>
      </c>
      <c r="N397" s="1">
        <v>11027</v>
      </c>
      <c r="O397" s="1">
        <v>50030942</v>
      </c>
      <c r="P397" s="1" t="str">
        <f>"  نوژان خشت"</f>
        <v xml:space="preserve">  نوژان خشت</v>
      </c>
      <c r="Q397" s="1">
        <v>62</v>
      </c>
      <c r="R397" s="1" t="str">
        <f>"فروش داخلي - سازمان بنيادمسكن انقلاب اسلامي"</f>
        <v>فروش داخلي - سازمان بنيادمسكن انقلاب اسلامي</v>
      </c>
      <c r="S397" s="1" t="str">
        <f t="shared" si="87"/>
        <v>قرارداد فروش</v>
      </c>
      <c r="T397" s="1" t="str">
        <f t="shared" si="88"/>
        <v>ندارد</v>
      </c>
      <c r="U397" s="1" t="str">
        <f>"غلام نجفي سيامك‌‌‌‌‌‌(1881082)"</f>
        <v>غلام نجفي سيامك‌‌‌‌‌‌(1881082)</v>
      </c>
      <c r="V397" s="1">
        <v>956200017</v>
      </c>
      <c r="W397" s="1">
        <v>956200017</v>
      </c>
      <c r="X397" s="1" t="str">
        <f>"1395407409"</f>
        <v>1395407409</v>
      </c>
      <c r="Y397" s="1" t="str">
        <f>"95/03/12"</f>
        <v>95/03/12</v>
      </c>
      <c r="Z397" s="1" t="str">
        <f>"9711/د"</f>
        <v>9711/د</v>
      </c>
      <c r="AA397" s="1" t="str">
        <f>"بنيادمسكن انقلاب اسلامي"</f>
        <v>بنيادمسكن انقلاب اسلامي</v>
      </c>
      <c r="AB397" s="1" t="str">
        <f>"95/03/11"</f>
        <v>95/03/11</v>
      </c>
      <c r="AC397" s="1" t="str">
        <f t="shared" si="90"/>
        <v>استان اصفهان</v>
      </c>
      <c r="AD397" s="1" t="str">
        <f>"95/03/12"</f>
        <v>95/03/12</v>
      </c>
      <c r="AE397" s="1" t="str">
        <f t="shared" ref="AE397:AE402" si="91">"اختتام"</f>
        <v>اختتام</v>
      </c>
      <c r="AF397" s="1" t="str">
        <f>""</f>
        <v/>
      </c>
      <c r="AG397" s="1" t="str">
        <f>""</f>
        <v/>
      </c>
      <c r="AH397" s="1" t="str">
        <f>""</f>
        <v/>
      </c>
      <c r="AI397" s="1" t="str">
        <f>""</f>
        <v/>
      </c>
      <c r="AJ397" s="1" t="str">
        <f>""</f>
        <v/>
      </c>
      <c r="AK397" s="1" t="str">
        <f>""</f>
        <v/>
      </c>
    </row>
    <row r="398" spans="1:37" x14ac:dyDescent="0.2">
      <c r="A398" s="1">
        <v>269000</v>
      </c>
      <c r="B398" s="1">
        <v>956200176</v>
      </c>
      <c r="C398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398" s="1">
        <v>9361</v>
      </c>
      <c r="E398" s="1">
        <v>268440</v>
      </c>
      <c r="F398" s="1">
        <v>95</v>
      </c>
      <c r="G398" s="1">
        <v>560</v>
      </c>
      <c r="H398" s="1" t="str">
        <f>"95/11/04"</f>
        <v>95/11/04</v>
      </c>
      <c r="I398" s="1" t="str">
        <f t="shared" si="85"/>
        <v>كيلوگرم</v>
      </c>
      <c r="J398" s="1" t="str">
        <f t="shared" si="83"/>
        <v>0000000076</v>
      </c>
      <c r="K398" s="1" t="str">
        <f t="shared" si="84"/>
        <v>قير 60/70 - فله</v>
      </c>
      <c r="L398" s="1">
        <v>100</v>
      </c>
      <c r="M398" s="1" t="str">
        <f t="shared" si="86"/>
        <v>مخازن قير اصفهان</v>
      </c>
      <c r="N398" s="1">
        <v>11027</v>
      </c>
      <c r="O398" s="1">
        <v>50033509</v>
      </c>
      <c r="P398" s="1" t="str">
        <f>"  نوژان خشت"</f>
        <v xml:space="preserve">  نوژان خشت</v>
      </c>
      <c r="Q398" s="1">
        <v>62</v>
      </c>
      <c r="R398" s="1" t="str">
        <f>"فروش داخلي - سازمان بنيادمسكن انقلاب اسلامي"</f>
        <v>فروش داخلي - سازمان بنيادمسكن انقلاب اسلامي</v>
      </c>
      <c r="S398" s="1" t="str">
        <f t="shared" si="87"/>
        <v>قرارداد فروش</v>
      </c>
      <c r="T398" s="1" t="str">
        <f t="shared" si="88"/>
        <v>ندارد</v>
      </c>
      <c r="U398" s="1" t="str">
        <f>"ريسماني حسن(1007ج89)"</f>
        <v>ريسماني حسن(1007ج89)</v>
      </c>
      <c r="V398" s="1">
        <v>956200176</v>
      </c>
      <c r="W398" s="1">
        <v>956200176</v>
      </c>
      <c r="X398" s="1" t="str">
        <f>"1395460248"</f>
        <v>1395460248</v>
      </c>
      <c r="Y398" s="1" t="str">
        <f>"95/11/04"</f>
        <v>95/11/04</v>
      </c>
      <c r="Z398" s="1" t="str">
        <f>"45491/د"</f>
        <v>45491/د</v>
      </c>
      <c r="AA398" s="1" t="str">
        <f>"بنيادمسكن انقلاب اسلامي"</f>
        <v>بنيادمسكن انقلاب اسلامي</v>
      </c>
      <c r="AB398" s="1" t="str">
        <f>"95/10/25"</f>
        <v>95/10/25</v>
      </c>
      <c r="AC398" s="1" t="str">
        <f t="shared" si="90"/>
        <v>استان اصفهان</v>
      </c>
      <c r="AD398" s="1" t="str">
        <f>"95/11/04"</f>
        <v>95/11/04</v>
      </c>
      <c r="AE398" s="1" t="str">
        <f t="shared" si="91"/>
        <v>اختتام</v>
      </c>
      <c r="AF398" s="1" t="str">
        <f>""</f>
        <v/>
      </c>
      <c r="AG398" s="1" t="str">
        <f>""</f>
        <v/>
      </c>
      <c r="AH398" s="1" t="str">
        <f>""</f>
        <v/>
      </c>
      <c r="AI398" s="1" t="str">
        <f>""</f>
        <v/>
      </c>
      <c r="AJ398" s="1" t="str">
        <f>""</f>
        <v/>
      </c>
      <c r="AK398" s="1" t="str">
        <f>""</f>
        <v/>
      </c>
    </row>
    <row r="399" spans="1:37" x14ac:dyDescent="0.2">
      <c r="A399" s="1">
        <v>68000</v>
      </c>
      <c r="B399" s="1">
        <v>956200287</v>
      </c>
      <c r="C399" s="1" t="str">
        <f>"تخليه - کرمانشاه - اسلام آباد غرب - نرسيده به پل سيمره -شهرک توحيد-کارخانه آسفالت آج راه غرب"</f>
        <v>تخليه - کرمانشاه - اسلام آباد غرب - نرسيده به پل سيمره -شهرک توحيد-کارخانه آسفالت آج راه غرب</v>
      </c>
      <c r="D399" s="1">
        <v>8848</v>
      </c>
      <c r="E399" s="1">
        <v>67520</v>
      </c>
      <c r="F399" s="1">
        <v>95</v>
      </c>
      <c r="G399" s="1">
        <v>480</v>
      </c>
      <c r="H399" s="1" t="str">
        <f>"95/12/04"</f>
        <v>95/12/04</v>
      </c>
      <c r="I399" s="1" t="str">
        <f t="shared" si="85"/>
        <v>كيلوگرم</v>
      </c>
      <c r="J399" s="1" t="str">
        <f t="shared" si="83"/>
        <v>0000000076</v>
      </c>
      <c r="K399" s="1" t="str">
        <f t="shared" si="84"/>
        <v>قير 60/70 - فله</v>
      </c>
      <c r="L399" s="1">
        <v>100</v>
      </c>
      <c r="M399" s="1" t="str">
        <f t="shared" si="86"/>
        <v>مخازن قير اصفهان</v>
      </c>
      <c r="N399" s="1">
        <v>10609</v>
      </c>
      <c r="O399" s="1">
        <v>50033859</v>
      </c>
      <c r="P399" s="1" t="str">
        <f>"  آرادسوله اهواز"</f>
        <v xml:space="preserve">  آرادسوله اهواز</v>
      </c>
      <c r="Q399" s="1">
        <v>62</v>
      </c>
      <c r="R399" s="1" t="str">
        <f>"فروش داخلي - سازمان بنيادمسكن انقلاب اسلامي"</f>
        <v>فروش داخلي - سازمان بنيادمسكن انقلاب اسلامي</v>
      </c>
      <c r="S399" s="1" t="str">
        <f t="shared" si="87"/>
        <v>قرارداد فروش</v>
      </c>
      <c r="T399" s="1" t="str">
        <f t="shared" si="88"/>
        <v>ندارد</v>
      </c>
      <c r="U399" s="1" t="str">
        <f>"عظيمي محمد(2842015)"</f>
        <v>عظيمي محمد(2842015)</v>
      </c>
      <c r="V399" s="1">
        <v>956200287</v>
      </c>
      <c r="W399" s="1">
        <v>956200287</v>
      </c>
      <c r="X399" s="1" t="str">
        <f>"1395467357"</f>
        <v>1395467357</v>
      </c>
      <c r="Y399" s="1" t="str">
        <f>"95/12/04"</f>
        <v>95/12/04</v>
      </c>
      <c r="Z399" s="1" t="str">
        <f>"53048/د"</f>
        <v>53048/د</v>
      </c>
      <c r="AA399" s="1" t="str">
        <f>"بنيادمسكن انقلاب اسلامي"</f>
        <v>بنيادمسكن انقلاب اسلامي</v>
      </c>
      <c r="AB399" s="1" t="str">
        <f>"95/12/03"</f>
        <v>95/12/03</v>
      </c>
      <c r="AC399" s="1" t="str">
        <f>"استان كرمانشاه"</f>
        <v>استان كرمانشاه</v>
      </c>
      <c r="AD399" s="1" t="str">
        <f>"95/12/04"</f>
        <v>95/12/04</v>
      </c>
      <c r="AE399" s="1" t="str">
        <f t="shared" si="91"/>
        <v>اختتام</v>
      </c>
      <c r="AF399" s="1" t="str">
        <f>""</f>
        <v/>
      </c>
      <c r="AG399" s="1" t="str">
        <f>""</f>
        <v/>
      </c>
      <c r="AH399" s="1" t="str">
        <f>""</f>
        <v/>
      </c>
      <c r="AI399" s="1" t="str">
        <f>""</f>
        <v/>
      </c>
      <c r="AJ399" s="1" t="str">
        <f>""</f>
        <v/>
      </c>
      <c r="AK399" s="1" t="str">
        <f>""</f>
        <v/>
      </c>
    </row>
    <row r="400" spans="1:37" x14ac:dyDescent="0.2">
      <c r="A400" s="1">
        <v>75000</v>
      </c>
      <c r="B400" s="1">
        <v>952000102</v>
      </c>
      <c r="C400" s="1" t="str">
        <f>"تخليه - اصفهان مبارکه روبروي شهرک 7تير شرکت ساتان"</f>
        <v>تخليه - اصفهان مبارکه روبروي شهرک 7تير شرکت ساتان</v>
      </c>
      <c r="D400" s="1">
        <v>6976</v>
      </c>
      <c r="E400" s="1">
        <v>73700</v>
      </c>
      <c r="F400" s="1">
        <v>95</v>
      </c>
      <c r="G400" s="1">
        <v>1300</v>
      </c>
      <c r="H400" s="1" t="str">
        <f>"95/07/05"</f>
        <v>95/07/05</v>
      </c>
      <c r="I400" s="1" t="str">
        <f t="shared" si="85"/>
        <v>كيلوگرم</v>
      </c>
      <c r="J400" s="1" t="str">
        <f t="shared" si="83"/>
        <v>0000000076</v>
      </c>
      <c r="K400" s="1" t="str">
        <f t="shared" si="84"/>
        <v>قير 60/70 - فله</v>
      </c>
      <c r="L400" s="1">
        <v>100</v>
      </c>
      <c r="M400" s="1" t="str">
        <f t="shared" si="86"/>
        <v>مخازن قير اصفهان</v>
      </c>
      <c r="N400" s="1">
        <v>10654</v>
      </c>
      <c r="O400" s="1">
        <v>50031965</v>
      </c>
      <c r="P400" s="1" t="str">
        <f>"  شهرداري جوزدان"</f>
        <v xml:space="preserve">  شهرداري جوزدان</v>
      </c>
      <c r="Q400" s="1">
        <v>20</v>
      </c>
      <c r="R400" s="1" t="str">
        <f>"فروش داخلي - سازمان شهرداري ها و دهياري هاي كشور"</f>
        <v>فروش داخلي - سازمان شهرداري ها و دهياري هاي كشور</v>
      </c>
      <c r="S400" s="1" t="str">
        <f t="shared" si="87"/>
        <v>قرارداد فروش</v>
      </c>
      <c r="T400" s="1" t="str">
        <f t="shared" si="88"/>
        <v>ندارد</v>
      </c>
      <c r="U400" s="1" t="str">
        <f>"شهبازي محمدرضا(1029ج89)"</f>
        <v>شهبازي محمدرضا(1029ج89)</v>
      </c>
      <c r="V400" s="1">
        <v>952000102</v>
      </c>
      <c r="W400" s="1">
        <v>952000102</v>
      </c>
      <c r="X400" s="1" t="str">
        <f>"1395433645"</f>
        <v>1395433645</v>
      </c>
      <c r="Y400" s="1" t="str">
        <f>"95/07/05"</f>
        <v>95/07/05</v>
      </c>
      <c r="Z400" s="1" t="str">
        <f>"27787"</f>
        <v>27787</v>
      </c>
      <c r="AA400" s="1" t="str">
        <f>"شهرداريها"</f>
        <v>شهرداريها</v>
      </c>
      <c r="AB400" s="1" t="str">
        <f>"95/06/10"</f>
        <v>95/06/10</v>
      </c>
      <c r="AC400" s="1" t="str">
        <f>"استان اصفهان"</f>
        <v>استان اصفهان</v>
      </c>
      <c r="AD400" s="1" t="str">
        <f>"95/07/04"</f>
        <v>95/07/04</v>
      </c>
      <c r="AE400" s="1" t="str">
        <f t="shared" si="91"/>
        <v>اختتام</v>
      </c>
      <c r="AF400" s="1" t="str">
        <f>""</f>
        <v/>
      </c>
      <c r="AG400" s="1" t="str">
        <f>""</f>
        <v/>
      </c>
      <c r="AH400" s="1" t="str">
        <f>""</f>
        <v/>
      </c>
      <c r="AI400" s="1" t="str">
        <f>""</f>
        <v/>
      </c>
      <c r="AJ400" s="1" t="str">
        <f>""</f>
        <v/>
      </c>
      <c r="AK400" s="1" t="str">
        <f>""</f>
        <v/>
      </c>
    </row>
    <row r="401" spans="1:37" x14ac:dyDescent="0.2">
      <c r="A401" s="1">
        <v>122000</v>
      </c>
      <c r="B401" s="1">
        <v>952000253</v>
      </c>
      <c r="C401" s="1" t="str">
        <f>"تخليه كهگيلويه وبويراحمدشهرستان بهمئي شهرليكك"</f>
        <v>تخليه كهگيلويه وبويراحمدشهرستان بهمئي شهرليكك</v>
      </c>
      <c r="D401" s="1">
        <v>7026</v>
      </c>
      <c r="E401" s="1">
        <v>120460</v>
      </c>
      <c r="F401" s="1">
        <v>95</v>
      </c>
      <c r="G401" s="1">
        <v>1540</v>
      </c>
      <c r="H401" s="1" t="str">
        <f>"95/09/07"</f>
        <v>95/09/07</v>
      </c>
      <c r="I401" s="1" t="str">
        <f t="shared" si="85"/>
        <v>كيلوگرم</v>
      </c>
      <c r="J401" s="1" t="str">
        <f t="shared" si="83"/>
        <v>0000000076</v>
      </c>
      <c r="K401" s="1" t="str">
        <f t="shared" si="84"/>
        <v>قير 60/70 - فله</v>
      </c>
      <c r="L401" s="1">
        <v>100</v>
      </c>
      <c r="M401" s="1" t="str">
        <f t="shared" si="86"/>
        <v>مخازن قير اصفهان</v>
      </c>
      <c r="N401" s="1">
        <v>11211</v>
      </c>
      <c r="O401" s="1">
        <v>50032722</v>
      </c>
      <c r="P401" s="1" t="str">
        <f>"  شهرداري ليكك"</f>
        <v xml:space="preserve">  شهرداري ليكك</v>
      </c>
      <c r="Q401" s="1">
        <v>20</v>
      </c>
      <c r="R401" s="1" t="str">
        <f>"فروش داخلي - سازمان شهرداري ها و دهياري هاي كشور"</f>
        <v>فروش داخلي - سازمان شهرداري ها و دهياري هاي كشور</v>
      </c>
      <c r="S401" s="1" t="str">
        <f t="shared" si="87"/>
        <v>قرارداد فروش</v>
      </c>
      <c r="T401" s="1" t="str">
        <f t="shared" si="88"/>
        <v>ندارد</v>
      </c>
      <c r="U401" s="1" t="str">
        <f>"غلام نجفي سيامك‌‌‌‌‌‌(1881082)"</f>
        <v>غلام نجفي سيامك‌‌‌‌‌‌(1881082)</v>
      </c>
      <c r="V401" s="1">
        <v>952000253</v>
      </c>
      <c r="W401" s="1">
        <v>952000253</v>
      </c>
      <c r="X401" s="1" t="str">
        <f>"1395447617"</f>
        <v>1395447617</v>
      </c>
      <c r="Y401" s="1" t="str">
        <f>"95/09/07"</f>
        <v>95/09/07</v>
      </c>
      <c r="Z401" s="1" t="str">
        <f>"43314"</f>
        <v>43314</v>
      </c>
      <c r="AA401" s="1" t="str">
        <f>"شهرداريها"</f>
        <v>شهرداريها</v>
      </c>
      <c r="AB401" s="1" t="str">
        <f>"95/09/02"</f>
        <v>95/09/02</v>
      </c>
      <c r="AC401" s="1" t="str">
        <f>"كهكيلويه و بوير احمد"</f>
        <v>كهكيلويه و بوير احمد</v>
      </c>
      <c r="AD401" s="1" t="str">
        <f>"95/09/06"</f>
        <v>95/09/06</v>
      </c>
      <c r="AE401" s="1" t="str">
        <f t="shared" si="91"/>
        <v>اختتام</v>
      </c>
      <c r="AF401" s="1" t="str">
        <f>""</f>
        <v/>
      </c>
      <c r="AG401" s="1" t="str">
        <f>""</f>
        <v/>
      </c>
      <c r="AH401" s="1" t="str">
        <f>""</f>
        <v/>
      </c>
      <c r="AI401" s="1" t="str">
        <f>""</f>
        <v/>
      </c>
      <c r="AJ401" s="1" t="str">
        <f>""</f>
        <v/>
      </c>
      <c r="AK401" s="1" t="str">
        <f>""</f>
        <v/>
      </c>
    </row>
    <row r="402" spans="1:37" x14ac:dyDescent="0.2">
      <c r="A402" s="1">
        <v>20000</v>
      </c>
      <c r="B402" s="1">
        <v>956200143</v>
      </c>
      <c r="C402" s="1" t="str">
        <f>"تخليه - چهارمحال- لردگان -فلارد - سه راهي ارمند -تنگ لايبيد-کارخانه آسفالت موسوي"</f>
        <v>تخليه - چهارمحال- لردگان -فلارد - سه راهي ارمند -تنگ لايبيد-کارخانه آسفالت موسوي</v>
      </c>
      <c r="D402" s="1">
        <v>8861</v>
      </c>
      <c r="E402" s="1">
        <v>19320</v>
      </c>
      <c r="F402" s="1">
        <v>95</v>
      </c>
      <c r="G402" s="1">
        <v>680</v>
      </c>
      <c r="H402" s="1" t="str">
        <f>"95/10/14"</f>
        <v>95/10/14</v>
      </c>
      <c r="I402" s="1" t="str">
        <f t="shared" si="85"/>
        <v>كيلوگرم</v>
      </c>
      <c r="J402" s="1" t="str">
        <f t="shared" si="83"/>
        <v>0000000076</v>
      </c>
      <c r="K402" s="1" t="str">
        <f t="shared" si="84"/>
        <v>قير 60/70 - فله</v>
      </c>
      <c r="L402" s="1">
        <v>100</v>
      </c>
      <c r="M402" s="1" t="str">
        <f t="shared" si="86"/>
        <v>مخازن قير اصفهان</v>
      </c>
      <c r="N402" s="1">
        <v>11215</v>
      </c>
      <c r="O402" s="1">
        <v>50033284</v>
      </c>
      <c r="P402" s="1" t="str">
        <f>"  فرزاد لردگان"</f>
        <v xml:space="preserve">  فرزاد لردگان</v>
      </c>
      <c r="Q402" s="1">
        <v>62</v>
      </c>
      <c r="R402" s="1" t="str">
        <f>"فروش داخلي - سازمان بنيادمسكن انقلاب اسلامي"</f>
        <v>فروش داخلي - سازمان بنيادمسكن انقلاب اسلامي</v>
      </c>
      <c r="S402" s="1" t="str">
        <f t="shared" si="87"/>
        <v>قرارداد فروش</v>
      </c>
      <c r="T402" s="1" t="str">
        <f t="shared" si="88"/>
        <v>ندارد</v>
      </c>
      <c r="U402" s="1" t="str">
        <f>"فتحي حميد(1901090)"</f>
        <v>فتحي حميد(1901090)</v>
      </c>
      <c r="V402" s="1">
        <v>956200143</v>
      </c>
      <c r="W402" s="1">
        <v>956200143</v>
      </c>
      <c r="X402" s="1" t="str">
        <f>"1395456365"</f>
        <v>1395456365</v>
      </c>
      <c r="Y402" s="1" t="str">
        <f>"95/10/14"</f>
        <v>95/10/14</v>
      </c>
      <c r="Z402" s="1" t="str">
        <f>"43326/د"</f>
        <v>43326/د</v>
      </c>
      <c r="AA402" s="1" t="str">
        <f>"بنيادمسكن انقلاب اسلامي"</f>
        <v>بنيادمسكن انقلاب اسلامي</v>
      </c>
      <c r="AB402" s="1" t="str">
        <f>"95/10/12"</f>
        <v>95/10/12</v>
      </c>
      <c r="AC402" s="1" t="str">
        <f>"استان چهارمحال بختياري"</f>
        <v>استان چهارمحال بختياري</v>
      </c>
      <c r="AD402" s="1" t="str">
        <f>"95/10/13"</f>
        <v>95/10/13</v>
      </c>
      <c r="AE402" s="1" t="str">
        <f t="shared" si="91"/>
        <v>اختتام</v>
      </c>
      <c r="AF402" s="1" t="str">
        <f>""</f>
        <v/>
      </c>
      <c r="AG402" s="1" t="str">
        <f>""</f>
        <v/>
      </c>
      <c r="AH402" s="1" t="str">
        <f>""</f>
        <v/>
      </c>
      <c r="AI402" s="1" t="str">
        <f>""</f>
        <v/>
      </c>
      <c r="AJ402" s="1" t="str">
        <f>""</f>
        <v/>
      </c>
      <c r="AK402" s="1" t="str">
        <f>""</f>
        <v/>
      </c>
    </row>
    <row r="403" spans="1:37" x14ac:dyDescent="0.2">
      <c r="A403" s="1">
        <v>175000</v>
      </c>
      <c r="B403" s="1">
        <v>956300006</v>
      </c>
      <c r="C403" s="1" t="str">
        <f>"تخليه اصفهان شهركردكارخانه اتحادناغان"</f>
        <v>تخليه اصفهان شهركردكارخانه اتحادناغان</v>
      </c>
      <c r="D403" s="1">
        <v>7026</v>
      </c>
      <c r="E403" s="1">
        <v>175000</v>
      </c>
      <c r="F403" s="1">
        <v>95</v>
      </c>
      <c r="G403" s="1">
        <v>0</v>
      </c>
      <c r="H403" s="1" t="str">
        <f>"95/09/23"</f>
        <v>95/09/23</v>
      </c>
      <c r="I403" s="1" t="str">
        <f t="shared" si="85"/>
        <v>كيلوگرم</v>
      </c>
      <c r="J403" s="1" t="str">
        <f t="shared" si="83"/>
        <v>0000000076</v>
      </c>
      <c r="K403" s="1" t="str">
        <f t="shared" si="84"/>
        <v>قير 60/70 - فله</v>
      </c>
      <c r="L403" s="1">
        <v>100</v>
      </c>
      <c r="M403" s="1" t="str">
        <f t="shared" si="86"/>
        <v>مخازن قير اصفهان</v>
      </c>
      <c r="N403" s="1">
        <v>11220</v>
      </c>
      <c r="O403" s="1">
        <v>50033017</v>
      </c>
      <c r="P403" s="1" t="str">
        <f>"  پايه ستون زاگرس"</f>
        <v xml:space="preserve">  پايه ستون زاگرس</v>
      </c>
      <c r="Q403" s="1">
        <v>63</v>
      </c>
      <c r="R403" s="1" t="str">
        <f>"سازمان نوسازي،توسعه و تجهيز مدارس كشور"</f>
        <v>سازمان نوسازي،توسعه و تجهيز مدارس كشور</v>
      </c>
      <c r="S403" s="1" t="str">
        <f t="shared" si="87"/>
        <v>قرارداد فروش</v>
      </c>
      <c r="T403" s="1" t="str">
        <f t="shared" si="88"/>
        <v>ندارد</v>
      </c>
      <c r="U403" s="1" t="str">
        <f>"قره باغي مجيد(1871065)"</f>
        <v>قره باغي مجيد(1871065)</v>
      </c>
      <c r="V403" s="1">
        <v>956300006</v>
      </c>
      <c r="W403" s="1">
        <v>956300006</v>
      </c>
      <c r="X403" s="1" t="str">
        <f>"1395451387"</f>
        <v>1395451387</v>
      </c>
      <c r="Y403" s="1" t="str">
        <f>"95/09/23"</f>
        <v>95/09/23</v>
      </c>
      <c r="Z403" s="1" t="str">
        <f>"18/95/1/7754"</f>
        <v>18/95/1/7754</v>
      </c>
      <c r="AA403" s="1" t="str">
        <f>"سازمان نوسازي توسعه وتجهيزمدارس كشور"</f>
        <v>سازمان نوسازي توسعه وتجهيزمدارس كشور</v>
      </c>
      <c r="AB403" s="1" t="str">
        <f>"95/09/09"</f>
        <v>95/09/09</v>
      </c>
      <c r="AC403" s="1" t="str">
        <f>"استان اصفهان"</f>
        <v>استان اصفهان</v>
      </c>
      <c r="AD403" s="1" t="str">
        <f>"95/09/22"</f>
        <v>95/09/22</v>
      </c>
      <c r="AE403" s="1" t="str">
        <f>"تاييدشده"</f>
        <v>تاييدشده</v>
      </c>
      <c r="AF403" s="1" t="str">
        <f>""</f>
        <v/>
      </c>
      <c r="AG403" s="1" t="str">
        <f>""</f>
        <v/>
      </c>
      <c r="AH403" s="1" t="str">
        <f>""</f>
        <v/>
      </c>
      <c r="AI403" s="1" t="str">
        <f>""</f>
        <v/>
      </c>
      <c r="AJ403" s="1" t="str">
        <f>""</f>
        <v/>
      </c>
      <c r="AK403" s="1" t="str">
        <f>""</f>
        <v/>
      </c>
    </row>
    <row r="404" spans="1:37" x14ac:dyDescent="0.2">
      <c r="A404" s="1">
        <v>42000</v>
      </c>
      <c r="B404" s="1">
        <v>956200259</v>
      </c>
      <c r="C404" s="1" t="str">
        <f>"تخليه تهران پاكدشت جاده موزاييك كارخانه شن گستران پاكدشت"</f>
        <v>تخليه تهران پاكدشت جاده موزاييك كارخانه شن گستران پاكدشت</v>
      </c>
      <c r="D404" s="1">
        <v>8848</v>
      </c>
      <c r="E404" s="1">
        <v>40360</v>
      </c>
      <c r="F404" s="1">
        <v>95</v>
      </c>
      <c r="G404" s="1">
        <v>1640</v>
      </c>
      <c r="H404" s="1" t="str">
        <f>"95/12/03"</f>
        <v>95/12/03</v>
      </c>
      <c r="I404" s="1" t="str">
        <f t="shared" si="85"/>
        <v>كيلوگرم</v>
      </c>
      <c r="J404" s="1" t="str">
        <f t="shared" si="83"/>
        <v>0000000076</v>
      </c>
      <c r="K404" s="1" t="str">
        <f t="shared" si="84"/>
        <v>قير 60/70 - فله</v>
      </c>
      <c r="L404" s="1">
        <v>100</v>
      </c>
      <c r="M404" s="1" t="str">
        <f t="shared" si="86"/>
        <v>مخازن قير اصفهان</v>
      </c>
      <c r="N404" s="1">
        <v>11248</v>
      </c>
      <c r="O404" s="1">
        <v>50033812</v>
      </c>
      <c r="P404" s="1" t="str">
        <f>"  فيدار راه ماهان"</f>
        <v xml:space="preserve">  فيدار راه ماهان</v>
      </c>
      <c r="Q404" s="1">
        <v>62</v>
      </c>
      <c r="R404" s="1" t="str">
        <f>"فروش داخلي - سازمان بنيادمسكن انقلاب اسلامي"</f>
        <v>فروش داخلي - سازمان بنيادمسكن انقلاب اسلامي</v>
      </c>
      <c r="S404" s="1" t="str">
        <f t="shared" si="87"/>
        <v>قرارداد فروش</v>
      </c>
      <c r="T404" s="1" t="str">
        <f t="shared" si="88"/>
        <v>ندارد</v>
      </c>
      <c r="U404" s="1" t="str">
        <f>"شيخي خيراله (1841012)"</f>
        <v>شيخي خيراله (1841012)</v>
      </c>
      <c r="V404" s="1">
        <v>956200259</v>
      </c>
      <c r="W404" s="1">
        <v>956200259</v>
      </c>
      <c r="X404" s="1" t="str">
        <f>"1395466581"</f>
        <v>1395466581</v>
      </c>
      <c r="Y404" s="1" t="str">
        <f>"95/12/03"</f>
        <v>95/12/03</v>
      </c>
      <c r="Z404" s="1" t="str">
        <f>"52760/د"</f>
        <v>52760/د</v>
      </c>
      <c r="AA404" s="1" t="str">
        <f>"بنيادمسكن انقلاب اسلامي"</f>
        <v>بنيادمسكن انقلاب اسلامي</v>
      </c>
      <c r="AB404" s="1" t="str">
        <f>"95/12/02"</f>
        <v>95/12/02</v>
      </c>
      <c r="AC404" s="1" t="str">
        <f>"استان تهران"</f>
        <v>استان تهران</v>
      </c>
      <c r="AD404" s="1" t="str">
        <f>"95/12/03"</f>
        <v>95/12/03</v>
      </c>
      <c r="AE404" s="1" t="str">
        <f t="shared" ref="AE404:AE446" si="92">"اختتام"</f>
        <v>اختتام</v>
      </c>
      <c r="AF404" s="1" t="str">
        <f>""</f>
        <v/>
      </c>
      <c r="AG404" s="1" t="str">
        <f>""</f>
        <v/>
      </c>
      <c r="AH404" s="1" t="str">
        <f>""</f>
        <v/>
      </c>
      <c r="AI404" s="1" t="str">
        <f>""</f>
        <v/>
      </c>
      <c r="AJ404" s="1" t="str">
        <f>""</f>
        <v/>
      </c>
      <c r="AK404" s="1" t="str">
        <f>""</f>
        <v/>
      </c>
    </row>
    <row r="405" spans="1:37" x14ac:dyDescent="0.2">
      <c r="A405" s="1">
        <v>92000</v>
      </c>
      <c r="B405" s="1">
        <v>956200295</v>
      </c>
      <c r="C405" s="1" t="str">
        <f>"تخليه -تهران-دماوند -گيلاوند -انتهاي خيابان سپاه-کيلومتر 5 جاده روستاي زره در کارخانه آسفالت پارس دماوند"</f>
        <v>تخليه -تهران-دماوند -گيلاوند -انتهاي خيابان سپاه-کيلومتر 5 جاده روستاي زره در کارخانه آسفالت پارس دماوند</v>
      </c>
      <c r="D405" s="1">
        <v>8848</v>
      </c>
      <c r="E405" s="1">
        <v>92000</v>
      </c>
      <c r="F405" s="1">
        <v>95</v>
      </c>
      <c r="G405" s="1">
        <v>0</v>
      </c>
      <c r="H405" s="1" t="str">
        <f>"95/12/07"</f>
        <v>95/12/07</v>
      </c>
      <c r="I405" s="1" t="str">
        <f t="shared" si="85"/>
        <v>كيلوگرم</v>
      </c>
      <c r="J405" s="1" t="str">
        <f t="shared" si="83"/>
        <v>0000000076</v>
      </c>
      <c r="K405" s="1" t="str">
        <f t="shared" si="84"/>
        <v>قير 60/70 - فله</v>
      </c>
      <c r="L405" s="1">
        <v>100</v>
      </c>
      <c r="M405" s="1" t="str">
        <f t="shared" si="86"/>
        <v>مخازن قير اصفهان</v>
      </c>
      <c r="N405" s="1">
        <v>11278</v>
      </c>
      <c r="O405" s="1">
        <v>50033890</v>
      </c>
      <c r="P405" s="1" t="str">
        <f>"  آباد بوم آريا"</f>
        <v xml:space="preserve">  آباد بوم آريا</v>
      </c>
      <c r="Q405" s="1">
        <v>62</v>
      </c>
      <c r="R405" s="1" t="str">
        <f>"فروش داخلي - سازمان بنيادمسكن انقلاب اسلامي"</f>
        <v>فروش داخلي - سازمان بنيادمسكن انقلاب اسلامي</v>
      </c>
      <c r="S405" s="1" t="str">
        <f t="shared" si="87"/>
        <v>قرارداد فروش</v>
      </c>
      <c r="T405" s="1" t="str">
        <f t="shared" si="88"/>
        <v>ندارد</v>
      </c>
      <c r="U405" s="1" t="str">
        <f>"فتحي حميد(1901090)"</f>
        <v>فتحي حميد(1901090)</v>
      </c>
      <c r="V405" s="1">
        <v>956200295</v>
      </c>
      <c r="W405" s="1">
        <v>956200295</v>
      </c>
      <c r="X405" s="1" t="str">
        <f>"1395467571"</f>
        <v>1395467571</v>
      </c>
      <c r="Y405" s="1" t="str">
        <f>"95/12/07"</f>
        <v>95/12/07</v>
      </c>
      <c r="Z405" s="1" t="str">
        <f>"53620/د"</f>
        <v>53620/د</v>
      </c>
      <c r="AA405" s="1" t="str">
        <f>"بنيادمسكن انقلاب اسلامي"</f>
        <v>بنيادمسكن انقلاب اسلامي</v>
      </c>
      <c r="AB405" s="1" t="str">
        <f>"95/12/07"</f>
        <v>95/12/07</v>
      </c>
      <c r="AC405" s="1" t="str">
        <f>"استان تهران"</f>
        <v>استان تهران</v>
      </c>
      <c r="AD405" s="1" t="str">
        <f>"95/12/07"</f>
        <v>95/12/07</v>
      </c>
      <c r="AE405" s="1" t="str">
        <f t="shared" si="92"/>
        <v>اختتام</v>
      </c>
      <c r="AF405" s="1" t="str">
        <f>""</f>
        <v/>
      </c>
      <c r="AG405" s="1" t="str">
        <f>""</f>
        <v/>
      </c>
      <c r="AH405" s="1" t="str">
        <f>""</f>
        <v/>
      </c>
      <c r="AI405" s="1" t="str">
        <f>""</f>
        <v/>
      </c>
      <c r="AJ405" s="1" t="str">
        <f>""</f>
        <v/>
      </c>
      <c r="AK405" s="1" t="str">
        <f>""</f>
        <v/>
      </c>
    </row>
    <row r="406" spans="1:37" x14ac:dyDescent="0.2">
      <c r="A406" s="1">
        <v>411000</v>
      </c>
      <c r="B406" s="1">
        <v>956200325</v>
      </c>
      <c r="C406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406" s="1">
        <v>8848</v>
      </c>
      <c r="E406" s="1">
        <v>410140</v>
      </c>
      <c r="F406" s="1">
        <v>95</v>
      </c>
      <c r="G406" s="1">
        <v>860</v>
      </c>
      <c r="H406" s="1" t="str">
        <f>"95/12/14"</f>
        <v>95/12/14</v>
      </c>
      <c r="I406" s="1" t="str">
        <f t="shared" si="85"/>
        <v>كيلوگرم</v>
      </c>
      <c r="J406" s="1" t="str">
        <f t="shared" si="83"/>
        <v>0000000076</v>
      </c>
      <c r="K406" s="1" t="str">
        <f t="shared" si="84"/>
        <v>قير 60/70 - فله</v>
      </c>
      <c r="L406" s="1">
        <v>100</v>
      </c>
      <c r="M406" s="1" t="str">
        <f t="shared" si="86"/>
        <v>مخازن قير اصفهان</v>
      </c>
      <c r="N406" s="1">
        <v>10717</v>
      </c>
      <c r="O406" s="1">
        <v>50033994</v>
      </c>
      <c r="P406" s="1" t="str">
        <f>"  تعاوني نگين صحت جيرفت"</f>
        <v xml:space="preserve">  تعاوني نگين صحت جيرفت</v>
      </c>
      <c r="Q406" s="1">
        <v>62</v>
      </c>
      <c r="R406" s="1" t="str">
        <f>"فروش داخلي - سازمان بنيادمسكن انقلاب اسلامي"</f>
        <v>فروش داخلي - سازمان بنيادمسكن انقلاب اسلامي</v>
      </c>
      <c r="S406" s="1" t="str">
        <f t="shared" si="87"/>
        <v>قرارداد فروش</v>
      </c>
      <c r="T406" s="1" t="str">
        <f t="shared" si="88"/>
        <v>ندارد</v>
      </c>
      <c r="U406" s="1" t="str">
        <f>"دشت بشي پودنگ وبرادران رضا(4844014)"</f>
        <v>دشت بشي پودنگ وبرادران رضا(4844014)</v>
      </c>
      <c r="V406" s="1">
        <v>956200325</v>
      </c>
      <c r="W406" s="1">
        <v>956200325</v>
      </c>
      <c r="X406" s="1" t="str">
        <f>"1395468928"</f>
        <v>1395468928</v>
      </c>
      <c r="Y406" s="1" t="str">
        <f>"95/12/14"</f>
        <v>95/12/14</v>
      </c>
      <c r="Z406" s="1" t="str">
        <f>"54956/د"</f>
        <v>54956/د</v>
      </c>
      <c r="AA406" s="1" t="str">
        <f>"بنيادمسكن انقلاب اسلامي"</f>
        <v>بنيادمسكن انقلاب اسلامي</v>
      </c>
      <c r="AB406" s="1" t="str">
        <f>"95/12/14"</f>
        <v>95/12/14</v>
      </c>
      <c r="AC406" s="1" t="str">
        <f>"استان كرمان"</f>
        <v>استان كرمان</v>
      </c>
      <c r="AD406" s="1" t="str">
        <f>"95/12/14"</f>
        <v>95/12/14</v>
      </c>
      <c r="AE406" s="1" t="str">
        <f t="shared" si="92"/>
        <v>اختتام</v>
      </c>
      <c r="AF406" s="1" t="str">
        <f>""</f>
        <v/>
      </c>
      <c r="AG406" s="1" t="str">
        <f>""</f>
        <v/>
      </c>
      <c r="AH406" s="1" t="str">
        <f>""</f>
        <v/>
      </c>
      <c r="AI406" s="1" t="str">
        <f>""</f>
        <v/>
      </c>
      <c r="AJ406" s="1" t="str">
        <f>""</f>
        <v/>
      </c>
      <c r="AK406" s="1" t="str">
        <f>""</f>
        <v/>
      </c>
    </row>
    <row r="407" spans="1:37" x14ac:dyDescent="0.2">
      <c r="A407" s="1">
        <v>80000</v>
      </c>
      <c r="B407" s="1">
        <v>952000343</v>
      </c>
      <c r="C407" s="1" t="str">
        <f>"تخليه اصفهان حبيب آبادآخرشهيدشالباف كارخانه زينبيه فاضلي"</f>
        <v>تخليه اصفهان حبيب آبادآخرشهيدشالباف كارخانه زينبيه فاضلي</v>
      </c>
      <c r="D407" s="1">
        <v>9361</v>
      </c>
      <c r="E407" s="1">
        <v>79560</v>
      </c>
      <c r="F407" s="1">
        <v>95</v>
      </c>
      <c r="G407" s="1">
        <v>440</v>
      </c>
      <c r="H407" s="1" t="str">
        <f>"95/11/24"</f>
        <v>95/11/24</v>
      </c>
      <c r="I407" s="1" t="str">
        <f t="shared" si="85"/>
        <v>كيلوگرم</v>
      </c>
      <c r="J407" s="1" t="str">
        <f t="shared" si="83"/>
        <v>0000000076</v>
      </c>
      <c r="K407" s="1" t="str">
        <f t="shared" si="84"/>
        <v>قير 60/70 - فله</v>
      </c>
      <c r="L407" s="1">
        <v>100</v>
      </c>
      <c r="M407" s="1" t="str">
        <f t="shared" si="86"/>
        <v>مخازن قير اصفهان</v>
      </c>
      <c r="N407" s="1">
        <v>10737</v>
      </c>
      <c r="O407" s="1">
        <v>50033713</v>
      </c>
      <c r="P407" s="1" t="str">
        <f>"  شهرداري حبيب آباد"</f>
        <v xml:space="preserve">  شهرداري حبيب آباد</v>
      </c>
      <c r="Q407" s="1">
        <v>20</v>
      </c>
      <c r="R407" s="1" t="str">
        <f>"فروش داخلي - سازمان شهرداري ها و دهياري هاي كشور"</f>
        <v>فروش داخلي - سازمان شهرداري ها و دهياري هاي كشور</v>
      </c>
      <c r="S407" s="1" t="str">
        <f t="shared" si="87"/>
        <v>قرارداد فروش</v>
      </c>
      <c r="T407" s="1" t="str">
        <f t="shared" si="88"/>
        <v>ندارد</v>
      </c>
      <c r="U407" s="1" t="str">
        <f>"ريسماني حسن(1007ج89)"</f>
        <v>ريسماني حسن(1007ج89)</v>
      </c>
      <c r="V407" s="1">
        <v>952000343</v>
      </c>
      <c r="W407" s="1">
        <v>952000343</v>
      </c>
      <c r="X407" s="1" t="str">
        <f>"1395464562"</f>
        <v>1395464562</v>
      </c>
      <c r="Y407" s="1" t="str">
        <f>"95/11/24"</f>
        <v>95/11/24</v>
      </c>
      <c r="Z407" s="1" t="str">
        <f>"45432"</f>
        <v>45432</v>
      </c>
      <c r="AA407" s="1" t="str">
        <f>"شهرداريها"</f>
        <v>شهرداريها</v>
      </c>
      <c r="AB407" s="1" t="str">
        <f>"95/09/15"</f>
        <v>95/09/15</v>
      </c>
      <c r="AC407" s="1" t="str">
        <f>"استان اصفهان"</f>
        <v>استان اصفهان</v>
      </c>
      <c r="AD407" s="1" t="str">
        <f>"95/11/24"</f>
        <v>95/11/24</v>
      </c>
      <c r="AE407" s="1" t="str">
        <f t="shared" si="92"/>
        <v>اختتام</v>
      </c>
      <c r="AF407" s="1" t="str">
        <f>""</f>
        <v/>
      </c>
      <c r="AG407" s="1" t="str">
        <f>""</f>
        <v/>
      </c>
      <c r="AH407" s="1" t="str">
        <f>""</f>
        <v/>
      </c>
      <c r="AI407" s="1" t="str">
        <f>""</f>
        <v/>
      </c>
      <c r="AJ407" s="1" t="str">
        <f>""</f>
        <v/>
      </c>
      <c r="AK407" s="1" t="str">
        <f>""</f>
        <v/>
      </c>
    </row>
    <row r="408" spans="1:37" x14ac:dyDescent="0.2">
      <c r="A408" s="1">
        <v>109000</v>
      </c>
      <c r="B408" s="1">
        <v>952000142</v>
      </c>
      <c r="C408" s="1" t="str">
        <f>"تخليه اصفهان لنجان روبروي ذوب آهن كارخانه زرين سپاهان"</f>
        <v>تخليه اصفهان لنجان روبروي ذوب آهن كارخانه زرين سپاهان</v>
      </c>
      <c r="D408" s="1">
        <v>6976</v>
      </c>
      <c r="E408" s="1">
        <v>107880</v>
      </c>
      <c r="F408" s="1">
        <v>95</v>
      </c>
      <c r="G408" s="1">
        <v>1120</v>
      </c>
      <c r="H408" s="1" t="str">
        <f>"95/07/14"</f>
        <v>95/07/14</v>
      </c>
      <c r="I408" s="1" t="str">
        <f t="shared" si="85"/>
        <v>كيلوگرم</v>
      </c>
      <c r="J408" s="1" t="str">
        <f t="shared" si="83"/>
        <v>0000000076</v>
      </c>
      <c r="K408" s="1" t="str">
        <f t="shared" si="84"/>
        <v>قير 60/70 - فله</v>
      </c>
      <c r="L408" s="1">
        <v>100</v>
      </c>
      <c r="M408" s="1" t="str">
        <f t="shared" si="86"/>
        <v>مخازن قير اصفهان</v>
      </c>
      <c r="N408" s="1">
        <v>10658</v>
      </c>
      <c r="O408" s="1">
        <v>50032099</v>
      </c>
      <c r="P408" s="1" t="str">
        <f>"  شهرداري ورنامخواست"</f>
        <v xml:space="preserve">  شهرداري ورنامخواست</v>
      </c>
      <c r="Q408" s="1">
        <v>20</v>
      </c>
      <c r="R408" s="1" t="str">
        <f>"فروش داخلي - سازمان شهرداري ها و دهياري هاي كشور"</f>
        <v>فروش داخلي - سازمان شهرداري ها و دهياري هاي كشور</v>
      </c>
      <c r="S408" s="1" t="str">
        <f t="shared" si="87"/>
        <v>قرارداد فروش</v>
      </c>
      <c r="T408" s="1" t="str">
        <f t="shared" si="88"/>
        <v>ندارد</v>
      </c>
      <c r="U408" s="1" t="str">
        <f>"مرادي نجاتعلي(1020ج89)"</f>
        <v>مرادي نجاتعلي(1020ج89)</v>
      </c>
      <c r="V408" s="1">
        <v>952000142</v>
      </c>
      <c r="W408" s="1">
        <v>952000142</v>
      </c>
      <c r="X408" s="1" t="str">
        <f>"1395436486"</f>
        <v>1395436486</v>
      </c>
      <c r="Y408" s="1" t="str">
        <f>"95/07/14"</f>
        <v>95/07/14</v>
      </c>
      <c r="Z408" s="1" t="str">
        <f>"27749"</f>
        <v>27749</v>
      </c>
      <c r="AA408" s="1" t="str">
        <f>"شهرداريها"</f>
        <v>شهرداريها</v>
      </c>
      <c r="AB408" s="1" t="str">
        <f>"95/06/10"</f>
        <v>95/06/10</v>
      </c>
      <c r="AC408" s="1" t="str">
        <f>"استان اصفهان"</f>
        <v>استان اصفهان</v>
      </c>
      <c r="AD408" s="1" t="str">
        <f>"95/07/14"</f>
        <v>95/07/14</v>
      </c>
      <c r="AE408" s="1" t="str">
        <f t="shared" si="92"/>
        <v>اختتام</v>
      </c>
      <c r="AF408" s="1" t="str">
        <f>""</f>
        <v/>
      </c>
      <c r="AG408" s="1" t="str">
        <f>""</f>
        <v/>
      </c>
      <c r="AH408" s="1" t="str">
        <f>""</f>
        <v/>
      </c>
      <c r="AI408" s="1" t="str">
        <f>""</f>
        <v/>
      </c>
      <c r="AJ408" s="1" t="str">
        <f>""</f>
        <v/>
      </c>
      <c r="AK408" s="1" t="str">
        <f>""</f>
        <v/>
      </c>
    </row>
    <row r="409" spans="1:37" x14ac:dyDescent="0.2">
      <c r="A409" s="1">
        <v>73000</v>
      </c>
      <c r="B409" s="1">
        <v>952000327</v>
      </c>
      <c r="C409" s="1" t="str">
        <f>"تخليه اصفهان محوراصفهان اردستان جاده روستاي عباس آبادجنب ايستگاه راه آهن"</f>
        <v>تخليه اصفهان محوراصفهان اردستان جاده روستاي عباس آبادجنب ايستگاه راه آهن</v>
      </c>
      <c r="D409" s="1">
        <v>9361</v>
      </c>
      <c r="E409" s="1">
        <v>72160</v>
      </c>
      <c r="F409" s="1">
        <v>95</v>
      </c>
      <c r="G409" s="1">
        <v>840</v>
      </c>
      <c r="H409" s="1" t="str">
        <f>"95/11/23"</f>
        <v>95/11/23</v>
      </c>
      <c r="I409" s="1" t="str">
        <f t="shared" si="85"/>
        <v>كيلوگرم</v>
      </c>
      <c r="J409" s="1" t="str">
        <f t="shared" si="83"/>
        <v>0000000076</v>
      </c>
      <c r="K409" s="1" t="str">
        <f t="shared" si="84"/>
        <v>قير 60/70 - فله</v>
      </c>
      <c r="L409" s="1">
        <v>100</v>
      </c>
      <c r="M409" s="1" t="str">
        <f t="shared" si="86"/>
        <v>مخازن قير اصفهان</v>
      </c>
      <c r="N409" s="1">
        <v>10662</v>
      </c>
      <c r="O409" s="1">
        <v>50033684</v>
      </c>
      <c r="P409" s="1" t="str">
        <f>"  شهرداري كمشچه"</f>
        <v xml:space="preserve">  شهرداري كمشچه</v>
      </c>
      <c r="Q409" s="1">
        <v>20</v>
      </c>
      <c r="R409" s="1" t="str">
        <f>"فروش داخلي - سازمان شهرداري ها و دهياري هاي كشور"</f>
        <v>فروش داخلي - سازمان شهرداري ها و دهياري هاي كشور</v>
      </c>
      <c r="S409" s="1" t="str">
        <f t="shared" si="87"/>
        <v>قرارداد فروش</v>
      </c>
      <c r="T409" s="1" t="str">
        <f t="shared" si="88"/>
        <v>ندارد</v>
      </c>
      <c r="U409" s="1" t="str">
        <f>"ريسماني حسن(1007ج89)"</f>
        <v>ريسماني حسن(1007ج89)</v>
      </c>
      <c r="V409" s="1">
        <v>952000327</v>
      </c>
      <c r="W409" s="1">
        <v>952000327</v>
      </c>
      <c r="X409" s="1" t="str">
        <f>"1395464401"</f>
        <v>1395464401</v>
      </c>
      <c r="Y409" s="1" t="str">
        <f>"95/11/23"</f>
        <v>95/11/23</v>
      </c>
      <c r="Z409" s="1" t="str">
        <f>"43397"</f>
        <v>43397</v>
      </c>
      <c r="AA409" s="1" t="str">
        <f>"شهرداريها"</f>
        <v>شهرداريها</v>
      </c>
      <c r="AB409" s="1" t="str">
        <f>"95/09/02"</f>
        <v>95/09/02</v>
      </c>
      <c r="AC409" s="1" t="str">
        <f>"استان اصفهان"</f>
        <v>استان اصفهان</v>
      </c>
      <c r="AD409" s="1" t="str">
        <f>"95/11/23"</f>
        <v>95/11/23</v>
      </c>
      <c r="AE409" s="1" t="str">
        <f t="shared" si="92"/>
        <v>اختتام</v>
      </c>
      <c r="AF409" s="1" t="str">
        <f>""</f>
        <v/>
      </c>
      <c r="AG409" s="1" t="str">
        <f>""</f>
        <v/>
      </c>
      <c r="AH409" s="1" t="str">
        <f>""</f>
        <v/>
      </c>
      <c r="AI409" s="1" t="str">
        <f>""</f>
        <v/>
      </c>
      <c r="AJ409" s="1" t="str">
        <f>""</f>
        <v/>
      </c>
      <c r="AK409" s="1" t="str">
        <f>""</f>
        <v/>
      </c>
    </row>
    <row r="410" spans="1:37" x14ac:dyDescent="0.2">
      <c r="A410" s="1">
        <v>94000</v>
      </c>
      <c r="B410" s="1">
        <v>956200291</v>
      </c>
      <c r="C410" s="1" t="str">
        <f>"تخليه - کرمانشاه -صحنه - کيلومتر 7 کرمانشاه صحنه - روستاي هاشم آباد شرکت زاگرس راه نصر"</f>
        <v>تخليه - کرمانشاه -صحنه - کيلومتر 7 کرمانشاه صحنه - روستاي هاشم آباد شرکت زاگرس راه نصر</v>
      </c>
      <c r="D410" s="1">
        <v>8848</v>
      </c>
      <c r="E410" s="1">
        <v>94000</v>
      </c>
      <c r="F410" s="1">
        <v>95</v>
      </c>
      <c r="G410" s="1">
        <v>0</v>
      </c>
      <c r="H410" s="1" t="str">
        <f>"95/12/07"</f>
        <v>95/12/07</v>
      </c>
      <c r="I410" s="1" t="str">
        <f t="shared" si="85"/>
        <v>كيلوگرم</v>
      </c>
      <c r="J410" s="1" t="str">
        <f t="shared" si="83"/>
        <v>0000000076</v>
      </c>
      <c r="K410" s="1" t="str">
        <f t="shared" si="84"/>
        <v>قير 60/70 - فله</v>
      </c>
      <c r="L410" s="1">
        <v>100</v>
      </c>
      <c r="M410" s="1" t="str">
        <f t="shared" si="86"/>
        <v>مخازن قير اصفهان</v>
      </c>
      <c r="N410" s="1">
        <v>11279</v>
      </c>
      <c r="O410" s="1">
        <v>50033883</v>
      </c>
      <c r="P410" s="1" t="str">
        <f>"  ترسيم راه پارس"</f>
        <v xml:space="preserve">  ترسيم راه پارس</v>
      </c>
      <c r="Q410" s="1">
        <v>62</v>
      </c>
      <c r="R410" s="1" t="str">
        <f t="shared" ref="R410:R417" si="93">"فروش داخلي - سازمان بنيادمسكن انقلاب اسلامي"</f>
        <v>فروش داخلي - سازمان بنيادمسكن انقلاب اسلامي</v>
      </c>
      <c r="S410" s="1" t="str">
        <f t="shared" si="87"/>
        <v>قرارداد فروش</v>
      </c>
      <c r="T410" s="1" t="str">
        <f t="shared" si="88"/>
        <v>ندارد</v>
      </c>
      <c r="U410" s="1" t="str">
        <f>"عظيمي محمد(2842015)"</f>
        <v>عظيمي محمد(2842015)</v>
      </c>
      <c r="V410" s="1">
        <v>956200291</v>
      </c>
      <c r="W410" s="1">
        <v>956200291</v>
      </c>
      <c r="X410" s="1" t="str">
        <f>"1395467571"</f>
        <v>1395467571</v>
      </c>
      <c r="Y410" s="1" t="str">
        <f>"95/12/07"</f>
        <v>95/12/07</v>
      </c>
      <c r="Z410" s="1" t="str">
        <f>"53601/د"</f>
        <v>53601/د</v>
      </c>
      <c r="AA410" s="1" t="str">
        <f t="shared" ref="AA410:AA417" si="94">"بنيادمسكن انقلاب اسلامي"</f>
        <v>بنيادمسكن انقلاب اسلامي</v>
      </c>
      <c r="AB410" s="1" t="str">
        <f>"95/12/07"</f>
        <v>95/12/07</v>
      </c>
      <c r="AC410" s="1" t="str">
        <f>"استان كرمانشاه"</f>
        <v>استان كرمانشاه</v>
      </c>
      <c r="AD410" s="1" t="str">
        <f>"95/12/07"</f>
        <v>95/12/07</v>
      </c>
      <c r="AE410" s="1" t="str">
        <f t="shared" si="92"/>
        <v>اختتام</v>
      </c>
      <c r="AF410" s="1" t="str">
        <f>""</f>
        <v/>
      </c>
      <c r="AG410" s="1" t="str">
        <f>""</f>
        <v/>
      </c>
      <c r="AH410" s="1" t="str">
        <f>""</f>
        <v/>
      </c>
      <c r="AI410" s="1" t="str">
        <f>""</f>
        <v/>
      </c>
      <c r="AJ410" s="1" t="str">
        <f>""</f>
        <v/>
      </c>
      <c r="AK410" s="1" t="str">
        <f>""</f>
        <v/>
      </c>
    </row>
    <row r="411" spans="1:37" x14ac:dyDescent="0.2">
      <c r="A411" s="1">
        <v>221000</v>
      </c>
      <c r="B411" s="1">
        <v>956200397</v>
      </c>
      <c r="C411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411" s="1">
        <v>8848</v>
      </c>
      <c r="E411" s="1">
        <v>219860</v>
      </c>
      <c r="F411" s="1">
        <v>95</v>
      </c>
      <c r="G411" s="1">
        <v>1140</v>
      </c>
      <c r="H411" s="1" t="str">
        <f>"95/12/25"</f>
        <v>95/12/25</v>
      </c>
      <c r="I411" s="1" t="str">
        <f t="shared" si="85"/>
        <v>كيلوگرم</v>
      </c>
      <c r="J411" s="1" t="str">
        <f t="shared" si="83"/>
        <v>0000000076</v>
      </c>
      <c r="K411" s="1" t="str">
        <f t="shared" si="84"/>
        <v>قير 60/70 - فله</v>
      </c>
      <c r="L411" s="1">
        <v>100</v>
      </c>
      <c r="M411" s="1" t="str">
        <f t="shared" si="86"/>
        <v>مخازن قير اصفهان</v>
      </c>
      <c r="N411" s="1">
        <v>11288</v>
      </c>
      <c r="O411" s="1">
        <v>50034219</v>
      </c>
      <c r="P411" s="1" t="str">
        <f>"  آسفالت گستران زنگلان"</f>
        <v xml:space="preserve">  آسفالت گستران زنگلان</v>
      </c>
      <c r="Q411" s="1">
        <v>62</v>
      </c>
      <c r="R411" s="1" t="str">
        <f t="shared" si="93"/>
        <v>فروش داخلي - سازمان بنيادمسكن انقلاب اسلامي</v>
      </c>
      <c r="S411" s="1" t="str">
        <f t="shared" si="87"/>
        <v>قرارداد فروش</v>
      </c>
      <c r="T411" s="1" t="str">
        <f t="shared" si="88"/>
        <v>ندارد</v>
      </c>
      <c r="U411" s="1" t="str">
        <f>"دهقانيان بيژن (4954038)"</f>
        <v>دهقانيان بيژن (4954038)</v>
      </c>
      <c r="V411" s="1">
        <v>956200397</v>
      </c>
      <c r="W411" s="1">
        <v>956200397</v>
      </c>
      <c r="X411" s="1" t="str">
        <f>"1395470894"</f>
        <v>1395470894</v>
      </c>
      <c r="Y411" s="1" t="str">
        <f>"95/12/25"</f>
        <v>95/12/25</v>
      </c>
      <c r="Z411" s="1" t="str">
        <f>"56979/د"</f>
        <v>56979/د</v>
      </c>
      <c r="AA411" s="1" t="str">
        <f t="shared" si="94"/>
        <v>بنيادمسكن انقلاب اسلامي</v>
      </c>
      <c r="AB411" s="1" t="str">
        <f>"95/12/22"</f>
        <v>95/12/22</v>
      </c>
      <c r="AC411" s="1" t="str">
        <f>"استان كرمان"</f>
        <v>استان كرمان</v>
      </c>
      <c r="AD411" s="1" t="str">
        <f>"95/12/23"</f>
        <v>95/12/23</v>
      </c>
      <c r="AE411" s="1" t="str">
        <f t="shared" si="92"/>
        <v>اختتام</v>
      </c>
      <c r="AF411" s="1" t="str">
        <f>""</f>
        <v/>
      </c>
      <c r="AG411" s="1" t="str">
        <f>""</f>
        <v/>
      </c>
      <c r="AH411" s="1" t="str">
        <f>""</f>
        <v/>
      </c>
      <c r="AI411" s="1" t="str">
        <f>""</f>
        <v/>
      </c>
      <c r="AJ411" s="1" t="str">
        <f>""</f>
        <v/>
      </c>
      <c r="AK411" s="1" t="str">
        <f>""</f>
        <v/>
      </c>
    </row>
    <row r="412" spans="1:37" x14ac:dyDescent="0.2">
      <c r="A412" s="1">
        <v>95000</v>
      </c>
      <c r="B412" s="1">
        <v>956200333</v>
      </c>
      <c r="C412" s="1" t="str">
        <f>"تخليه - تهران-دماوند-گيلاوند-انتهاي خيابان سپاه-کيلومتر 5 جاده روستاي زره در-کارخانه آسفالت پارس دماوند"</f>
        <v>تخليه - تهران-دماوند-گيلاوند-انتهاي خيابان سپاه-کيلومتر 5 جاده روستاي زره در-کارخانه آسفالت پارس دماوند</v>
      </c>
      <c r="D412" s="1">
        <v>8848</v>
      </c>
      <c r="E412" s="1">
        <v>94300</v>
      </c>
      <c r="F412" s="1">
        <v>95</v>
      </c>
      <c r="G412" s="1">
        <v>700</v>
      </c>
      <c r="H412" s="1" t="str">
        <f>"95/12/15"</f>
        <v>95/12/15</v>
      </c>
      <c r="I412" s="1" t="str">
        <f t="shared" si="85"/>
        <v>كيلوگرم</v>
      </c>
      <c r="J412" s="1" t="str">
        <f t="shared" si="83"/>
        <v>0000000076</v>
      </c>
      <c r="K412" s="1" t="str">
        <f t="shared" si="84"/>
        <v>قير 60/70 - فله</v>
      </c>
      <c r="L412" s="1">
        <v>100</v>
      </c>
      <c r="M412" s="1" t="str">
        <f t="shared" si="86"/>
        <v>مخازن قير اصفهان</v>
      </c>
      <c r="N412" s="1">
        <v>11290</v>
      </c>
      <c r="O412" s="1">
        <v>50034006</v>
      </c>
      <c r="P412" s="1" t="str">
        <f>"  عرصه عمران اقبال"</f>
        <v xml:space="preserve">  عرصه عمران اقبال</v>
      </c>
      <c r="Q412" s="1">
        <v>62</v>
      </c>
      <c r="R412" s="1" t="str">
        <f t="shared" si="93"/>
        <v>فروش داخلي - سازمان بنيادمسكن انقلاب اسلامي</v>
      </c>
      <c r="S412" s="1" t="str">
        <f t="shared" si="87"/>
        <v>قرارداد فروش</v>
      </c>
      <c r="T412" s="1" t="str">
        <f t="shared" si="88"/>
        <v>ندارد</v>
      </c>
      <c r="U412" s="1" t="str">
        <f>"فتحي حميد(1901090)"</f>
        <v>فتحي حميد(1901090)</v>
      </c>
      <c r="V412" s="1">
        <v>956200333</v>
      </c>
      <c r="W412" s="1">
        <v>956200333</v>
      </c>
      <c r="X412" s="1" t="str">
        <f>"1395469073"</f>
        <v>1395469073</v>
      </c>
      <c r="Y412" s="1" t="str">
        <f>"95/12/15"</f>
        <v>95/12/15</v>
      </c>
      <c r="Z412" s="1" t="str">
        <f>"55124/د"</f>
        <v>55124/د</v>
      </c>
      <c r="AA412" s="1" t="str">
        <f t="shared" si="94"/>
        <v>بنيادمسكن انقلاب اسلامي</v>
      </c>
      <c r="AB412" s="1" t="str">
        <f>"95/12/14"</f>
        <v>95/12/14</v>
      </c>
      <c r="AC412" s="1" t="str">
        <f>"استان تهران"</f>
        <v>استان تهران</v>
      </c>
      <c r="AD412" s="1" t="str">
        <f>"95/12/15"</f>
        <v>95/12/15</v>
      </c>
      <c r="AE412" s="1" t="str">
        <f t="shared" si="92"/>
        <v>اختتام</v>
      </c>
      <c r="AF412" s="1" t="str">
        <f>""</f>
        <v/>
      </c>
      <c r="AG412" s="1" t="str">
        <f>""</f>
        <v/>
      </c>
      <c r="AH412" s="1" t="str">
        <f>""</f>
        <v/>
      </c>
      <c r="AI412" s="1" t="str">
        <f>""</f>
        <v/>
      </c>
      <c r="AJ412" s="1" t="str">
        <f>""</f>
        <v/>
      </c>
      <c r="AK412" s="1" t="str">
        <f>""</f>
        <v/>
      </c>
    </row>
    <row r="413" spans="1:37" x14ac:dyDescent="0.2">
      <c r="A413" s="1">
        <v>284000</v>
      </c>
      <c r="B413" s="1">
        <v>956200334</v>
      </c>
      <c r="C413" s="1" t="str">
        <f>"تخليه - تهران-دماوند-گيلاوند-انتهاي خيابان سپاه-کيلومتر 5 جاده روستاي زره در-کارخانه آسفالت پارس دماوند"</f>
        <v>تخليه - تهران-دماوند-گيلاوند-انتهاي خيابان سپاه-کيلومتر 5 جاده روستاي زره در-کارخانه آسفالت پارس دماوند</v>
      </c>
      <c r="D413" s="1">
        <v>8848</v>
      </c>
      <c r="E413" s="1">
        <v>282740</v>
      </c>
      <c r="F413" s="1">
        <v>95</v>
      </c>
      <c r="G413" s="1">
        <v>1260</v>
      </c>
      <c r="H413" s="1" t="str">
        <f>"95/12/15"</f>
        <v>95/12/15</v>
      </c>
      <c r="I413" s="1" t="str">
        <f t="shared" si="85"/>
        <v>كيلوگرم</v>
      </c>
      <c r="J413" s="1" t="str">
        <f t="shared" si="83"/>
        <v>0000000076</v>
      </c>
      <c r="K413" s="1" t="str">
        <f t="shared" si="84"/>
        <v>قير 60/70 - فله</v>
      </c>
      <c r="L413" s="1">
        <v>100</v>
      </c>
      <c r="M413" s="1" t="str">
        <f t="shared" si="86"/>
        <v>مخازن قير اصفهان</v>
      </c>
      <c r="N413" s="1">
        <v>11290</v>
      </c>
      <c r="O413" s="1">
        <v>50034007</v>
      </c>
      <c r="P413" s="1" t="str">
        <f>"  عرصه عمران اقبال"</f>
        <v xml:space="preserve">  عرصه عمران اقبال</v>
      </c>
      <c r="Q413" s="1">
        <v>62</v>
      </c>
      <c r="R413" s="1" t="str">
        <f t="shared" si="93"/>
        <v>فروش داخلي - سازمان بنيادمسكن انقلاب اسلامي</v>
      </c>
      <c r="S413" s="1" t="str">
        <f t="shared" si="87"/>
        <v>قرارداد فروش</v>
      </c>
      <c r="T413" s="1" t="str">
        <f t="shared" si="88"/>
        <v>ندارد</v>
      </c>
      <c r="U413" s="1" t="str">
        <f>"فتحي حميد(1901090)"</f>
        <v>فتحي حميد(1901090)</v>
      </c>
      <c r="V413" s="1">
        <v>956200334</v>
      </c>
      <c r="W413" s="1">
        <v>956200334</v>
      </c>
      <c r="X413" s="1" t="str">
        <f>"1395469073"</f>
        <v>1395469073</v>
      </c>
      <c r="Y413" s="1" t="str">
        <f>"95/12/15"</f>
        <v>95/12/15</v>
      </c>
      <c r="Z413" s="1" t="str">
        <f>"55125/د"</f>
        <v>55125/د</v>
      </c>
      <c r="AA413" s="1" t="str">
        <f t="shared" si="94"/>
        <v>بنيادمسكن انقلاب اسلامي</v>
      </c>
      <c r="AB413" s="1" t="str">
        <f>"95/12/14"</f>
        <v>95/12/14</v>
      </c>
      <c r="AC413" s="1" t="str">
        <f>"استان تهران"</f>
        <v>استان تهران</v>
      </c>
      <c r="AD413" s="1" t="str">
        <f>"95/12/15"</f>
        <v>95/12/15</v>
      </c>
      <c r="AE413" s="1" t="str">
        <f t="shared" si="92"/>
        <v>اختتام</v>
      </c>
      <c r="AF413" s="1" t="str">
        <f>""</f>
        <v/>
      </c>
      <c r="AG413" s="1" t="str">
        <f>""</f>
        <v/>
      </c>
      <c r="AH413" s="1" t="str">
        <f>""</f>
        <v/>
      </c>
      <c r="AI413" s="1" t="str">
        <f>""</f>
        <v/>
      </c>
      <c r="AJ413" s="1" t="str">
        <f>""</f>
        <v/>
      </c>
      <c r="AK413" s="1" t="str">
        <f>""</f>
        <v/>
      </c>
    </row>
    <row r="414" spans="1:37" x14ac:dyDescent="0.2">
      <c r="A414" s="1">
        <v>432000</v>
      </c>
      <c r="B414" s="1">
        <v>956200360</v>
      </c>
      <c r="C414" s="1" t="str">
        <f>"تخليه - هرمزگان-جاده بندر عباس-سيرجان دوراهي گهکم کيلومتر 5 جاده شيراز بندرعباس-روستاي هاشم آباد"</f>
        <v>تخليه - هرمزگان-جاده بندر عباس-سيرجان دوراهي گهکم کيلومتر 5 جاده شيراز بندرعباس-روستاي هاشم آباد</v>
      </c>
      <c r="D414" s="1">
        <v>8848</v>
      </c>
      <c r="E414" s="1">
        <v>430920</v>
      </c>
      <c r="F414" s="1">
        <v>95</v>
      </c>
      <c r="G414" s="1">
        <v>1080</v>
      </c>
      <c r="H414" s="1" t="str">
        <f>"95/12/23"</f>
        <v>95/12/23</v>
      </c>
      <c r="I414" s="1" t="str">
        <f t="shared" si="85"/>
        <v>كيلوگرم</v>
      </c>
      <c r="J414" s="1" t="str">
        <f t="shared" si="83"/>
        <v>0000000076</v>
      </c>
      <c r="K414" s="1" t="str">
        <f t="shared" si="84"/>
        <v>قير 60/70 - فله</v>
      </c>
      <c r="L414" s="1">
        <v>100</v>
      </c>
      <c r="M414" s="1" t="str">
        <f t="shared" si="86"/>
        <v>مخازن قير اصفهان</v>
      </c>
      <c r="N414" s="1">
        <v>11299</v>
      </c>
      <c r="O414" s="1">
        <v>50034146</v>
      </c>
      <c r="P414" s="1" t="str">
        <f>"  ميعاد گستر مهر سمنگان"</f>
        <v xml:space="preserve">  ميعاد گستر مهر سمنگان</v>
      </c>
      <c r="Q414" s="1">
        <v>62</v>
      </c>
      <c r="R414" s="1" t="str">
        <f t="shared" si="93"/>
        <v>فروش داخلي - سازمان بنيادمسكن انقلاب اسلامي</v>
      </c>
      <c r="S414" s="1" t="str">
        <f t="shared" si="87"/>
        <v>قرارداد فروش</v>
      </c>
      <c r="T414" s="1" t="str">
        <f t="shared" si="88"/>
        <v>ندارد</v>
      </c>
      <c r="U414" s="1" t="str">
        <f>"حاصليان ترابرجنوب مرتضي حاصلي (4844006)"</f>
        <v>حاصليان ترابرجنوب مرتضي حاصلي (4844006)</v>
      </c>
      <c r="V414" s="1">
        <v>956200360</v>
      </c>
      <c r="W414" s="1">
        <v>956200360</v>
      </c>
      <c r="X414" s="1" t="str">
        <f>"1395470439"</f>
        <v>1395470439</v>
      </c>
      <c r="Y414" s="1" t="str">
        <f>"95/12/23"</f>
        <v>95/12/23</v>
      </c>
      <c r="Z414" s="1" t="str">
        <f>"56554/د"</f>
        <v>56554/د</v>
      </c>
      <c r="AA414" s="1" t="str">
        <f t="shared" si="94"/>
        <v>بنيادمسكن انقلاب اسلامي</v>
      </c>
      <c r="AB414" s="1" t="str">
        <f>"95/12/21"</f>
        <v>95/12/21</v>
      </c>
      <c r="AC414" s="1" t="str">
        <f>"استان كرمان"</f>
        <v>استان كرمان</v>
      </c>
      <c r="AD414" s="1" t="str">
        <f>"95/12/22"</f>
        <v>95/12/22</v>
      </c>
      <c r="AE414" s="1" t="str">
        <f t="shared" si="92"/>
        <v>اختتام</v>
      </c>
      <c r="AF414" s="1" t="str">
        <f>""</f>
        <v/>
      </c>
      <c r="AG414" s="1" t="str">
        <f>""</f>
        <v/>
      </c>
      <c r="AH414" s="1" t="str">
        <f>""</f>
        <v/>
      </c>
      <c r="AI414" s="1" t="str">
        <f>""</f>
        <v/>
      </c>
      <c r="AJ414" s="1" t="str">
        <f>""</f>
        <v/>
      </c>
      <c r="AK414" s="1" t="str">
        <f>""</f>
        <v/>
      </c>
    </row>
    <row r="415" spans="1:37" x14ac:dyDescent="0.2">
      <c r="A415" s="1">
        <v>85000</v>
      </c>
      <c r="B415" s="1">
        <v>956200382</v>
      </c>
      <c r="C415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415" s="1">
        <v>8848</v>
      </c>
      <c r="E415" s="1">
        <v>85000</v>
      </c>
      <c r="F415" s="1">
        <v>95</v>
      </c>
      <c r="G415" s="1">
        <v>0</v>
      </c>
      <c r="H415" s="1" t="str">
        <f>"95/12/24"</f>
        <v>95/12/24</v>
      </c>
      <c r="I415" s="1" t="str">
        <f t="shared" si="85"/>
        <v>كيلوگرم</v>
      </c>
      <c r="J415" s="1" t="str">
        <f t="shared" si="83"/>
        <v>0000000076</v>
      </c>
      <c r="K415" s="1" t="str">
        <f t="shared" si="84"/>
        <v>قير 60/70 - فله</v>
      </c>
      <c r="L415" s="1">
        <v>100</v>
      </c>
      <c r="M415" s="1" t="str">
        <f t="shared" si="86"/>
        <v>مخازن قير اصفهان</v>
      </c>
      <c r="N415" s="1">
        <v>11303</v>
      </c>
      <c r="O415" s="1">
        <v>50034193</v>
      </c>
      <c r="P415" s="1" t="str">
        <f>"  برج و پل کيميا"</f>
        <v xml:space="preserve">  برج و پل کيميا</v>
      </c>
      <c r="Q415" s="1">
        <v>62</v>
      </c>
      <c r="R415" s="1" t="str">
        <f t="shared" si="93"/>
        <v>فروش داخلي - سازمان بنيادمسكن انقلاب اسلامي</v>
      </c>
      <c r="S415" s="1" t="str">
        <f t="shared" si="87"/>
        <v>قرارداد فروش</v>
      </c>
      <c r="T415" s="1" t="str">
        <f t="shared" si="88"/>
        <v>ندارد</v>
      </c>
      <c r="U415" s="1" t="str">
        <f>"ميهن دوست عبداله(2842010)"</f>
        <v>ميهن دوست عبداله(2842010)</v>
      </c>
      <c r="V415" s="1">
        <v>956200382</v>
      </c>
      <c r="W415" s="1">
        <v>956200382</v>
      </c>
      <c r="X415" s="1" t="str">
        <f>"1395470885"</f>
        <v>1395470885</v>
      </c>
      <c r="Y415" s="1" t="str">
        <f>"95/12/24"</f>
        <v>95/12/24</v>
      </c>
      <c r="Z415" s="1" t="str">
        <f>"57042/د"</f>
        <v>57042/د</v>
      </c>
      <c r="AA415" s="1" t="str">
        <f t="shared" si="94"/>
        <v>بنيادمسكن انقلاب اسلامي</v>
      </c>
      <c r="AB415" s="1" t="str">
        <f>"95/12/22"</f>
        <v>95/12/22</v>
      </c>
      <c r="AC415" s="1" t="str">
        <f>"استان كرمانشاه"</f>
        <v>استان كرمانشاه</v>
      </c>
      <c r="AD415" s="1" t="str">
        <f>"95/12/23"</f>
        <v>95/12/23</v>
      </c>
      <c r="AE415" s="1" t="str">
        <f t="shared" si="92"/>
        <v>اختتام</v>
      </c>
      <c r="AF415" s="1" t="str">
        <f>""</f>
        <v/>
      </c>
      <c r="AG415" s="1" t="str">
        <f>""</f>
        <v/>
      </c>
      <c r="AH415" s="1" t="str">
        <f>""</f>
        <v/>
      </c>
      <c r="AI415" s="1" t="str">
        <f>""</f>
        <v/>
      </c>
      <c r="AJ415" s="1" t="str">
        <f>""</f>
        <v/>
      </c>
      <c r="AK415" s="1" t="str">
        <f>""</f>
        <v/>
      </c>
    </row>
    <row r="416" spans="1:37" x14ac:dyDescent="0.2">
      <c r="A416" s="1">
        <v>108000</v>
      </c>
      <c r="B416" s="1">
        <v>956200388</v>
      </c>
      <c r="C416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416" s="1">
        <v>8848</v>
      </c>
      <c r="E416" s="1">
        <v>108000</v>
      </c>
      <c r="F416" s="1">
        <v>95</v>
      </c>
      <c r="G416" s="1">
        <v>0</v>
      </c>
      <c r="H416" s="1" t="str">
        <f>"95/12/24"</f>
        <v>95/12/24</v>
      </c>
      <c r="I416" s="1" t="str">
        <f t="shared" si="85"/>
        <v>كيلوگرم</v>
      </c>
      <c r="J416" s="1" t="str">
        <f t="shared" si="83"/>
        <v>0000000076</v>
      </c>
      <c r="K416" s="1" t="str">
        <f t="shared" si="84"/>
        <v>قير 60/70 - فله</v>
      </c>
      <c r="L416" s="1">
        <v>100</v>
      </c>
      <c r="M416" s="1" t="str">
        <f t="shared" si="86"/>
        <v>مخازن قير اصفهان</v>
      </c>
      <c r="N416" s="1">
        <v>11306</v>
      </c>
      <c r="O416" s="1">
        <v>50034209</v>
      </c>
      <c r="P416" s="1" t="str">
        <f>"  رابين راه امير"</f>
        <v xml:space="preserve">  رابين راه امير</v>
      </c>
      <c r="Q416" s="1">
        <v>62</v>
      </c>
      <c r="R416" s="1" t="str">
        <f t="shared" si="93"/>
        <v>فروش داخلي - سازمان بنيادمسكن انقلاب اسلامي</v>
      </c>
      <c r="S416" s="1" t="str">
        <f t="shared" si="87"/>
        <v>قرارداد فروش</v>
      </c>
      <c r="T416" s="1" t="str">
        <f t="shared" si="88"/>
        <v>ندارد</v>
      </c>
      <c r="U416" s="1" t="str">
        <f>"حاجيلوئي علي اصغر(2842019)"</f>
        <v>حاجيلوئي علي اصغر(2842019)</v>
      </c>
      <c r="V416" s="1">
        <v>956200388</v>
      </c>
      <c r="W416" s="1">
        <v>956200388</v>
      </c>
      <c r="X416" s="1" t="str">
        <f>"1395470885"</f>
        <v>1395470885</v>
      </c>
      <c r="Y416" s="1" t="str">
        <f>"95/12/24"</f>
        <v>95/12/24</v>
      </c>
      <c r="Z416" s="1" t="str">
        <f>"57107/د"</f>
        <v>57107/د</v>
      </c>
      <c r="AA416" s="1" t="str">
        <f t="shared" si="94"/>
        <v>بنيادمسكن انقلاب اسلامي</v>
      </c>
      <c r="AB416" s="1" t="str">
        <f>"95/12/22"</f>
        <v>95/12/22</v>
      </c>
      <c r="AC416" s="1" t="str">
        <f>"استان كرمانشاه"</f>
        <v>استان كرمانشاه</v>
      </c>
      <c r="AD416" s="1" t="str">
        <f>"95/12/23"</f>
        <v>95/12/23</v>
      </c>
      <c r="AE416" s="1" t="str">
        <f t="shared" si="92"/>
        <v>اختتام</v>
      </c>
      <c r="AF416" s="1" t="str">
        <f>""</f>
        <v/>
      </c>
      <c r="AG416" s="1" t="str">
        <f>""</f>
        <v/>
      </c>
      <c r="AH416" s="1" t="str">
        <f>""</f>
        <v/>
      </c>
      <c r="AI416" s="1" t="str">
        <f>""</f>
        <v/>
      </c>
      <c r="AJ416" s="1" t="str">
        <f>""</f>
        <v/>
      </c>
      <c r="AK416" s="1" t="str">
        <f>""</f>
        <v/>
      </c>
    </row>
    <row r="417" spans="1:37" x14ac:dyDescent="0.2">
      <c r="A417" s="1">
        <v>310000</v>
      </c>
      <c r="B417" s="1">
        <v>956200402</v>
      </c>
      <c r="C417" s="1" t="str">
        <f>"تخليه - کرمان-جاده جيرفت -کهنوج بعداز پل بهادرآباد-کارخانه آسفالت"</f>
        <v>تخليه - کرمان-جاده جيرفت -کهنوج بعداز پل بهادرآباد-کارخانه آسفالت</v>
      </c>
      <c r="D417" s="1">
        <v>8848</v>
      </c>
      <c r="E417" s="1">
        <v>309780</v>
      </c>
      <c r="F417" s="1">
        <v>95</v>
      </c>
      <c r="G417" s="1">
        <v>220</v>
      </c>
      <c r="H417" s="1" t="str">
        <f>"95/12/25"</f>
        <v>95/12/25</v>
      </c>
      <c r="I417" s="1" t="str">
        <f t="shared" si="85"/>
        <v>كيلوگرم</v>
      </c>
      <c r="J417" s="1" t="str">
        <f t="shared" si="83"/>
        <v>0000000076</v>
      </c>
      <c r="K417" s="1" t="str">
        <f t="shared" si="84"/>
        <v>قير 60/70 - فله</v>
      </c>
      <c r="L417" s="1">
        <v>100</v>
      </c>
      <c r="M417" s="1" t="str">
        <f t="shared" si="86"/>
        <v>مخازن قير اصفهان</v>
      </c>
      <c r="N417" s="1">
        <v>11309</v>
      </c>
      <c r="O417" s="1">
        <v>50034248</v>
      </c>
      <c r="P417" s="1" t="str">
        <f>"  بهين راه کارمانيا"</f>
        <v xml:space="preserve">  بهين راه کارمانيا</v>
      </c>
      <c r="Q417" s="1">
        <v>62</v>
      </c>
      <c r="R417" s="1" t="str">
        <f t="shared" si="93"/>
        <v>فروش داخلي - سازمان بنيادمسكن انقلاب اسلامي</v>
      </c>
      <c r="S417" s="1" t="str">
        <f t="shared" si="87"/>
        <v>قرارداد فروش</v>
      </c>
      <c r="T417" s="1" t="str">
        <f t="shared" si="88"/>
        <v>ندارد</v>
      </c>
      <c r="U417" s="1" t="str">
        <f>"دهقانيان بيژن (4954038)"</f>
        <v>دهقانيان بيژن (4954038)</v>
      </c>
      <c r="V417" s="1">
        <v>956200402</v>
      </c>
      <c r="W417" s="1">
        <v>956200402</v>
      </c>
      <c r="X417" s="1" t="str">
        <f>"1395470894"</f>
        <v>1395470894</v>
      </c>
      <c r="Y417" s="1" t="str">
        <f>"95/12/25"</f>
        <v>95/12/25</v>
      </c>
      <c r="Z417" s="1" t="str">
        <f>"56980/د"</f>
        <v>56980/د</v>
      </c>
      <c r="AA417" s="1" t="str">
        <f t="shared" si="94"/>
        <v>بنيادمسكن انقلاب اسلامي</v>
      </c>
      <c r="AB417" s="1" t="str">
        <f>"95/12/22"</f>
        <v>95/12/22</v>
      </c>
      <c r="AC417" s="1" t="str">
        <f>"استان كرمان"</f>
        <v>استان كرمان</v>
      </c>
      <c r="AD417" s="1" t="str">
        <f>"95/12/23"</f>
        <v>95/12/23</v>
      </c>
      <c r="AE417" s="1" t="str">
        <f t="shared" si="92"/>
        <v>اختتام</v>
      </c>
      <c r="AF417" s="1" t="str">
        <f>""</f>
        <v/>
      </c>
      <c r="AG417" s="1" t="str">
        <f>""</f>
        <v/>
      </c>
      <c r="AH417" s="1" t="str">
        <f>""</f>
        <v/>
      </c>
      <c r="AI417" s="1" t="str">
        <f>""</f>
        <v/>
      </c>
      <c r="AJ417" s="1" t="str">
        <f>""</f>
        <v/>
      </c>
      <c r="AK417" s="1" t="str">
        <f>""</f>
        <v/>
      </c>
    </row>
    <row r="418" spans="1:37" x14ac:dyDescent="0.2">
      <c r="A418" s="1">
        <v>20000</v>
      </c>
      <c r="B418" s="1">
        <v>956300026</v>
      </c>
      <c r="C418" s="1" t="str">
        <f>"تخليه اصفهان جاده مباركه جنب حمل ونقل مباركه كارخانه آسفالت راه آژند"</f>
        <v>تخليه اصفهان جاده مباركه جنب حمل ونقل مباركه كارخانه آسفالت راه آژند</v>
      </c>
      <c r="D418" s="1">
        <v>8848</v>
      </c>
      <c r="E418" s="1">
        <v>19800</v>
      </c>
      <c r="F418" s="1">
        <v>95</v>
      </c>
      <c r="G418" s="1">
        <v>200</v>
      </c>
      <c r="H418" s="1" t="str">
        <f>"95/12/07"</f>
        <v>95/12/07</v>
      </c>
      <c r="I418" s="1" t="str">
        <f t="shared" si="85"/>
        <v>كيلوگرم</v>
      </c>
      <c r="J418" s="1" t="str">
        <f t="shared" si="83"/>
        <v>0000000076</v>
      </c>
      <c r="K418" s="1" t="str">
        <f t="shared" si="84"/>
        <v>قير 60/70 - فله</v>
      </c>
      <c r="L418" s="1">
        <v>100</v>
      </c>
      <c r="M418" s="1" t="str">
        <f t="shared" si="86"/>
        <v>مخازن قير اصفهان</v>
      </c>
      <c r="N418" s="1">
        <v>11098</v>
      </c>
      <c r="O418" s="1">
        <v>50033878</v>
      </c>
      <c r="P418" s="1" t="str">
        <f>"  اداره كل نوسازي توسعه وتجهيزمدارس استان اصفهان"</f>
        <v xml:space="preserve">  اداره كل نوسازي توسعه وتجهيزمدارس استان اصفهان</v>
      </c>
      <c r="Q418" s="1">
        <v>63</v>
      </c>
      <c r="R418" s="1" t="str">
        <f>"سازمان نوسازي،توسعه و تجهيز مدارس كشور"</f>
        <v>سازمان نوسازي،توسعه و تجهيز مدارس كشور</v>
      </c>
      <c r="S418" s="1" t="str">
        <f t="shared" si="87"/>
        <v>قرارداد فروش</v>
      </c>
      <c r="T418" s="1" t="str">
        <f t="shared" si="88"/>
        <v>ندارد</v>
      </c>
      <c r="U418" s="1" t="str">
        <f>"سيفي پور عبدالمجيد(1009ج89)"</f>
        <v>سيفي پور عبدالمجيد(1009ج89)</v>
      </c>
      <c r="V418" s="1">
        <v>956300026</v>
      </c>
      <c r="W418" s="1">
        <v>956300026</v>
      </c>
      <c r="X418" s="1" t="str">
        <f>"1395467546"</f>
        <v>1395467546</v>
      </c>
      <c r="Y418" s="1" t="str">
        <f>"95/12/07"</f>
        <v>95/12/07</v>
      </c>
      <c r="Z418" s="1" t="str">
        <f>"3-95/422-35971"</f>
        <v>3-95/422-35971</v>
      </c>
      <c r="AA418" s="1" t="str">
        <f>"سازمان نوسازي توسعه وتجهيزمدارس كشور"</f>
        <v>سازمان نوسازي توسعه وتجهيزمدارس كشور</v>
      </c>
      <c r="AB418" s="1" t="str">
        <f>"95/12/03"</f>
        <v>95/12/03</v>
      </c>
      <c r="AC418" s="1" t="str">
        <f>"استان اصفهان"</f>
        <v>استان اصفهان</v>
      </c>
      <c r="AD418" s="1" t="str">
        <f>"95/12/07"</f>
        <v>95/12/07</v>
      </c>
      <c r="AE418" s="1" t="str">
        <f t="shared" si="92"/>
        <v>اختتام</v>
      </c>
      <c r="AF418" s="1" t="str">
        <f>""</f>
        <v/>
      </c>
      <c r="AG418" s="1" t="str">
        <f>""</f>
        <v/>
      </c>
      <c r="AH418" s="1" t="str">
        <f>""</f>
        <v/>
      </c>
      <c r="AI418" s="1" t="str">
        <f>""</f>
        <v/>
      </c>
      <c r="AJ418" s="1" t="str">
        <f>""</f>
        <v/>
      </c>
      <c r="AK418" s="1" t="str">
        <f>""</f>
        <v/>
      </c>
    </row>
    <row r="419" spans="1:37" x14ac:dyDescent="0.2">
      <c r="A419" s="1">
        <v>70000</v>
      </c>
      <c r="B419" s="1">
        <v>952000187</v>
      </c>
      <c r="C419" s="1" t="str">
        <f>"تخليه - لرستان-کارخانه آسفالت 5کيلومتري فيروزآباد"</f>
        <v>تخليه - لرستان-کارخانه آسفالت 5کيلومتري فيروزآباد</v>
      </c>
      <c r="D419" s="1">
        <v>8023</v>
      </c>
      <c r="E419" s="1">
        <v>69840</v>
      </c>
      <c r="F419" s="1">
        <v>95</v>
      </c>
      <c r="G419" s="1">
        <v>160</v>
      </c>
      <c r="H419" s="1" t="str">
        <f>"95/08/15"</f>
        <v>95/08/15</v>
      </c>
      <c r="I419" s="1" t="str">
        <f t="shared" si="85"/>
        <v>كيلوگرم</v>
      </c>
      <c r="J419" s="1" t="str">
        <f t="shared" si="83"/>
        <v>0000000076</v>
      </c>
      <c r="K419" s="1" t="str">
        <f t="shared" si="84"/>
        <v>قير 60/70 - فله</v>
      </c>
      <c r="L419" s="1">
        <v>100</v>
      </c>
      <c r="M419" s="1" t="str">
        <f t="shared" si="86"/>
        <v>مخازن قير اصفهان</v>
      </c>
      <c r="N419" s="1">
        <v>10775</v>
      </c>
      <c r="O419" s="1">
        <v>50032481</v>
      </c>
      <c r="P419" s="1" t="str">
        <f>"  شهرداري فيروزآبادلرستان"</f>
        <v xml:space="preserve">  شهرداري فيروزآبادلرستان</v>
      </c>
      <c r="Q419" s="1">
        <v>20</v>
      </c>
      <c r="R419" s="1" t="str">
        <f>"فروش داخلي - سازمان شهرداري ها و دهياري هاي كشور"</f>
        <v>فروش داخلي - سازمان شهرداري ها و دهياري هاي كشور</v>
      </c>
      <c r="S419" s="1" t="str">
        <f t="shared" si="87"/>
        <v>قرارداد فروش</v>
      </c>
      <c r="T419" s="1" t="str">
        <f t="shared" si="88"/>
        <v>ندارد</v>
      </c>
      <c r="U419" s="1" t="str">
        <f>"عظيمي محمد(2842015)"</f>
        <v>عظيمي محمد(2842015)</v>
      </c>
      <c r="V419" s="1">
        <v>952000187</v>
      </c>
      <c r="W419" s="1">
        <v>952000187</v>
      </c>
      <c r="X419" s="1" t="str">
        <f>"1395443199"</f>
        <v>1395443199</v>
      </c>
      <c r="Y419" s="1" t="str">
        <f>"95/08/15"</f>
        <v>95/08/15</v>
      </c>
      <c r="Z419" s="1" t="str">
        <f>"39497"</f>
        <v>39497</v>
      </c>
      <c r="AA419" s="1" t="str">
        <f>"شهرداريها"</f>
        <v>شهرداريها</v>
      </c>
      <c r="AB419" s="1" t="str">
        <f>"95/08/11"</f>
        <v>95/08/11</v>
      </c>
      <c r="AC419" s="1" t="str">
        <f>"لرستان"</f>
        <v>لرستان</v>
      </c>
      <c r="AD419" s="1" t="str">
        <f>"95/08/15"</f>
        <v>95/08/15</v>
      </c>
      <c r="AE419" s="1" t="str">
        <f t="shared" si="92"/>
        <v>اختتام</v>
      </c>
      <c r="AF419" s="1" t="str">
        <f>""</f>
        <v/>
      </c>
      <c r="AG419" s="1" t="str">
        <f>""</f>
        <v/>
      </c>
      <c r="AH419" s="1" t="str">
        <f>""</f>
        <v/>
      </c>
      <c r="AI419" s="1" t="str">
        <f>""</f>
        <v/>
      </c>
      <c r="AJ419" s="1" t="str">
        <f>""</f>
        <v/>
      </c>
      <c r="AK419" s="1" t="str">
        <f>""</f>
        <v/>
      </c>
    </row>
    <row r="420" spans="1:37" x14ac:dyDescent="0.2">
      <c r="A420" s="1">
        <v>70000</v>
      </c>
      <c r="B420" s="1">
        <v>952000341</v>
      </c>
      <c r="C420" s="1" t="str">
        <f>"تخليه كهگيلويه وبويراحمدشهرپاتاوه كارخانه آسفالت آرامش دارشاهي"</f>
        <v>تخليه كهگيلويه وبويراحمدشهرپاتاوه كارخانه آسفالت آرامش دارشاهي</v>
      </c>
      <c r="D420" s="1">
        <v>9361</v>
      </c>
      <c r="E420" s="1">
        <v>69240</v>
      </c>
      <c r="F420" s="1">
        <v>95</v>
      </c>
      <c r="G420" s="1">
        <v>760</v>
      </c>
      <c r="H420" s="1" t="str">
        <f>"95/11/24"</f>
        <v>95/11/24</v>
      </c>
      <c r="I420" s="1" t="str">
        <f t="shared" si="85"/>
        <v>كيلوگرم</v>
      </c>
      <c r="J420" s="1" t="str">
        <f t="shared" si="83"/>
        <v>0000000076</v>
      </c>
      <c r="K420" s="1" t="str">
        <f t="shared" si="84"/>
        <v>قير 60/70 - فله</v>
      </c>
      <c r="L420" s="1">
        <v>100</v>
      </c>
      <c r="M420" s="1" t="str">
        <f t="shared" si="86"/>
        <v>مخازن قير اصفهان</v>
      </c>
      <c r="N420" s="1">
        <v>10779</v>
      </c>
      <c r="O420" s="1">
        <v>50033711</v>
      </c>
      <c r="P420" s="1" t="str">
        <f>"  شهرداري پاتاوه"</f>
        <v xml:space="preserve">  شهرداري پاتاوه</v>
      </c>
      <c r="Q420" s="1">
        <v>20</v>
      </c>
      <c r="R420" s="1" t="str">
        <f>"فروش داخلي - سازمان شهرداري ها و دهياري هاي كشور"</f>
        <v>فروش داخلي - سازمان شهرداري ها و دهياري هاي كشور</v>
      </c>
      <c r="S420" s="1" t="str">
        <f t="shared" si="87"/>
        <v>قرارداد فروش</v>
      </c>
      <c r="T420" s="1" t="str">
        <f t="shared" si="88"/>
        <v>ندارد</v>
      </c>
      <c r="U420" s="1" t="str">
        <f>"افناني اسفندآبادي سعيد(4844002)"</f>
        <v>افناني اسفندآبادي سعيد(4844002)</v>
      </c>
      <c r="V420" s="1">
        <v>952000341</v>
      </c>
      <c r="W420" s="1">
        <v>952000341</v>
      </c>
      <c r="X420" s="1" t="str">
        <f>"1395464562"</f>
        <v>1395464562</v>
      </c>
      <c r="Y420" s="1" t="str">
        <f>"95/11/24"</f>
        <v>95/11/24</v>
      </c>
      <c r="Z420" s="1" t="str">
        <f>"47995"</f>
        <v>47995</v>
      </c>
      <c r="AA420" s="1" t="str">
        <f>"شهرداريها"</f>
        <v>شهرداريها</v>
      </c>
      <c r="AB420" s="1" t="str">
        <f>"95/09/29"</f>
        <v>95/09/29</v>
      </c>
      <c r="AC420" s="1" t="str">
        <f>"كهكيلويه و بوير احمد"</f>
        <v>كهكيلويه و بوير احمد</v>
      </c>
      <c r="AD420" s="1" t="str">
        <f>"95/11/24"</f>
        <v>95/11/24</v>
      </c>
      <c r="AE420" s="1" t="str">
        <f t="shared" si="92"/>
        <v>اختتام</v>
      </c>
      <c r="AF420" s="1" t="str">
        <f>""</f>
        <v/>
      </c>
      <c r="AG420" s="1" t="str">
        <f>""</f>
        <v/>
      </c>
      <c r="AH420" s="1" t="str">
        <f>""</f>
        <v/>
      </c>
      <c r="AI420" s="1" t="str">
        <f>""</f>
        <v/>
      </c>
      <c r="AJ420" s="1" t="str">
        <f>""</f>
        <v/>
      </c>
      <c r="AK420" s="1" t="str">
        <f>""</f>
        <v/>
      </c>
    </row>
    <row r="421" spans="1:37" x14ac:dyDescent="0.2">
      <c r="A421" s="1">
        <v>74000</v>
      </c>
      <c r="B421" s="1">
        <v>952000239</v>
      </c>
      <c r="C421" s="1" t="str">
        <f>"تخليه - همدان شهرستان ملاير-شهر سامن -کارخانه آسفالت شهرداري سامن"</f>
        <v>تخليه - همدان شهرستان ملاير-شهر سامن -کارخانه آسفالت شهرداري سامن</v>
      </c>
      <c r="D421" s="1">
        <v>7026</v>
      </c>
      <c r="E421" s="1">
        <v>73740</v>
      </c>
      <c r="F421" s="1">
        <v>95</v>
      </c>
      <c r="G421" s="1">
        <v>260</v>
      </c>
      <c r="H421" s="1" t="str">
        <f>"95/09/07"</f>
        <v>95/09/07</v>
      </c>
      <c r="I421" s="1" t="str">
        <f t="shared" si="85"/>
        <v>كيلوگرم</v>
      </c>
      <c r="J421" s="1" t="str">
        <f t="shared" si="83"/>
        <v>0000000076</v>
      </c>
      <c r="K421" s="1" t="str">
        <f t="shared" si="84"/>
        <v>قير 60/70 - فله</v>
      </c>
      <c r="L421" s="1">
        <v>100</v>
      </c>
      <c r="M421" s="1" t="str">
        <f t="shared" si="86"/>
        <v>مخازن قير اصفهان</v>
      </c>
      <c r="N421" s="1">
        <v>10800</v>
      </c>
      <c r="O421" s="1">
        <v>50032699</v>
      </c>
      <c r="P421" s="1" t="str">
        <f>"  شهرداري اشترينان"</f>
        <v xml:space="preserve">  شهرداري اشترينان</v>
      </c>
      <c r="Q421" s="1">
        <v>20</v>
      </c>
      <c r="R421" s="1" t="str">
        <f>"فروش داخلي - سازمان شهرداري ها و دهياري هاي كشور"</f>
        <v>فروش داخلي - سازمان شهرداري ها و دهياري هاي كشور</v>
      </c>
      <c r="S421" s="1" t="str">
        <f t="shared" si="87"/>
        <v>قرارداد فروش</v>
      </c>
      <c r="T421" s="1" t="str">
        <f t="shared" si="88"/>
        <v>ندارد</v>
      </c>
      <c r="U421" s="1" t="str">
        <f>"حاجيلوئي علي اصغر(2842019)"</f>
        <v>حاجيلوئي علي اصغر(2842019)</v>
      </c>
      <c r="V421" s="1">
        <v>952000239</v>
      </c>
      <c r="W421" s="1">
        <v>952000239</v>
      </c>
      <c r="X421" s="1" t="str">
        <f>"1395447617"</f>
        <v>1395447617</v>
      </c>
      <c r="Y421" s="1" t="str">
        <f>"95/09/07"</f>
        <v>95/09/07</v>
      </c>
      <c r="Z421" s="1" t="str">
        <f>"39478"</f>
        <v>39478</v>
      </c>
      <c r="AA421" s="1" t="str">
        <f>"شهرداريها"</f>
        <v>شهرداريها</v>
      </c>
      <c r="AB421" s="1" t="str">
        <f>"95/08/11"</f>
        <v>95/08/11</v>
      </c>
      <c r="AC421" s="1" t="str">
        <f>"لرستان"</f>
        <v>لرستان</v>
      </c>
      <c r="AD421" s="1" t="str">
        <f>"95/09/06"</f>
        <v>95/09/06</v>
      </c>
      <c r="AE421" s="1" t="str">
        <f t="shared" si="92"/>
        <v>اختتام</v>
      </c>
      <c r="AF421" s="1" t="str">
        <f>""</f>
        <v/>
      </c>
      <c r="AG421" s="1" t="str">
        <f>""</f>
        <v/>
      </c>
      <c r="AH421" s="1" t="str">
        <f>""</f>
        <v/>
      </c>
      <c r="AI421" s="1" t="str">
        <f>""</f>
        <v/>
      </c>
      <c r="AJ421" s="1" t="str">
        <f>""</f>
        <v/>
      </c>
      <c r="AK421" s="1" t="str">
        <f>""</f>
        <v/>
      </c>
    </row>
    <row r="422" spans="1:37" x14ac:dyDescent="0.2">
      <c r="A422" s="1">
        <v>280000</v>
      </c>
      <c r="B422" s="1">
        <v>956200436</v>
      </c>
      <c r="C422" s="1" t="str">
        <f>"تخليه-کهگيلويه و بويراحمد-باشت-روستاي سرآبيز-کارخانه آسفالت حسيني"</f>
        <v>تخليه-کهگيلويه و بويراحمد-باشت-روستاي سرآبيز-کارخانه آسفالت حسيني</v>
      </c>
      <c r="D422" s="1">
        <v>8848</v>
      </c>
      <c r="E422" s="1">
        <v>276840</v>
      </c>
      <c r="F422" s="1">
        <v>95</v>
      </c>
      <c r="G422" s="1">
        <v>3160</v>
      </c>
      <c r="H422" s="1" t="str">
        <f>"95/12/28"</f>
        <v>95/12/28</v>
      </c>
      <c r="I422" s="1" t="str">
        <f t="shared" si="85"/>
        <v>كيلوگرم</v>
      </c>
      <c r="J422" s="1" t="str">
        <f t="shared" si="83"/>
        <v>0000000076</v>
      </c>
      <c r="K422" s="1" t="str">
        <f t="shared" si="84"/>
        <v>قير 60/70 - فله</v>
      </c>
      <c r="L422" s="1">
        <v>100</v>
      </c>
      <c r="M422" s="1" t="str">
        <f t="shared" si="86"/>
        <v>مخازن قير اصفهان</v>
      </c>
      <c r="N422" s="1">
        <v>11317</v>
      </c>
      <c r="O422" s="1">
        <v>50034325</v>
      </c>
      <c r="P422" s="1" t="str">
        <f>"  امير ساز پارس مهر"</f>
        <v xml:space="preserve">  امير ساز پارس مهر</v>
      </c>
      <c r="Q422" s="1">
        <v>62</v>
      </c>
      <c r="R422" s="1" t="str">
        <f>"فروش داخلي - سازمان بنيادمسكن انقلاب اسلامي"</f>
        <v>فروش داخلي - سازمان بنيادمسكن انقلاب اسلامي</v>
      </c>
      <c r="S422" s="1" t="str">
        <f t="shared" si="87"/>
        <v>قرارداد فروش</v>
      </c>
      <c r="T422" s="1" t="str">
        <f t="shared" si="88"/>
        <v>ندارد</v>
      </c>
      <c r="U422" s="1" t="str">
        <f>"غلام نجفي سيامك‌‌‌‌‌‌(1881082)"</f>
        <v>غلام نجفي سيامك‌‌‌‌‌‌(1881082)</v>
      </c>
      <c r="V422" s="1">
        <v>956200436</v>
      </c>
      <c r="W422" s="1">
        <v>956200436</v>
      </c>
      <c r="X422" s="1" t="str">
        <f>"1395470977"</f>
        <v>1395470977</v>
      </c>
      <c r="Y422" s="1" t="str">
        <f>"95/12/28"</f>
        <v>95/12/28</v>
      </c>
      <c r="Z422" s="1" t="str">
        <f>"57030/د"</f>
        <v>57030/د</v>
      </c>
      <c r="AA422" s="1" t="str">
        <f>"بنيادمسكن انقلاب اسلامي"</f>
        <v>بنيادمسكن انقلاب اسلامي</v>
      </c>
      <c r="AB422" s="1" t="str">
        <f>"95/12/22"</f>
        <v>95/12/22</v>
      </c>
      <c r="AC422" s="1" t="str">
        <f>"كهكيلويه و بوير احمد"</f>
        <v>كهكيلويه و بوير احمد</v>
      </c>
      <c r="AD422" s="1" t="str">
        <f>"95/12/24"</f>
        <v>95/12/24</v>
      </c>
      <c r="AE422" s="1" t="str">
        <f t="shared" si="92"/>
        <v>اختتام</v>
      </c>
      <c r="AF422" s="1" t="str">
        <f>""</f>
        <v/>
      </c>
      <c r="AG422" s="1" t="str">
        <f>""</f>
        <v/>
      </c>
      <c r="AH422" s="1" t="str">
        <f>""</f>
        <v/>
      </c>
      <c r="AI422" s="1" t="str">
        <f>""</f>
        <v/>
      </c>
      <c r="AJ422" s="1" t="str">
        <f>""</f>
        <v/>
      </c>
      <c r="AK422" s="1" t="str">
        <f>""</f>
        <v/>
      </c>
    </row>
    <row r="423" spans="1:37" x14ac:dyDescent="0.2">
      <c r="A423" s="1">
        <v>61000</v>
      </c>
      <c r="B423" s="1">
        <v>956200428</v>
      </c>
      <c r="C423" s="1" t="str">
        <f>"تخليه  كرمانشاه روانسركارخانه آسفالت يداله محمدي"</f>
        <v>تخليه  كرمانشاه روانسركارخانه آسفالت يداله محمدي</v>
      </c>
      <c r="D423" s="1">
        <v>8848</v>
      </c>
      <c r="E423" s="1">
        <v>58620</v>
      </c>
      <c r="F423" s="1">
        <v>95</v>
      </c>
      <c r="G423" s="1">
        <v>2380</v>
      </c>
      <c r="H423" s="1" t="str">
        <f>"95/12/28"</f>
        <v>95/12/28</v>
      </c>
      <c r="I423" s="1" t="str">
        <f t="shared" si="85"/>
        <v>كيلوگرم</v>
      </c>
      <c r="J423" s="1" t="str">
        <f t="shared" si="83"/>
        <v>0000000076</v>
      </c>
      <c r="K423" s="1" t="str">
        <f t="shared" si="84"/>
        <v>قير 60/70 - فله</v>
      </c>
      <c r="L423" s="1">
        <v>100</v>
      </c>
      <c r="M423" s="1" t="str">
        <f t="shared" si="86"/>
        <v>مخازن قير اصفهان</v>
      </c>
      <c r="N423" s="1">
        <v>11324</v>
      </c>
      <c r="O423" s="1">
        <v>50034317</v>
      </c>
      <c r="P423" s="1" t="str">
        <f>"  کاشانه سازان امير"</f>
        <v xml:space="preserve">  کاشانه سازان امير</v>
      </c>
      <c r="Q423" s="1">
        <v>62</v>
      </c>
      <c r="R423" s="1" t="str">
        <f>"فروش داخلي - سازمان بنيادمسكن انقلاب اسلامي"</f>
        <v>فروش داخلي - سازمان بنيادمسكن انقلاب اسلامي</v>
      </c>
      <c r="S423" s="1" t="str">
        <f t="shared" si="87"/>
        <v>قرارداد فروش</v>
      </c>
      <c r="T423" s="1" t="str">
        <f t="shared" si="88"/>
        <v>ندارد</v>
      </c>
      <c r="U423" s="1" t="str">
        <f>"حاجيلوئي علي اصغر(2842019)"</f>
        <v>حاجيلوئي علي اصغر(2842019)</v>
      </c>
      <c r="V423" s="1">
        <v>956200428</v>
      </c>
      <c r="W423" s="1">
        <v>956200428</v>
      </c>
      <c r="X423" s="1" t="str">
        <f>"1395470952"</f>
        <v>1395470952</v>
      </c>
      <c r="Y423" s="1" t="str">
        <f>"95/12/28"</f>
        <v>95/12/28</v>
      </c>
      <c r="Z423" s="1" t="str">
        <f>"57193/د"</f>
        <v>57193/د</v>
      </c>
      <c r="AA423" s="1" t="str">
        <f>"بنيادمسكن انقلاب اسلامي"</f>
        <v>بنيادمسكن انقلاب اسلامي</v>
      </c>
      <c r="AB423" s="1" t="str">
        <f>"95/12/22"</f>
        <v>95/12/22</v>
      </c>
      <c r="AC423" s="1" t="str">
        <f>"استان كرمانشاه"</f>
        <v>استان كرمانشاه</v>
      </c>
      <c r="AD423" s="1" t="str">
        <f>"95/12/24"</f>
        <v>95/12/24</v>
      </c>
      <c r="AE423" s="1" t="str">
        <f t="shared" si="92"/>
        <v>اختتام</v>
      </c>
      <c r="AF423" s="1" t="str">
        <f>""</f>
        <v/>
      </c>
      <c r="AG423" s="1" t="str">
        <f>""</f>
        <v/>
      </c>
      <c r="AH423" s="1" t="str">
        <f>""</f>
        <v/>
      </c>
      <c r="AI423" s="1" t="str">
        <f>""</f>
        <v/>
      </c>
      <c r="AJ423" s="1" t="str">
        <f>""</f>
        <v/>
      </c>
      <c r="AK423" s="1" t="str">
        <f>""</f>
        <v/>
      </c>
    </row>
    <row r="424" spans="1:37" x14ac:dyDescent="0.2">
      <c r="A424" s="1">
        <v>255000</v>
      </c>
      <c r="B424" s="1">
        <v>956200429</v>
      </c>
      <c r="C424" s="1" t="str">
        <f>"تخليه  كرمانشاه روانسركارخانه آسفالت يداله محمدي"</f>
        <v>تخليه  كرمانشاه روانسركارخانه آسفالت يداله محمدي</v>
      </c>
      <c r="D424" s="1">
        <v>8848</v>
      </c>
      <c r="E424" s="1">
        <v>255000</v>
      </c>
      <c r="F424" s="1">
        <v>95</v>
      </c>
      <c r="G424" s="1">
        <v>0</v>
      </c>
      <c r="H424" s="1" t="str">
        <f>"95/12/28"</f>
        <v>95/12/28</v>
      </c>
      <c r="I424" s="1" t="str">
        <f t="shared" si="85"/>
        <v>كيلوگرم</v>
      </c>
      <c r="J424" s="1" t="str">
        <f t="shared" si="83"/>
        <v>0000000076</v>
      </c>
      <c r="K424" s="1" t="str">
        <f t="shared" si="84"/>
        <v>قير 60/70 - فله</v>
      </c>
      <c r="L424" s="1">
        <v>100</v>
      </c>
      <c r="M424" s="1" t="str">
        <f t="shared" si="86"/>
        <v>مخازن قير اصفهان</v>
      </c>
      <c r="N424" s="1">
        <v>11324</v>
      </c>
      <c r="O424" s="1">
        <v>50034318</v>
      </c>
      <c r="P424" s="1" t="str">
        <f>"  کاشانه سازان امير"</f>
        <v xml:space="preserve">  کاشانه سازان امير</v>
      </c>
      <c r="Q424" s="1">
        <v>62</v>
      </c>
      <c r="R424" s="1" t="str">
        <f>"فروش داخلي - سازمان بنيادمسكن انقلاب اسلامي"</f>
        <v>فروش داخلي - سازمان بنيادمسكن انقلاب اسلامي</v>
      </c>
      <c r="S424" s="1" t="str">
        <f t="shared" si="87"/>
        <v>قرارداد فروش</v>
      </c>
      <c r="T424" s="1" t="str">
        <f t="shared" si="88"/>
        <v>ندارد</v>
      </c>
      <c r="U424" s="1" t="str">
        <f>"حاجيلوئي علي اصغر(2842019)"</f>
        <v>حاجيلوئي علي اصغر(2842019)</v>
      </c>
      <c r="V424" s="1">
        <v>956200429</v>
      </c>
      <c r="W424" s="1">
        <v>956200429</v>
      </c>
      <c r="X424" s="1" t="str">
        <f>"1395470952"</f>
        <v>1395470952</v>
      </c>
      <c r="Y424" s="1" t="str">
        <f>"95/12/28"</f>
        <v>95/12/28</v>
      </c>
      <c r="Z424" s="1" t="str">
        <f>"57194/د"</f>
        <v>57194/د</v>
      </c>
      <c r="AA424" s="1" t="str">
        <f>"بنيادمسكن انقلاب اسلامي"</f>
        <v>بنيادمسكن انقلاب اسلامي</v>
      </c>
      <c r="AB424" s="1" t="str">
        <f>"95/12/22"</f>
        <v>95/12/22</v>
      </c>
      <c r="AC424" s="1" t="str">
        <f>"استان كرمانشاه"</f>
        <v>استان كرمانشاه</v>
      </c>
      <c r="AD424" s="1" t="str">
        <f>"95/12/24"</f>
        <v>95/12/24</v>
      </c>
      <c r="AE424" s="1" t="str">
        <f t="shared" si="92"/>
        <v>اختتام</v>
      </c>
      <c r="AF424" s="1" t="str">
        <f>""</f>
        <v/>
      </c>
      <c r="AG424" s="1" t="str">
        <f>""</f>
        <v/>
      </c>
      <c r="AH424" s="1" t="str">
        <f>""</f>
        <v/>
      </c>
      <c r="AI424" s="1" t="str">
        <f>""</f>
        <v/>
      </c>
      <c r="AJ424" s="1" t="str">
        <f>""</f>
        <v/>
      </c>
      <c r="AK424" s="1" t="str">
        <f>""</f>
        <v/>
      </c>
    </row>
    <row r="425" spans="1:37" x14ac:dyDescent="0.2">
      <c r="A425" s="1">
        <v>477000</v>
      </c>
      <c r="B425" s="1">
        <v>956200426</v>
      </c>
      <c r="C425" s="1" t="str">
        <f>"تخليه-کرمان-کوهبنان-بلوار امام رضا -کارخانه آسفالت"</f>
        <v>تخليه-کرمان-کوهبنان-بلوار امام رضا -کارخانه آسفالت</v>
      </c>
      <c r="D425" s="1">
        <v>8848</v>
      </c>
      <c r="E425" s="1">
        <v>475940</v>
      </c>
      <c r="F425" s="1">
        <v>95</v>
      </c>
      <c r="G425" s="1">
        <v>1060</v>
      </c>
      <c r="H425" s="1" t="str">
        <f>"95/12/28"</f>
        <v>95/12/28</v>
      </c>
      <c r="I425" s="1" t="str">
        <f t="shared" si="85"/>
        <v>كيلوگرم</v>
      </c>
      <c r="J425" s="1" t="str">
        <f t="shared" si="83"/>
        <v>0000000076</v>
      </c>
      <c r="K425" s="1" t="str">
        <f t="shared" si="84"/>
        <v>قير 60/70 - فله</v>
      </c>
      <c r="L425" s="1">
        <v>100</v>
      </c>
      <c r="M425" s="1" t="str">
        <f t="shared" si="86"/>
        <v>مخازن قير اصفهان</v>
      </c>
      <c r="N425" s="1">
        <v>11327</v>
      </c>
      <c r="O425" s="1">
        <v>50034315</v>
      </c>
      <c r="P425" s="1" t="str">
        <f>"  ماندگار بناي هيراد"</f>
        <v xml:space="preserve">  ماندگار بناي هيراد</v>
      </c>
      <c r="Q425" s="1">
        <v>62</v>
      </c>
      <c r="R425" s="1" t="str">
        <f>"فروش داخلي - سازمان بنيادمسكن انقلاب اسلامي"</f>
        <v>فروش داخلي - سازمان بنيادمسكن انقلاب اسلامي</v>
      </c>
      <c r="S425" s="1" t="str">
        <f t="shared" si="87"/>
        <v>قرارداد فروش</v>
      </c>
      <c r="T425" s="1" t="str">
        <f t="shared" si="88"/>
        <v>ندارد</v>
      </c>
      <c r="U425" s="1" t="str">
        <f>"عزيزي صفر(1006ج 89)"</f>
        <v>عزيزي صفر(1006ج 89)</v>
      </c>
      <c r="V425" s="1">
        <v>956200426</v>
      </c>
      <c r="W425" s="1">
        <v>956200426</v>
      </c>
      <c r="X425" s="1" t="str">
        <f>"1395470952"</f>
        <v>1395470952</v>
      </c>
      <c r="Y425" s="1" t="str">
        <f>"95/12/28"</f>
        <v>95/12/28</v>
      </c>
      <c r="Z425" s="1" t="str">
        <f>"56978/د"</f>
        <v>56978/د</v>
      </c>
      <c r="AA425" s="1" t="str">
        <f>"بنيادمسكن انقلاب اسلامي"</f>
        <v>بنيادمسكن انقلاب اسلامي</v>
      </c>
      <c r="AB425" s="1" t="str">
        <f>"95/12/22"</f>
        <v>95/12/22</v>
      </c>
      <c r="AC425" s="1" t="str">
        <f>"استان كرمان"</f>
        <v>استان كرمان</v>
      </c>
      <c r="AD425" s="1" t="str">
        <f>"95/12/24"</f>
        <v>95/12/24</v>
      </c>
      <c r="AE425" s="1" t="str">
        <f t="shared" si="92"/>
        <v>اختتام</v>
      </c>
      <c r="AF425" s="1" t="str">
        <f>""</f>
        <v/>
      </c>
      <c r="AG425" s="1" t="str">
        <f>""</f>
        <v/>
      </c>
      <c r="AH425" s="1" t="str">
        <f>""</f>
        <v/>
      </c>
      <c r="AI425" s="1" t="str">
        <f>""</f>
        <v/>
      </c>
      <c r="AJ425" s="1" t="str">
        <f>""</f>
        <v/>
      </c>
      <c r="AK425" s="1" t="str">
        <f>""</f>
        <v/>
      </c>
    </row>
    <row r="426" spans="1:37" x14ac:dyDescent="0.2">
      <c r="A426" s="1">
        <v>479000</v>
      </c>
      <c r="B426" s="1">
        <v>956200021</v>
      </c>
      <c r="C426" s="1" t="str">
        <f>"تخليه-اردکان- کيلومتر 17 جاده چک چک-کارخانه آسفالت گرم ميثاق اردكان"</f>
        <v>تخليه-اردکان- کيلومتر 17 جاده چک چک-کارخانه آسفالت گرم ميثاق اردكان</v>
      </c>
      <c r="D426" s="1">
        <v>5750</v>
      </c>
      <c r="E426" s="1">
        <v>479000</v>
      </c>
      <c r="F426" s="1">
        <v>95</v>
      </c>
      <c r="G426" s="1">
        <v>0</v>
      </c>
      <c r="H426" s="1" t="str">
        <f>"95/03/12"</f>
        <v>95/03/12</v>
      </c>
      <c r="I426" s="1" t="str">
        <f t="shared" si="85"/>
        <v>كيلوگرم</v>
      </c>
      <c r="J426" s="1" t="str">
        <f t="shared" si="83"/>
        <v>0000000076</v>
      </c>
      <c r="K426" s="1" t="str">
        <f t="shared" si="84"/>
        <v>قير 60/70 - فله</v>
      </c>
      <c r="L426" s="1">
        <v>100</v>
      </c>
      <c r="M426" s="1" t="str">
        <f t="shared" si="86"/>
        <v>مخازن قير اصفهان</v>
      </c>
      <c r="N426" s="1">
        <v>11102</v>
      </c>
      <c r="O426" s="1">
        <v>50030954</v>
      </c>
      <c r="P426" s="1" t="str">
        <f>"  پويش راه کوير اردکان"</f>
        <v xml:space="preserve">  پويش راه کوير اردکان</v>
      </c>
      <c r="Q426" s="1">
        <v>62</v>
      </c>
      <c r="R426" s="1" t="str">
        <f>"فروش داخلي - سازمان بنيادمسكن انقلاب اسلامي"</f>
        <v>فروش داخلي - سازمان بنيادمسكن انقلاب اسلامي</v>
      </c>
      <c r="S426" s="1" t="str">
        <f t="shared" si="87"/>
        <v>قرارداد فروش</v>
      </c>
      <c r="T426" s="1" t="str">
        <f t="shared" si="88"/>
        <v>ندارد</v>
      </c>
      <c r="U426" s="1" t="str">
        <f>"عزيزي صفر(1006ج 89)"</f>
        <v>عزيزي صفر(1006ج 89)</v>
      </c>
      <c r="V426" s="1">
        <v>956200021</v>
      </c>
      <c r="W426" s="1">
        <v>956200021</v>
      </c>
      <c r="X426" s="1" t="str">
        <f>"1395407387"</f>
        <v>1395407387</v>
      </c>
      <c r="Y426" s="1" t="str">
        <f>"95/03/12"</f>
        <v>95/03/12</v>
      </c>
      <c r="Z426" s="1" t="str">
        <f>"9716/د"</f>
        <v>9716/د</v>
      </c>
      <c r="AA426" s="1" t="str">
        <f>"بنيادمسكن انقلاب اسلامي"</f>
        <v>بنيادمسكن انقلاب اسلامي</v>
      </c>
      <c r="AB426" s="1" t="str">
        <f>"95/03/11"</f>
        <v>95/03/11</v>
      </c>
      <c r="AC426" s="1" t="str">
        <f>"استان يزد"</f>
        <v>استان يزد</v>
      </c>
      <c r="AD426" s="1" t="str">
        <f>"95/03/12"</f>
        <v>95/03/12</v>
      </c>
      <c r="AE426" s="1" t="str">
        <f t="shared" si="92"/>
        <v>اختتام</v>
      </c>
      <c r="AF426" s="1" t="str">
        <f>""</f>
        <v/>
      </c>
      <c r="AG426" s="1" t="str">
        <f>""</f>
        <v/>
      </c>
      <c r="AH426" s="1" t="str">
        <f>""</f>
        <v/>
      </c>
      <c r="AI426" s="1" t="str">
        <f>""</f>
        <v/>
      </c>
      <c r="AJ426" s="1" t="str">
        <f>""</f>
        <v/>
      </c>
      <c r="AK426" s="1" t="str">
        <f>""</f>
        <v/>
      </c>
    </row>
    <row r="427" spans="1:37" x14ac:dyDescent="0.2">
      <c r="A427" s="1">
        <v>64000</v>
      </c>
      <c r="B427" s="1">
        <v>952000193</v>
      </c>
      <c r="C427" s="1" t="str">
        <f>"تخليه لرستان شهرستان دلفان شهرهفت چشمه روستاي تنگ پري كارخانه آسفالت ايمن كارسمير"</f>
        <v>تخليه لرستان شهرستان دلفان شهرهفت چشمه روستاي تنگ پري كارخانه آسفالت ايمن كارسمير</v>
      </c>
      <c r="D427" s="1">
        <v>8023</v>
      </c>
      <c r="E427" s="1">
        <v>63220</v>
      </c>
      <c r="F427" s="1">
        <v>95</v>
      </c>
      <c r="G427" s="1">
        <v>780</v>
      </c>
      <c r="H427" s="1" t="str">
        <f>"95/08/15"</f>
        <v>95/08/15</v>
      </c>
      <c r="I427" s="1" t="str">
        <f t="shared" si="85"/>
        <v>كيلوگرم</v>
      </c>
      <c r="J427" s="1" t="str">
        <f t="shared" si="83"/>
        <v>0000000076</v>
      </c>
      <c r="K427" s="1" t="str">
        <f t="shared" si="84"/>
        <v>قير 60/70 - فله</v>
      </c>
      <c r="L427" s="1">
        <v>100</v>
      </c>
      <c r="M427" s="1" t="str">
        <f t="shared" si="86"/>
        <v>مخازن قير اصفهان</v>
      </c>
      <c r="N427" s="1">
        <v>11175</v>
      </c>
      <c r="O427" s="1">
        <v>50032488</v>
      </c>
      <c r="P427" s="1" t="str">
        <f>"  شهرداري هفت چشمه"</f>
        <v xml:space="preserve">  شهرداري هفت چشمه</v>
      </c>
      <c r="Q427" s="1">
        <v>20</v>
      </c>
      <c r="R427" s="1" t="str">
        <f t="shared" ref="R427:R433" si="95">"فروش داخلي - سازمان شهرداري ها و دهياري هاي كشور"</f>
        <v>فروش داخلي - سازمان شهرداري ها و دهياري هاي كشور</v>
      </c>
      <c r="S427" s="1" t="str">
        <f t="shared" si="87"/>
        <v>قرارداد فروش</v>
      </c>
      <c r="T427" s="1" t="str">
        <f t="shared" si="88"/>
        <v>ندارد</v>
      </c>
      <c r="U427" s="1" t="str">
        <f>"ريسماني حسن(1007ج89)"</f>
        <v>ريسماني حسن(1007ج89)</v>
      </c>
      <c r="V427" s="1">
        <v>952000193</v>
      </c>
      <c r="W427" s="1">
        <v>952000193</v>
      </c>
      <c r="X427" s="1" t="str">
        <f>"1395443199"</f>
        <v>1395443199</v>
      </c>
      <c r="Y427" s="1" t="str">
        <f>"95/08/15"</f>
        <v>95/08/15</v>
      </c>
      <c r="Z427" s="1" t="str">
        <f>"39506"</f>
        <v>39506</v>
      </c>
      <c r="AA427" s="1" t="str">
        <f t="shared" ref="AA427:AA433" si="96">"شهرداريها"</f>
        <v>شهرداريها</v>
      </c>
      <c r="AB427" s="1" t="str">
        <f>"95/08/11"</f>
        <v>95/08/11</v>
      </c>
      <c r="AC427" s="1" t="str">
        <f>"لرستان"</f>
        <v>لرستان</v>
      </c>
      <c r="AD427" s="1" t="str">
        <f>"95/08/15"</f>
        <v>95/08/15</v>
      </c>
      <c r="AE427" s="1" t="str">
        <f t="shared" si="92"/>
        <v>اختتام</v>
      </c>
      <c r="AF427" s="1" t="str">
        <f>""</f>
        <v/>
      </c>
      <c r="AG427" s="1" t="str">
        <f>""</f>
        <v/>
      </c>
      <c r="AH427" s="1" t="str">
        <f>""</f>
        <v/>
      </c>
      <c r="AI427" s="1" t="str">
        <f>""</f>
        <v/>
      </c>
      <c r="AJ427" s="1" t="str">
        <f>""</f>
        <v/>
      </c>
      <c r="AK427" s="1" t="str">
        <f>""</f>
        <v/>
      </c>
    </row>
    <row r="428" spans="1:37" x14ac:dyDescent="0.2">
      <c r="A428" s="1">
        <v>65000</v>
      </c>
      <c r="B428" s="1">
        <v>952000070</v>
      </c>
      <c r="C428" s="1" t="str">
        <f>"تخليه لرستان شهرستان دورودروستاي ترشاب كارخانه آسفالت حسين گراوند"</f>
        <v>تخليه لرستان شهرستان دورودروستاي ترشاب كارخانه آسفالت حسين گراوند</v>
      </c>
      <c r="D428" s="1">
        <v>6876</v>
      </c>
      <c r="E428" s="1">
        <v>64760</v>
      </c>
      <c r="F428" s="1">
        <v>95</v>
      </c>
      <c r="G428" s="1">
        <v>240</v>
      </c>
      <c r="H428" s="1" t="str">
        <f>"95/06/15"</f>
        <v>95/06/15</v>
      </c>
      <c r="I428" s="1" t="str">
        <f t="shared" si="85"/>
        <v>كيلوگرم</v>
      </c>
      <c r="J428" s="1" t="str">
        <f t="shared" si="83"/>
        <v>0000000076</v>
      </c>
      <c r="K428" s="1" t="str">
        <f t="shared" si="84"/>
        <v>قير 60/70 - فله</v>
      </c>
      <c r="L428" s="1">
        <v>100</v>
      </c>
      <c r="M428" s="1" t="str">
        <f t="shared" si="86"/>
        <v>مخازن قير اصفهان</v>
      </c>
      <c r="N428" s="1">
        <v>11176</v>
      </c>
      <c r="O428" s="1">
        <v>50031793</v>
      </c>
      <c r="P428" s="1" t="str">
        <f>"  شهرداري چالانچولان"</f>
        <v xml:space="preserve">  شهرداري چالانچولان</v>
      </c>
      <c r="Q428" s="1">
        <v>20</v>
      </c>
      <c r="R428" s="1" t="str">
        <f t="shared" si="95"/>
        <v>فروش داخلي - سازمان شهرداري ها و دهياري هاي كشور</v>
      </c>
      <c r="S428" s="1" t="str">
        <f t="shared" si="87"/>
        <v>قرارداد فروش</v>
      </c>
      <c r="T428" s="1" t="str">
        <f t="shared" si="88"/>
        <v>ندارد</v>
      </c>
      <c r="U428" s="1" t="str">
        <f>"رضائي كلهر حسن (1901099)"</f>
        <v>رضائي كلهر حسن (1901099)</v>
      </c>
      <c r="V428" s="1">
        <v>952000070</v>
      </c>
      <c r="W428" s="1">
        <v>952000070</v>
      </c>
      <c r="X428" s="1" t="str">
        <f>"1395428997"</f>
        <v>1395428997</v>
      </c>
      <c r="Y428" s="1" t="str">
        <f>"95/06/15"</f>
        <v>95/06/15</v>
      </c>
      <c r="Z428" s="1" t="str">
        <f>"27680"</f>
        <v>27680</v>
      </c>
      <c r="AA428" s="1" t="str">
        <f t="shared" si="96"/>
        <v>شهرداريها</v>
      </c>
      <c r="AB428" s="1" t="str">
        <f>"95/06/10"</f>
        <v>95/06/10</v>
      </c>
      <c r="AC428" s="1" t="str">
        <f>"لرستان"</f>
        <v>لرستان</v>
      </c>
      <c r="AD428" s="1" t="str">
        <f>"95/06/14"</f>
        <v>95/06/14</v>
      </c>
      <c r="AE428" s="1" t="str">
        <f t="shared" si="92"/>
        <v>اختتام</v>
      </c>
      <c r="AF428" s="1" t="str">
        <f>""</f>
        <v/>
      </c>
      <c r="AG428" s="1" t="str">
        <f>""</f>
        <v/>
      </c>
      <c r="AH428" s="1" t="str">
        <f>""</f>
        <v/>
      </c>
      <c r="AI428" s="1" t="str">
        <f>""</f>
        <v/>
      </c>
      <c r="AJ428" s="1" t="str">
        <f>""</f>
        <v/>
      </c>
      <c r="AK428" s="1" t="str">
        <f>""</f>
        <v/>
      </c>
    </row>
    <row r="429" spans="1:37" x14ac:dyDescent="0.2">
      <c r="A429" s="1">
        <v>70000</v>
      </c>
      <c r="B429" s="1">
        <v>952000135</v>
      </c>
      <c r="C429" s="1" t="str">
        <f>"تخليه اصفهان شهرك صنعتي اشترجان خيابان 11شركت راه آژند"</f>
        <v>تخليه اصفهان شهرك صنعتي اشترجان خيابان 11شركت راه آژند</v>
      </c>
      <c r="D429" s="1">
        <v>6976</v>
      </c>
      <c r="E429" s="1">
        <v>68640</v>
      </c>
      <c r="F429" s="1">
        <v>95</v>
      </c>
      <c r="G429" s="1">
        <v>1360</v>
      </c>
      <c r="H429" s="1" t="str">
        <f>"95/07/12"</f>
        <v>95/07/12</v>
      </c>
      <c r="I429" s="1" t="str">
        <f t="shared" si="85"/>
        <v>كيلوگرم</v>
      </c>
      <c r="J429" s="1" t="str">
        <f t="shared" si="83"/>
        <v>0000000076</v>
      </c>
      <c r="K429" s="1" t="str">
        <f t="shared" si="84"/>
        <v>قير 60/70 - فله</v>
      </c>
      <c r="L429" s="1">
        <v>100</v>
      </c>
      <c r="M429" s="1" t="str">
        <f t="shared" si="86"/>
        <v>مخازن قير اصفهان</v>
      </c>
      <c r="N429" s="1">
        <v>10669</v>
      </c>
      <c r="O429" s="1">
        <v>50032064</v>
      </c>
      <c r="P429" s="1" t="str">
        <f>"  شهرداري رضوانشهراصفهان"</f>
        <v xml:space="preserve">  شهرداري رضوانشهراصفهان</v>
      </c>
      <c r="Q429" s="1">
        <v>20</v>
      </c>
      <c r="R429" s="1" t="str">
        <f t="shared" si="95"/>
        <v>فروش داخلي - سازمان شهرداري ها و دهياري هاي كشور</v>
      </c>
      <c r="S429" s="1" t="str">
        <f t="shared" si="87"/>
        <v>قرارداد فروش</v>
      </c>
      <c r="T429" s="1" t="str">
        <f t="shared" si="88"/>
        <v>ندارد</v>
      </c>
      <c r="U429" s="1" t="str">
        <f>"سيفي پور عبدالمجيد(1009ج89)"</f>
        <v>سيفي پور عبدالمجيد(1009ج89)</v>
      </c>
      <c r="V429" s="1">
        <v>952000135</v>
      </c>
      <c r="W429" s="1">
        <v>952000135</v>
      </c>
      <c r="X429" s="1" t="str">
        <f>"1395435390"</f>
        <v>1395435390</v>
      </c>
      <c r="Y429" s="1" t="str">
        <f>"95/07/12"</f>
        <v>95/07/12</v>
      </c>
      <c r="Z429" s="1" t="str">
        <f>"27743"</f>
        <v>27743</v>
      </c>
      <c r="AA429" s="1" t="str">
        <f t="shared" si="96"/>
        <v>شهرداريها</v>
      </c>
      <c r="AB429" s="1" t="str">
        <f>"95/06/10"</f>
        <v>95/06/10</v>
      </c>
      <c r="AC429" s="1" t="str">
        <f>"استان اصفهان"</f>
        <v>استان اصفهان</v>
      </c>
      <c r="AD429" s="1" t="str">
        <f>"95/07/12"</f>
        <v>95/07/12</v>
      </c>
      <c r="AE429" s="1" t="str">
        <f t="shared" si="92"/>
        <v>اختتام</v>
      </c>
      <c r="AF429" s="1" t="str">
        <f>""</f>
        <v/>
      </c>
      <c r="AG429" s="1" t="str">
        <f>""</f>
        <v/>
      </c>
      <c r="AH429" s="1" t="str">
        <f>""</f>
        <v/>
      </c>
      <c r="AI429" s="1" t="str">
        <f>""</f>
        <v/>
      </c>
      <c r="AJ429" s="1" t="str">
        <f>""</f>
        <v/>
      </c>
      <c r="AK429" s="1" t="str">
        <f>""</f>
        <v/>
      </c>
    </row>
    <row r="430" spans="1:37" x14ac:dyDescent="0.2">
      <c r="A430" s="1">
        <v>71000</v>
      </c>
      <c r="B430" s="1">
        <v>952000048</v>
      </c>
      <c r="C430" s="1" t="str">
        <f>"تخليه اصفهان نرسيده به شهروزوان كارخانه آسفالت خاكپي"</f>
        <v>تخليه اصفهان نرسيده به شهروزوان كارخانه آسفالت خاكپي</v>
      </c>
      <c r="D430" s="1">
        <v>6876</v>
      </c>
      <c r="E430" s="1">
        <v>70100</v>
      </c>
      <c r="F430" s="1">
        <v>95</v>
      </c>
      <c r="G430" s="1">
        <v>900</v>
      </c>
      <c r="H430" s="1" t="str">
        <f>"95/06/07"</f>
        <v>95/06/07</v>
      </c>
      <c r="I430" s="1" t="str">
        <f t="shared" si="85"/>
        <v>كيلوگرم</v>
      </c>
      <c r="J430" s="1" t="str">
        <f t="shared" si="83"/>
        <v>0000000076</v>
      </c>
      <c r="K430" s="1" t="str">
        <f t="shared" si="84"/>
        <v>قير 60/70 - فله</v>
      </c>
      <c r="L430" s="1">
        <v>100</v>
      </c>
      <c r="M430" s="1" t="str">
        <f t="shared" si="86"/>
        <v>مخازن قير اصفهان</v>
      </c>
      <c r="N430" s="1">
        <v>10673</v>
      </c>
      <c r="O430" s="1">
        <v>50031694</v>
      </c>
      <c r="P430" s="1" t="str">
        <f>"  شهرداري وزوان"</f>
        <v xml:space="preserve">  شهرداري وزوان</v>
      </c>
      <c r="Q430" s="1">
        <v>20</v>
      </c>
      <c r="R430" s="1" t="str">
        <f t="shared" si="95"/>
        <v>فروش داخلي - سازمان شهرداري ها و دهياري هاي كشور</v>
      </c>
      <c r="S430" s="1" t="str">
        <f t="shared" si="87"/>
        <v>قرارداد فروش</v>
      </c>
      <c r="T430" s="1" t="str">
        <f t="shared" si="88"/>
        <v>ندارد</v>
      </c>
      <c r="U430" s="1" t="str">
        <f>"ريسماني حسن(1007ج89)"</f>
        <v>ريسماني حسن(1007ج89)</v>
      </c>
      <c r="V430" s="1">
        <v>952000048</v>
      </c>
      <c r="W430" s="1">
        <v>952000048</v>
      </c>
      <c r="X430" s="1" t="str">
        <f>"1395426944"</f>
        <v>1395426944</v>
      </c>
      <c r="Y430" s="1" t="str">
        <f>"95/06/07"</f>
        <v>95/06/07</v>
      </c>
      <c r="Z430" s="1" t="str">
        <f>"25428"</f>
        <v>25428</v>
      </c>
      <c r="AA430" s="1" t="str">
        <f t="shared" si="96"/>
        <v>شهرداريها</v>
      </c>
      <c r="AB430" s="1" t="str">
        <f>"95/06/01"</f>
        <v>95/06/01</v>
      </c>
      <c r="AC430" s="1" t="str">
        <f>"استان اصفهان"</f>
        <v>استان اصفهان</v>
      </c>
      <c r="AD430" s="1" t="str">
        <f>"95/06/06"</f>
        <v>95/06/06</v>
      </c>
      <c r="AE430" s="1" t="str">
        <f t="shared" si="92"/>
        <v>اختتام</v>
      </c>
      <c r="AF430" s="1" t="str">
        <f>""</f>
        <v/>
      </c>
      <c r="AG430" s="1" t="str">
        <f>""</f>
        <v/>
      </c>
      <c r="AH430" s="1" t="str">
        <f>""</f>
        <v/>
      </c>
      <c r="AI430" s="1" t="str">
        <f>""</f>
        <v/>
      </c>
      <c r="AJ430" s="1" t="str">
        <f>""</f>
        <v/>
      </c>
      <c r="AK430" s="1" t="str">
        <f>""</f>
        <v/>
      </c>
    </row>
    <row r="431" spans="1:37" x14ac:dyDescent="0.2">
      <c r="A431" s="1">
        <v>71000</v>
      </c>
      <c r="B431" s="1">
        <v>952000056</v>
      </c>
      <c r="C431" s="1" t="str">
        <f>"تخليه اصفهان جاده اردستان 5كيلومتربعداززينبيه جاده شهيدشالباف كارخانه آسفالت زينبيه"</f>
        <v>تخليه اصفهان جاده اردستان 5كيلومتربعداززينبيه جاده شهيدشالباف كارخانه آسفالت زينبيه</v>
      </c>
      <c r="D431" s="1">
        <v>6876</v>
      </c>
      <c r="E431" s="1">
        <v>71000</v>
      </c>
      <c r="F431" s="1">
        <v>95</v>
      </c>
      <c r="G431" s="1">
        <v>0</v>
      </c>
      <c r="H431" s="1" t="str">
        <f>"95/06/08"</f>
        <v>95/06/08</v>
      </c>
      <c r="I431" s="1" t="str">
        <f t="shared" si="85"/>
        <v>كيلوگرم</v>
      </c>
      <c r="J431" s="1" t="str">
        <f t="shared" si="83"/>
        <v>0000000076</v>
      </c>
      <c r="K431" s="1" t="str">
        <f t="shared" si="84"/>
        <v>قير 60/70 - فله</v>
      </c>
      <c r="L431" s="1">
        <v>100</v>
      </c>
      <c r="M431" s="1" t="str">
        <f t="shared" si="86"/>
        <v>مخازن قير اصفهان</v>
      </c>
      <c r="N431" s="1">
        <v>10674</v>
      </c>
      <c r="O431" s="1">
        <v>50031711</v>
      </c>
      <c r="P431" s="1" t="str">
        <f>"  شهرداري مهاباداصفهان"</f>
        <v xml:space="preserve">  شهرداري مهاباداصفهان</v>
      </c>
      <c r="Q431" s="1">
        <v>20</v>
      </c>
      <c r="R431" s="1" t="str">
        <f t="shared" si="95"/>
        <v>فروش داخلي - سازمان شهرداري ها و دهياري هاي كشور</v>
      </c>
      <c r="S431" s="1" t="str">
        <f t="shared" si="87"/>
        <v>قرارداد فروش</v>
      </c>
      <c r="T431" s="1" t="str">
        <f t="shared" si="88"/>
        <v>ندارد</v>
      </c>
      <c r="U431" s="1" t="str">
        <f>"ريسماني حسن(1007ج89)"</f>
        <v>ريسماني حسن(1007ج89)</v>
      </c>
      <c r="V431" s="1">
        <v>952000056</v>
      </c>
      <c r="W431" s="1">
        <v>952000056</v>
      </c>
      <c r="X431" s="1" t="str">
        <f>"1395427143"</f>
        <v>1395427143</v>
      </c>
      <c r="Y431" s="1" t="str">
        <f>"95/06/08"</f>
        <v>95/06/08</v>
      </c>
      <c r="Z431" s="1" t="str">
        <f>"23855"</f>
        <v>23855</v>
      </c>
      <c r="AA431" s="1" t="str">
        <f t="shared" si="96"/>
        <v>شهرداريها</v>
      </c>
      <c r="AB431" s="1" t="str">
        <f>"95/05/26"</f>
        <v>95/05/26</v>
      </c>
      <c r="AC431" s="1" t="str">
        <f>"استان اصفهان"</f>
        <v>استان اصفهان</v>
      </c>
      <c r="AD431" s="1" t="str">
        <f>"95/06/07"</f>
        <v>95/06/07</v>
      </c>
      <c r="AE431" s="1" t="str">
        <f t="shared" si="92"/>
        <v>اختتام</v>
      </c>
      <c r="AF431" s="1" t="str">
        <f>""</f>
        <v/>
      </c>
      <c r="AG431" s="1" t="str">
        <f>""</f>
        <v/>
      </c>
      <c r="AH431" s="1" t="str">
        <f>""</f>
        <v/>
      </c>
      <c r="AI431" s="1" t="str">
        <f>""</f>
        <v/>
      </c>
      <c r="AJ431" s="1" t="str">
        <f>""</f>
        <v/>
      </c>
      <c r="AK431" s="1" t="str">
        <f>""</f>
        <v/>
      </c>
    </row>
    <row r="432" spans="1:37" x14ac:dyDescent="0.2">
      <c r="A432" s="1">
        <v>69000</v>
      </c>
      <c r="B432" s="1">
        <v>952000066</v>
      </c>
      <c r="C432" s="1" t="str">
        <f>"تخليه - لرستان- کوهدشت-کيلومتر 10جاده کوهدشت زانو کارخانه آسفالت شهرداري کوهدشت"</f>
        <v>تخليه - لرستان- کوهدشت-کيلومتر 10جاده کوهدشت زانو کارخانه آسفالت شهرداري کوهدشت</v>
      </c>
      <c r="D432" s="1">
        <v>6876</v>
      </c>
      <c r="E432" s="1">
        <v>67240</v>
      </c>
      <c r="F432" s="1">
        <v>95</v>
      </c>
      <c r="G432" s="1">
        <v>1760</v>
      </c>
      <c r="H432" s="1" t="str">
        <f>"95/06/14"</f>
        <v>95/06/14</v>
      </c>
      <c r="I432" s="1" t="str">
        <f t="shared" si="85"/>
        <v>كيلوگرم</v>
      </c>
      <c r="J432" s="1" t="str">
        <f t="shared" si="83"/>
        <v>0000000076</v>
      </c>
      <c r="K432" s="1" t="str">
        <f t="shared" si="84"/>
        <v>قير 60/70 - فله</v>
      </c>
      <c r="L432" s="1">
        <v>100</v>
      </c>
      <c r="M432" s="1" t="str">
        <f t="shared" si="86"/>
        <v>مخازن قير اصفهان</v>
      </c>
      <c r="N432" s="1">
        <v>10806</v>
      </c>
      <c r="O432" s="1">
        <v>50031767</v>
      </c>
      <c r="P432" s="1" t="str">
        <f>"  شهرداري گراب"</f>
        <v xml:space="preserve">  شهرداري گراب</v>
      </c>
      <c r="Q432" s="1">
        <v>20</v>
      </c>
      <c r="R432" s="1" t="str">
        <f t="shared" si="95"/>
        <v>فروش داخلي - سازمان شهرداري ها و دهياري هاي كشور</v>
      </c>
      <c r="S432" s="1" t="str">
        <f t="shared" si="87"/>
        <v>قرارداد فروش</v>
      </c>
      <c r="T432" s="1" t="str">
        <f t="shared" si="88"/>
        <v>ندارد</v>
      </c>
      <c r="U432" s="1" t="str">
        <f>"عظيمي محمد(2842015)"</f>
        <v>عظيمي محمد(2842015)</v>
      </c>
      <c r="V432" s="1">
        <v>952000066</v>
      </c>
      <c r="W432" s="1">
        <v>952000066</v>
      </c>
      <c r="X432" s="1" t="str">
        <f>"1395428834"</f>
        <v>1395428834</v>
      </c>
      <c r="Y432" s="1" t="str">
        <f>"95/06/14"</f>
        <v>95/06/14</v>
      </c>
      <c r="Z432" s="1" t="str">
        <f>"27677"</f>
        <v>27677</v>
      </c>
      <c r="AA432" s="1" t="str">
        <f t="shared" si="96"/>
        <v>شهرداريها</v>
      </c>
      <c r="AB432" s="1" t="str">
        <f>"95/06/10"</f>
        <v>95/06/10</v>
      </c>
      <c r="AC432" s="1" t="str">
        <f>"لرستان"</f>
        <v>لرستان</v>
      </c>
      <c r="AD432" s="1" t="str">
        <f>"95/06/13"</f>
        <v>95/06/13</v>
      </c>
      <c r="AE432" s="1" t="str">
        <f t="shared" si="92"/>
        <v>اختتام</v>
      </c>
      <c r="AF432" s="1" t="str">
        <f>""</f>
        <v/>
      </c>
      <c r="AG432" s="1" t="str">
        <f>""</f>
        <v/>
      </c>
      <c r="AH432" s="1" t="str">
        <f>""</f>
        <v/>
      </c>
      <c r="AI432" s="1" t="str">
        <f>""</f>
        <v/>
      </c>
      <c r="AJ432" s="1" t="str">
        <f>""</f>
        <v/>
      </c>
      <c r="AK432" s="1" t="str">
        <f>""</f>
        <v/>
      </c>
    </row>
    <row r="433" spans="1:37" x14ac:dyDescent="0.2">
      <c r="A433" s="1">
        <v>70000</v>
      </c>
      <c r="B433" s="1">
        <v>952000201</v>
      </c>
      <c r="C433" s="1" t="str">
        <f>"تخليه - لرستان- کوهدشت-کيلومتر 10جاده کوهدشت زانو کارخانه آسفالت شهرداري کوهدشت"</f>
        <v>تخليه - لرستان- کوهدشت-کيلومتر 10جاده کوهدشت زانو کارخانه آسفالت شهرداري کوهدشت</v>
      </c>
      <c r="D433" s="1">
        <v>8023</v>
      </c>
      <c r="E433" s="1">
        <v>68520</v>
      </c>
      <c r="F433" s="1">
        <v>95</v>
      </c>
      <c r="G433" s="1">
        <v>1480</v>
      </c>
      <c r="H433" s="1" t="str">
        <f>"95/08/16"</f>
        <v>95/08/16</v>
      </c>
      <c r="I433" s="1" t="str">
        <f t="shared" si="85"/>
        <v>كيلوگرم</v>
      </c>
      <c r="J433" s="1" t="str">
        <f t="shared" si="83"/>
        <v>0000000076</v>
      </c>
      <c r="K433" s="1" t="str">
        <f t="shared" si="84"/>
        <v>قير 60/70 - فله</v>
      </c>
      <c r="L433" s="1">
        <v>100</v>
      </c>
      <c r="M433" s="1" t="str">
        <f t="shared" si="86"/>
        <v>مخازن قير اصفهان</v>
      </c>
      <c r="N433" s="1">
        <v>10806</v>
      </c>
      <c r="O433" s="1">
        <v>50032508</v>
      </c>
      <c r="P433" s="1" t="str">
        <f>"  شهرداري گراب"</f>
        <v xml:space="preserve">  شهرداري گراب</v>
      </c>
      <c r="Q433" s="1">
        <v>20</v>
      </c>
      <c r="R433" s="1" t="str">
        <f t="shared" si="95"/>
        <v>فروش داخلي - سازمان شهرداري ها و دهياري هاي كشور</v>
      </c>
      <c r="S433" s="1" t="str">
        <f t="shared" si="87"/>
        <v>قرارداد فروش</v>
      </c>
      <c r="T433" s="1" t="str">
        <f t="shared" si="88"/>
        <v>ندارد</v>
      </c>
      <c r="U433" s="1" t="str">
        <f>"عظيمي محمد(2842015)"</f>
        <v>عظيمي محمد(2842015)</v>
      </c>
      <c r="V433" s="1">
        <v>952000201</v>
      </c>
      <c r="W433" s="1">
        <v>952000201</v>
      </c>
      <c r="X433" s="1" t="str">
        <f>"1395443199"</f>
        <v>1395443199</v>
      </c>
      <c r="Y433" s="1" t="str">
        <f>"95/08/16"</f>
        <v>95/08/16</v>
      </c>
      <c r="Z433" s="1" t="str">
        <f>"39500"</f>
        <v>39500</v>
      </c>
      <c r="AA433" s="1" t="str">
        <f t="shared" si="96"/>
        <v>شهرداريها</v>
      </c>
      <c r="AB433" s="1" t="str">
        <f>"95/08/11"</f>
        <v>95/08/11</v>
      </c>
      <c r="AC433" s="1" t="str">
        <f>"لرستان"</f>
        <v>لرستان</v>
      </c>
      <c r="AD433" s="1" t="str">
        <f>"95/08/15"</f>
        <v>95/08/15</v>
      </c>
      <c r="AE433" s="1" t="str">
        <f t="shared" si="92"/>
        <v>اختتام</v>
      </c>
      <c r="AF433" s="1" t="str">
        <f>""</f>
        <v/>
      </c>
      <c r="AG433" s="1" t="str">
        <f>""</f>
        <v/>
      </c>
      <c r="AH433" s="1" t="str">
        <f>""</f>
        <v/>
      </c>
      <c r="AI433" s="1" t="str">
        <f>""</f>
        <v/>
      </c>
      <c r="AJ433" s="1" t="str">
        <f>""</f>
        <v/>
      </c>
      <c r="AK433" s="1" t="str">
        <f>""</f>
        <v/>
      </c>
    </row>
    <row r="434" spans="1:37" x14ac:dyDescent="0.2">
      <c r="A434" s="1">
        <v>151000</v>
      </c>
      <c r="B434" s="1">
        <v>956200376</v>
      </c>
      <c r="C434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434" s="1">
        <v>8848</v>
      </c>
      <c r="E434" s="1">
        <v>151000</v>
      </c>
      <c r="F434" s="1">
        <v>95</v>
      </c>
      <c r="G434" s="1">
        <v>0</v>
      </c>
      <c r="H434" s="1" t="str">
        <f>"95/12/23"</f>
        <v>95/12/23</v>
      </c>
      <c r="I434" s="1" t="str">
        <f t="shared" si="85"/>
        <v>كيلوگرم</v>
      </c>
      <c r="J434" s="1" t="str">
        <f t="shared" si="83"/>
        <v>0000000076</v>
      </c>
      <c r="K434" s="1" t="str">
        <f t="shared" si="84"/>
        <v>قير 60/70 - فله</v>
      </c>
      <c r="L434" s="1">
        <v>100</v>
      </c>
      <c r="M434" s="1" t="str">
        <f t="shared" si="86"/>
        <v>مخازن قير اصفهان</v>
      </c>
      <c r="N434" s="1">
        <v>10828</v>
      </c>
      <c r="O434" s="1">
        <v>50034174</v>
      </c>
      <c r="P434" s="1" t="str">
        <f>"  زرين گستربيستون"</f>
        <v xml:space="preserve">  زرين گستربيستون</v>
      </c>
      <c r="Q434" s="1">
        <v>62</v>
      </c>
      <c r="R434" s="1" t="str">
        <f>"فروش داخلي - سازمان بنيادمسكن انقلاب اسلامي"</f>
        <v>فروش داخلي - سازمان بنيادمسكن انقلاب اسلامي</v>
      </c>
      <c r="S434" s="1" t="str">
        <f t="shared" si="87"/>
        <v>قرارداد فروش</v>
      </c>
      <c r="T434" s="1" t="str">
        <f t="shared" si="88"/>
        <v>ندارد</v>
      </c>
      <c r="U434" s="1" t="str">
        <f>"پيرالي مجيد(1045ج 94)"</f>
        <v>پيرالي مجيد(1045ج 94)</v>
      </c>
      <c r="V434" s="1">
        <v>956200376</v>
      </c>
      <c r="W434" s="1">
        <v>956200376</v>
      </c>
      <c r="X434" s="1" t="str">
        <f>"1395470885"</f>
        <v>1395470885</v>
      </c>
      <c r="Y434" s="1" t="str">
        <f>"95/12/23"</f>
        <v>95/12/23</v>
      </c>
      <c r="Z434" s="1" t="str">
        <f>"57015/د"</f>
        <v>57015/د</v>
      </c>
      <c r="AA434" s="1" t="str">
        <f>"بنيادمسكن انقلاب اسلامي"</f>
        <v>بنيادمسكن انقلاب اسلامي</v>
      </c>
      <c r="AB434" s="1" t="str">
        <f>"95/12/22"</f>
        <v>95/12/22</v>
      </c>
      <c r="AC434" s="1" t="str">
        <f>"استان كرمانشاه"</f>
        <v>استان كرمانشاه</v>
      </c>
      <c r="AD434" s="1" t="str">
        <f>"95/12/23"</f>
        <v>95/12/23</v>
      </c>
      <c r="AE434" s="1" t="str">
        <f t="shared" si="92"/>
        <v>اختتام</v>
      </c>
      <c r="AF434" s="1" t="str">
        <f>""</f>
        <v/>
      </c>
      <c r="AG434" s="1" t="str">
        <f>""</f>
        <v/>
      </c>
      <c r="AH434" s="1" t="str">
        <f>""</f>
        <v/>
      </c>
      <c r="AI434" s="1" t="str">
        <f>""</f>
        <v/>
      </c>
      <c r="AJ434" s="1" t="str">
        <f>""</f>
        <v/>
      </c>
      <c r="AK434" s="1" t="str">
        <f>""</f>
        <v/>
      </c>
    </row>
    <row r="435" spans="1:37" x14ac:dyDescent="0.2">
      <c r="A435" s="1">
        <v>73000</v>
      </c>
      <c r="B435" s="1">
        <v>952000311</v>
      </c>
      <c r="C435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435" s="1">
        <v>9361</v>
      </c>
      <c r="E435" s="1">
        <v>71900</v>
      </c>
      <c r="F435" s="1">
        <v>95</v>
      </c>
      <c r="G435" s="1">
        <v>1100</v>
      </c>
      <c r="H435" s="1" t="str">
        <f>"95/11/23"</f>
        <v>95/11/23</v>
      </c>
      <c r="I435" s="1" t="str">
        <f t="shared" si="85"/>
        <v>كيلوگرم</v>
      </c>
      <c r="J435" s="1" t="str">
        <f t="shared" si="83"/>
        <v>0000000076</v>
      </c>
      <c r="K435" s="1" t="str">
        <f t="shared" si="84"/>
        <v>قير 60/70 - فله</v>
      </c>
      <c r="L435" s="1">
        <v>100</v>
      </c>
      <c r="M435" s="1" t="str">
        <f t="shared" si="86"/>
        <v>مخازن قير اصفهان</v>
      </c>
      <c r="N435" s="1">
        <v>11184</v>
      </c>
      <c r="O435" s="1">
        <v>50033668</v>
      </c>
      <c r="P435" s="1" t="str">
        <f>"  شهرداري باغشاد"</f>
        <v xml:space="preserve">  شهرداري باغشاد</v>
      </c>
      <c r="Q435" s="1">
        <v>20</v>
      </c>
      <c r="R435" s="1" t="str">
        <f>"فروش داخلي - سازمان شهرداري ها و دهياري هاي كشور"</f>
        <v>فروش داخلي - سازمان شهرداري ها و دهياري هاي كشور</v>
      </c>
      <c r="S435" s="1" t="str">
        <f t="shared" si="87"/>
        <v>قرارداد فروش</v>
      </c>
      <c r="T435" s="1" t="str">
        <f t="shared" si="88"/>
        <v>ندارد</v>
      </c>
      <c r="U435" s="1" t="str">
        <f>"مرادي نجاتعلي(1020ج89)"</f>
        <v>مرادي نجاتعلي(1020ج89)</v>
      </c>
      <c r="V435" s="1">
        <v>952000311</v>
      </c>
      <c r="W435" s="1">
        <v>952000311</v>
      </c>
      <c r="X435" s="1" t="str">
        <f>"1395464401"</f>
        <v>1395464401</v>
      </c>
      <c r="Y435" s="1" t="str">
        <f>"95/11/23"</f>
        <v>95/11/23</v>
      </c>
      <c r="Z435" s="1" t="str">
        <f>"43294"</f>
        <v>43294</v>
      </c>
      <c r="AA435" s="1" t="str">
        <f>"شهرداريها"</f>
        <v>شهرداريها</v>
      </c>
      <c r="AB435" s="1" t="str">
        <f>"95/09/02"</f>
        <v>95/09/02</v>
      </c>
      <c r="AC435" s="1" t="str">
        <f>"استان اصفهان"</f>
        <v>استان اصفهان</v>
      </c>
      <c r="AD435" s="1" t="str">
        <f>"95/11/23"</f>
        <v>95/11/23</v>
      </c>
      <c r="AE435" s="1" t="str">
        <f t="shared" si="92"/>
        <v>اختتام</v>
      </c>
      <c r="AF435" s="1" t="str">
        <f>""</f>
        <v/>
      </c>
      <c r="AG435" s="1" t="str">
        <f>""</f>
        <v/>
      </c>
      <c r="AH435" s="1" t="str">
        <f>""</f>
        <v/>
      </c>
      <c r="AI435" s="1" t="str">
        <f>""</f>
        <v/>
      </c>
      <c r="AJ435" s="1" t="str">
        <f>""</f>
        <v/>
      </c>
      <c r="AK435" s="1" t="str">
        <f>""</f>
        <v/>
      </c>
    </row>
    <row r="436" spans="1:37" x14ac:dyDescent="0.2">
      <c r="A436" s="1">
        <v>152000</v>
      </c>
      <c r="B436" s="1">
        <v>952000318</v>
      </c>
      <c r="C436" s="1" t="str">
        <f>"تخليه اصفهان داران بلواردانشگاه كارخانه آسفالت جهاد"</f>
        <v>تخليه اصفهان داران بلواردانشگاه كارخانه آسفالت جهاد</v>
      </c>
      <c r="D436" s="1">
        <v>9361</v>
      </c>
      <c r="E436" s="1">
        <v>150240</v>
      </c>
      <c r="F436" s="1">
        <v>95</v>
      </c>
      <c r="G436" s="1">
        <v>1760</v>
      </c>
      <c r="H436" s="1" t="str">
        <f>"95/11/23"</f>
        <v>95/11/23</v>
      </c>
      <c r="I436" s="1" t="str">
        <f t="shared" si="85"/>
        <v>كيلوگرم</v>
      </c>
      <c r="J436" s="1" t="str">
        <f t="shared" ref="J436:J499" si="97">"0000000076"</f>
        <v>0000000076</v>
      </c>
      <c r="K436" s="1" t="str">
        <f t="shared" ref="K436:K499" si="98">"قير 60/70 - فله"</f>
        <v>قير 60/70 - فله</v>
      </c>
      <c r="L436" s="1">
        <v>100</v>
      </c>
      <c r="M436" s="1" t="str">
        <f t="shared" si="86"/>
        <v>مخازن قير اصفهان</v>
      </c>
      <c r="N436" s="1">
        <v>11190</v>
      </c>
      <c r="O436" s="1">
        <v>50033675</v>
      </c>
      <c r="P436" s="1" t="str">
        <f>"  شهرداري داران"</f>
        <v xml:space="preserve">  شهرداري داران</v>
      </c>
      <c r="Q436" s="1">
        <v>20</v>
      </c>
      <c r="R436" s="1" t="str">
        <f>"فروش داخلي - سازمان شهرداري ها و دهياري هاي كشور"</f>
        <v>فروش داخلي - سازمان شهرداري ها و دهياري هاي كشور</v>
      </c>
      <c r="S436" s="1" t="str">
        <f t="shared" si="87"/>
        <v>قرارداد فروش</v>
      </c>
      <c r="T436" s="1" t="str">
        <f t="shared" si="88"/>
        <v>ندارد</v>
      </c>
      <c r="U436" s="1" t="str">
        <f>"قره باغي مجيد(1871065)"</f>
        <v>قره باغي مجيد(1871065)</v>
      </c>
      <c r="V436" s="1">
        <v>952000318</v>
      </c>
      <c r="W436" s="1">
        <v>952000318</v>
      </c>
      <c r="X436" s="1" t="str">
        <f>"1395464401"</f>
        <v>1395464401</v>
      </c>
      <c r="Y436" s="1" t="str">
        <f>"95/11/23"</f>
        <v>95/11/23</v>
      </c>
      <c r="Z436" s="1" t="str">
        <f>"43405"</f>
        <v>43405</v>
      </c>
      <c r="AA436" s="1" t="str">
        <f>"شهرداريها"</f>
        <v>شهرداريها</v>
      </c>
      <c r="AB436" s="1" t="str">
        <f>"95/09/02"</f>
        <v>95/09/02</v>
      </c>
      <c r="AC436" s="1" t="str">
        <f>"استان اصفهان"</f>
        <v>استان اصفهان</v>
      </c>
      <c r="AD436" s="1" t="str">
        <f>"95/11/23"</f>
        <v>95/11/23</v>
      </c>
      <c r="AE436" s="1" t="str">
        <f t="shared" si="92"/>
        <v>اختتام</v>
      </c>
      <c r="AF436" s="1" t="str">
        <f>""</f>
        <v/>
      </c>
      <c r="AG436" s="1" t="str">
        <f>""</f>
        <v/>
      </c>
      <c r="AH436" s="1" t="str">
        <f>""</f>
        <v/>
      </c>
      <c r="AI436" s="1" t="str">
        <f>""</f>
        <v/>
      </c>
      <c r="AJ436" s="1" t="str">
        <f>""</f>
        <v/>
      </c>
      <c r="AK436" s="1" t="str">
        <f>""</f>
        <v/>
      </c>
    </row>
    <row r="437" spans="1:37" x14ac:dyDescent="0.2">
      <c r="A437" s="1">
        <v>75000</v>
      </c>
      <c r="B437" s="1">
        <v>952000349</v>
      </c>
      <c r="C437" s="1" t="str">
        <f>"تخليه اصفهان كيلومتر29اتوبان ذوب آهن زرين شهركارخانه آسفالت زرين شهر"</f>
        <v>تخليه اصفهان كيلومتر29اتوبان ذوب آهن زرين شهركارخانه آسفالت زرين شهر</v>
      </c>
      <c r="D437" s="1">
        <v>9361</v>
      </c>
      <c r="E437" s="1">
        <v>74420</v>
      </c>
      <c r="F437" s="1">
        <v>95</v>
      </c>
      <c r="G437" s="1">
        <v>580</v>
      </c>
      <c r="H437" s="1" t="str">
        <f>"95/11/25"</f>
        <v>95/11/25</v>
      </c>
      <c r="I437" s="1" t="str">
        <f t="shared" si="85"/>
        <v>كيلوگرم</v>
      </c>
      <c r="J437" s="1" t="str">
        <f t="shared" si="97"/>
        <v>0000000076</v>
      </c>
      <c r="K437" s="1" t="str">
        <f t="shared" si="98"/>
        <v>قير 60/70 - فله</v>
      </c>
      <c r="L437" s="1">
        <v>100</v>
      </c>
      <c r="M437" s="1" t="str">
        <f t="shared" si="86"/>
        <v>مخازن قير اصفهان</v>
      </c>
      <c r="N437" s="1">
        <v>11197</v>
      </c>
      <c r="O437" s="1">
        <v>50033738</v>
      </c>
      <c r="P437" s="1" t="str">
        <f>"  شهرداري باغبادران"</f>
        <v xml:space="preserve">  شهرداري باغبادران</v>
      </c>
      <c r="Q437" s="1">
        <v>20</v>
      </c>
      <c r="R437" s="1" t="str">
        <f>"فروش داخلي - سازمان شهرداري ها و دهياري هاي كشور"</f>
        <v>فروش داخلي - سازمان شهرداري ها و دهياري هاي كشور</v>
      </c>
      <c r="S437" s="1" t="str">
        <f t="shared" si="87"/>
        <v>قرارداد فروش</v>
      </c>
      <c r="T437" s="1" t="str">
        <f t="shared" si="88"/>
        <v>ندارد</v>
      </c>
      <c r="U437" s="1" t="str">
        <f>"مرادي نجاتعلي(1020ج89)"</f>
        <v>مرادي نجاتعلي(1020ج89)</v>
      </c>
      <c r="V437" s="1">
        <v>952000349</v>
      </c>
      <c r="W437" s="1">
        <v>952000349</v>
      </c>
      <c r="X437" s="1" t="str">
        <f>"1395464670"</f>
        <v>1395464670</v>
      </c>
      <c r="Y437" s="1" t="str">
        <f>"95/11/25"</f>
        <v>95/11/25</v>
      </c>
      <c r="Z437" s="1" t="str">
        <f>"43235"</f>
        <v>43235</v>
      </c>
      <c r="AA437" s="1" t="str">
        <f>"شهرداريها"</f>
        <v>شهرداريها</v>
      </c>
      <c r="AB437" s="1" t="str">
        <f>"95/09/01"</f>
        <v>95/09/01</v>
      </c>
      <c r="AC437" s="1" t="str">
        <f>"استان اصفهان"</f>
        <v>استان اصفهان</v>
      </c>
      <c r="AD437" s="1" t="str">
        <f>"95/11/25"</f>
        <v>95/11/25</v>
      </c>
      <c r="AE437" s="1" t="str">
        <f t="shared" si="92"/>
        <v>اختتام</v>
      </c>
      <c r="AF437" s="1" t="str">
        <f>""</f>
        <v/>
      </c>
      <c r="AG437" s="1" t="str">
        <f>""</f>
        <v/>
      </c>
      <c r="AH437" s="1" t="str">
        <f>""</f>
        <v/>
      </c>
      <c r="AI437" s="1" t="str">
        <f>""</f>
        <v/>
      </c>
      <c r="AJ437" s="1" t="str">
        <f>""</f>
        <v/>
      </c>
      <c r="AK437" s="1" t="str">
        <f>""</f>
        <v/>
      </c>
    </row>
    <row r="438" spans="1:37" x14ac:dyDescent="0.2">
      <c r="A438" s="1">
        <v>72000</v>
      </c>
      <c r="B438" s="1">
        <v>952000107</v>
      </c>
      <c r="C438" s="1" t="str">
        <f>"اصفهان -خميني شهربالاترازشهرك صنعتي برق والكترونيك -كارخانه آسفالت شركت كوهرنگ راه"</f>
        <v>اصفهان -خميني شهربالاترازشهرك صنعتي برق والكترونيك -كارخانه آسفالت شركت كوهرنگ راه</v>
      </c>
      <c r="D438" s="1">
        <v>6976</v>
      </c>
      <c r="E438" s="1">
        <v>71440</v>
      </c>
      <c r="F438" s="1">
        <v>95</v>
      </c>
      <c r="G438" s="1">
        <v>560</v>
      </c>
      <c r="H438" s="1" t="str">
        <f>"95/07/06"</f>
        <v>95/07/06</v>
      </c>
      <c r="I438" s="1" t="str">
        <f t="shared" si="85"/>
        <v>كيلوگرم</v>
      </c>
      <c r="J438" s="1" t="str">
        <f t="shared" si="97"/>
        <v>0000000076</v>
      </c>
      <c r="K438" s="1" t="str">
        <f t="shared" si="98"/>
        <v>قير 60/70 - فله</v>
      </c>
      <c r="L438" s="1">
        <v>100</v>
      </c>
      <c r="M438" s="1" t="str">
        <f t="shared" si="86"/>
        <v>مخازن قير اصفهان</v>
      </c>
      <c r="N438" s="1">
        <v>10687</v>
      </c>
      <c r="O438" s="1">
        <v>50031973</v>
      </c>
      <c r="P438" s="1" t="str">
        <f>"  شهرداري اصغرآباد"</f>
        <v xml:space="preserve">  شهرداري اصغرآباد</v>
      </c>
      <c r="Q438" s="1">
        <v>20</v>
      </c>
      <c r="R438" s="1" t="str">
        <f>"فروش داخلي - سازمان شهرداري ها و دهياري هاي كشور"</f>
        <v>فروش داخلي - سازمان شهرداري ها و دهياري هاي كشور</v>
      </c>
      <c r="S438" s="1" t="str">
        <f t="shared" si="87"/>
        <v>قرارداد فروش</v>
      </c>
      <c r="T438" s="1" t="str">
        <f t="shared" si="88"/>
        <v>ندارد</v>
      </c>
      <c r="U438" s="1" t="str">
        <f>"معماريان سعيد(1004ج89)"</f>
        <v>معماريان سعيد(1004ج89)</v>
      </c>
      <c r="V438" s="1">
        <v>952000107</v>
      </c>
      <c r="W438" s="1">
        <v>952000107</v>
      </c>
      <c r="X438" s="1" t="str">
        <f>"1395433645"</f>
        <v>1395433645</v>
      </c>
      <c r="Y438" s="1" t="str">
        <f>"95/07/06"</f>
        <v>95/07/06</v>
      </c>
      <c r="Z438" s="1" t="str">
        <f>"27773"</f>
        <v>27773</v>
      </c>
      <c r="AA438" s="1" t="str">
        <f>"شهرداريها"</f>
        <v>شهرداريها</v>
      </c>
      <c r="AB438" s="1" t="str">
        <f>"95/06/10"</f>
        <v>95/06/10</v>
      </c>
      <c r="AC438" s="1" t="str">
        <f>"استان اصفهان"</f>
        <v>استان اصفهان</v>
      </c>
      <c r="AD438" s="1" t="str">
        <f>"95/07/04"</f>
        <v>95/07/04</v>
      </c>
      <c r="AE438" s="1" t="str">
        <f t="shared" si="92"/>
        <v>اختتام</v>
      </c>
      <c r="AF438" s="1" t="str">
        <f>""</f>
        <v/>
      </c>
      <c r="AG438" s="1" t="str">
        <f>""</f>
        <v/>
      </c>
      <c r="AH438" s="1" t="str">
        <f>""</f>
        <v/>
      </c>
      <c r="AI438" s="1" t="str">
        <f>""</f>
        <v/>
      </c>
      <c r="AJ438" s="1" t="str">
        <f>""</f>
        <v/>
      </c>
      <c r="AK438" s="1" t="str">
        <f>""</f>
        <v/>
      </c>
    </row>
    <row r="439" spans="1:37" x14ac:dyDescent="0.2">
      <c r="A439" s="1">
        <v>75000</v>
      </c>
      <c r="B439" s="1">
        <v>952000250</v>
      </c>
      <c r="C439" s="1" t="str">
        <f>"محل تخليه -اصفهان -كارخانه آسفالت شهرداري فريدونشهر"</f>
        <v>محل تخليه -اصفهان -كارخانه آسفالت شهرداري فريدونشهر</v>
      </c>
      <c r="D439" s="1">
        <v>7026</v>
      </c>
      <c r="E439" s="1">
        <v>73460</v>
      </c>
      <c r="F439" s="1">
        <v>95</v>
      </c>
      <c r="G439" s="1">
        <v>1540</v>
      </c>
      <c r="H439" s="1" t="str">
        <f>"95/09/07"</f>
        <v>95/09/07</v>
      </c>
      <c r="I439" s="1" t="str">
        <f t="shared" si="85"/>
        <v>كيلوگرم</v>
      </c>
      <c r="J439" s="1" t="str">
        <f t="shared" si="97"/>
        <v>0000000076</v>
      </c>
      <c r="K439" s="1" t="str">
        <f t="shared" si="98"/>
        <v>قير 60/70 - فله</v>
      </c>
      <c r="L439" s="1">
        <v>100</v>
      </c>
      <c r="M439" s="1" t="str">
        <f t="shared" si="86"/>
        <v>مخازن قير اصفهان</v>
      </c>
      <c r="N439" s="1">
        <v>10689</v>
      </c>
      <c r="O439" s="1">
        <v>50032717</v>
      </c>
      <c r="P439" s="1" t="str">
        <f>"  شهرداري برف انبار"</f>
        <v xml:space="preserve">  شهرداري برف انبار</v>
      </c>
      <c r="Q439" s="1">
        <v>20</v>
      </c>
      <c r="R439" s="1" t="str">
        <f>"فروش داخلي - سازمان شهرداري ها و دهياري هاي كشور"</f>
        <v>فروش داخلي - سازمان شهرداري ها و دهياري هاي كشور</v>
      </c>
      <c r="S439" s="1" t="str">
        <f t="shared" si="87"/>
        <v>قرارداد فروش</v>
      </c>
      <c r="T439" s="1" t="str">
        <f t="shared" si="88"/>
        <v>ندارد</v>
      </c>
      <c r="U439" s="1" t="str">
        <f>"سيفي پور گودرز(1019ج89)"</f>
        <v>سيفي پور گودرز(1019ج89)</v>
      </c>
      <c r="V439" s="1">
        <v>952000250</v>
      </c>
      <c r="W439" s="1">
        <v>952000250</v>
      </c>
      <c r="X439" s="1" t="str">
        <f>"1395447617"</f>
        <v>1395447617</v>
      </c>
      <c r="Y439" s="1" t="str">
        <f>"95/09/07"</f>
        <v>95/09/07</v>
      </c>
      <c r="Z439" s="1" t="str">
        <f>"42452"</f>
        <v>42452</v>
      </c>
      <c r="AA439" s="1" t="str">
        <f>"شهرداريها"</f>
        <v>شهرداريها</v>
      </c>
      <c r="AB439" s="1" t="str">
        <f>"95/08/26"</f>
        <v>95/08/26</v>
      </c>
      <c r="AC439" s="1" t="str">
        <f>"استان اصفهان"</f>
        <v>استان اصفهان</v>
      </c>
      <c r="AD439" s="1" t="str">
        <f>"95/09/06"</f>
        <v>95/09/06</v>
      </c>
      <c r="AE439" s="1" t="str">
        <f t="shared" si="92"/>
        <v>اختتام</v>
      </c>
      <c r="AF439" s="1" t="str">
        <f>""</f>
        <v/>
      </c>
      <c r="AG439" s="1" t="str">
        <f>""</f>
        <v/>
      </c>
      <c r="AH439" s="1" t="str">
        <f>""</f>
        <v/>
      </c>
      <c r="AI439" s="1" t="str">
        <f>""</f>
        <v/>
      </c>
      <c r="AJ439" s="1" t="str">
        <f>""</f>
        <v/>
      </c>
      <c r="AK439" s="1" t="str">
        <f>""</f>
        <v/>
      </c>
    </row>
    <row r="440" spans="1:37" x14ac:dyDescent="0.2">
      <c r="A440" s="1">
        <v>200000</v>
      </c>
      <c r="B440" s="1">
        <v>951100188</v>
      </c>
      <c r="C440" s="1" t="str">
        <f>"تخليه -تهران -فرودگاه بين المللي امام خميني"</f>
        <v>تخليه -تهران -فرودگاه بين المللي امام خميني</v>
      </c>
      <c r="D440" s="1">
        <v>9361</v>
      </c>
      <c r="E440" s="1">
        <v>193380</v>
      </c>
      <c r="F440" s="1">
        <v>95</v>
      </c>
      <c r="G440" s="1">
        <v>6620</v>
      </c>
      <c r="H440" s="1" t="str">
        <f>"95/12/07"</f>
        <v>95/12/07</v>
      </c>
      <c r="I440" s="1" t="str">
        <f t="shared" si="85"/>
        <v>كيلوگرم</v>
      </c>
      <c r="J440" s="1" t="str">
        <f t="shared" si="97"/>
        <v>0000000076</v>
      </c>
      <c r="K440" s="1" t="str">
        <f t="shared" si="98"/>
        <v>قير 60/70 - فله</v>
      </c>
      <c r="L440" s="1">
        <v>100</v>
      </c>
      <c r="M440" s="1" t="str">
        <f t="shared" si="86"/>
        <v>مخازن قير اصفهان</v>
      </c>
      <c r="N440" s="1">
        <v>8025</v>
      </c>
      <c r="O440" s="1">
        <v>50033879</v>
      </c>
      <c r="P440" s="1" t="str">
        <f>"  ملي ساختمان"</f>
        <v xml:space="preserve">  ملي ساختمان</v>
      </c>
      <c r="Q440" s="1">
        <v>11</v>
      </c>
      <c r="R440" s="1" t="str">
        <f>"فروش داخلي تهران - بورس"</f>
        <v>فروش داخلي تهران - بورس</v>
      </c>
      <c r="S440" s="1" t="str">
        <f t="shared" si="87"/>
        <v>قرارداد فروش</v>
      </c>
      <c r="T440" s="1" t="str">
        <f t="shared" si="88"/>
        <v>ندارد</v>
      </c>
      <c r="U440" s="1" t="str">
        <f>"حسيني علي(1841001)"</f>
        <v>حسيني علي(1841001)</v>
      </c>
      <c r="V440" s="1">
        <v>951100188</v>
      </c>
      <c r="W440" s="1">
        <v>951100188</v>
      </c>
      <c r="X440" s="1" t="str">
        <f>"1395466055"</f>
        <v>1395466055</v>
      </c>
      <c r="Y440" s="1" t="str">
        <f>"95/12/07"</f>
        <v>95/12/07</v>
      </c>
      <c r="Z440" s="1" t="str">
        <f>"95-35181"</f>
        <v>95-35181</v>
      </c>
      <c r="AA440" s="1" t="str">
        <f>"راه سازي"</f>
        <v>راه سازي</v>
      </c>
      <c r="AB440" s="1" t="str">
        <f>"95/12/07"</f>
        <v>95/12/07</v>
      </c>
      <c r="AC440" s="1" t="str">
        <f>"استان تهران"</f>
        <v>استان تهران</v>
      </c>
      <c r="AD440" s="1" t="str">
        <f>"95/11/30"</f>
        <v>95/11/30</v>
      </c>
      <c r="AE440" s="1" t="str">
        <f t="shared" si="92"/>
        <v>اختتام</v>
      </c>
      <c r="AF440" s="1" t="str">
        <f>""</f>
        <v/>
      </c>
      <c r="AG440" s="1" t="str">
        <f>""</f>
        <v/>
      </c>
      <c r="AH440" s="1" t="str">
        <f>""</f>
        <v/>
      </c>
      <c r="AI440" s="1" t="str">
        <f>""</f>
        <v/>
      </c>
      <c r="AJ440" s="1" t="str">
        <f>""</f>
        <v/>
      </c>
      <c r="AK440" s="1" t="str">
        <f>""</f>
        <v/>
      </c>
    </row>
    <row r="441" spans="1:37" x14ac:dyDescent="0.2">
      <c r="A441" s="1">
        <v>114000</v>
      </c>
      <c r="B441" s="1">
        <v>952000165</v>
      </c>
      <c r="C441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441" s="1">
        <v>6976</v>
      </c>
      <c r="E441" s="1">
        <v>113640</v>
      </c>
      <c r="F441" s="1">
        <v>95</v>
      </c>
      <c r="G441" s="1">
        <v>360</v>
      </c>
      <c r="H441" s="1" t="str">
        <f>"95/07/19"</f>
        <v>95/07/19</v>
      </c>
      <c r="I441" s="1" t="str">
        <f t="shared" si="85"/>
        <v>كيلوگرم</v>
      </c>
      <c r="J441" s="1" t="str">
        <f t="shared" si="97"/>
        <v>0000000076</v>
      </c>
      <c r="K441" s="1" t="str">
        <f t="shared" si="98"/>
        <v>قير 60/70 - فله</v>
      </c>
      <c r="L441" s="1">
        <v>100</v>
      </c>
      <c r="M441" s="1" t="str">
        <f t="shared" si="86"/>
        <v>مخازن قير اصفهان</v>
      </c>
      <c r="N441" s="1">
        <v>11204</v>
      </c>
      <c r="O441" s="1">
        <v>50032162</v>
      </c>
      <c r="P441" s="1" t="str">
        <f>"  شهرداري چرام"</f>
        <v xml:space="preserve">  شهرداري چرام</v>
      </c>
      <c r="Q441" s="1">
        <v>20</v>
      </c>
      <c r="R441" s="1" t="str">
        <f>"فروش داخلي - سازمان شهرداري ها و دهياري هاي كشور"</f>
        <v>فروش داخلي - سازمان شهرداري ها و دهياري هاي كشور</v>
      </c>
      <c r="S441" s="1" t="str">
        <f t="shared" si="87"/>
        <v>قرارداد فروش</v>
      </c>
      <c r="T441" s="1" t="str">
        <f t="shared" si="88"/>
        <v>ندارد</v>
      </c>
      <c r="U441" s="1" t="str">
        <f>"دشت بشي پودنگ وبرادران رضا(4844014)"</f>
        <v>دشت بشي پودنگ وبرادران رضا(4844014)</v>
      </c>
      <c r="V441" s="1">
        <v>952000165</v>
      </c>
      <c r="W441" s="1">
        <v>952000165</v>
      </c>
      <c r="X441" s="1" t="str">
        <f>"1395436852"</f>
        <v>1395436852</v>
      </c>
      <c r="Y441" s="1" t="str">
        <f>"95/07/19"</f>
        <v>95/07/19</v>
      </c>
      <c r="Z441" s="1" t="str">
        <f>"34293"</f>
        <v>34293</v>
      </c>
      <c r="AA441" s="1" t="str">
        <f>"شهرداريها"</f>
        <v>شهرداريها</v>
      </c>
      <c r="AB441" s="1" t="str">
        <f>"95/07/14"</f>
        <v>95/07/14</v>
      </c>
      <c r="AC441" s="1" t="str">
        <f>"كهكيلويه و بوير احمد"</f>
        <v>كهكيلويه و بوير احمد</v>
      </c>
      <c r="AD441" s="1" t="str">
        <f>"95/07/18"</f>
        <v>95/07/18</v>
      </c>
      <c r="AE441" s="1" t="str">
        <f t="shared" si="92"/>
        <v>اختتام</v>
      </c>
      <c r="AF441" s="1" t="str">
        <f>""</f>
        <v/>
      </c>
      <c r="AG441" s="1" t="str">
        <f>""</f>
        <v/>
      </c>
      <c r="AH441" s="1" t="str">
        <f>""</f>
        <v/>
      </c>
      <c r="AI441" s="1" t="str">
        <f>""</f>
        <v/>
      </c>
      <c r="AJ441" s="1" t="str">
        <f>""</f>
        <v/>
      </c>
      <c r="AK441" s="1" t="str">
        <f>""</f>
        <v/>
      </c>
    </row>
    <row r="442" spans="1:37" x14ac:dyDescent="0.2">
      <c r="A442" s="1">
        <v>150000</v>
      </c>
      <c r="B442" s="1">
        <v>956200094</v>
      </c>
      <c r="C442" s="1" t="str">
        <f>"تخليه - کهگيلويه- ياسوج - جاده کمربندي نرسيده به شهرک صنعتي فرودگاه کارخانه آسفالت"</f>
        <v>تخليه - کهگيلويه- ياسوج - جاده کمربندي نرسيده به شهرک صنعتي فرودگاه کارخانه آسفالت</v>
      </c>
      <c r="D442" s="1">
        <v>8023</v>
      </c>
      <c r="E442" s="1">
        <v>146060</v>
      </c>
      <c r="F442" s="1">
        <v>95</v>
      </c>
      <c r="G442" s="1">
        <v>3940</v>
      </c>
      <c r="H442" s="1" t="str">
        <f>"95/08/05"</f>
        <v>95/08/05</v>
      </c>
      <c r="I442" s="1" t="str">
        <f t="shared" si="85"/>
        <v>كيلوگرم</v>
      </c>
      <c r="J442" s="1" t="str">
        <f t="shared" si="97"/>
        <v>0000000076</v>
      </c>
      <c r="K442" s="1" t="str">
        <f t="shared" si="98"/>
        <v>قير 60/70 - فله</v>
      </c>
      <c r="L442" s="1">
        <v>100</v>
      </c>
      <c r="M442" s="1" t="str">
        <f t="shared" si="86"/>
        <v>مخازن قير اصفهان</v>
      </c>
      <c r="N442" s="1">
        <v>11206</v>
      </c>
      <c r="O442" s="1">
        <v>50032276</v>
      </c>
      <c r="P442" s="1" t="str">
        <f>"  طلوع سهند ارمه"</f>
        <v xml:space="preserve">  طلوع سهند ارمه</v>
      </c>
      <c r="Q442" s="1">
        <v>62</v>
      </c>
      <c r="R442" s="1" t="str">
        <f>"فروش داخلي - سازمان بنيادمسكن انقلاب اسلامي"</f>
        <v>فروش داخلي - سازمان بنيادمسكن انقلاب اسلامي</v>
      </c>
      <c r="S442" s="1" t="str">
        <f t="shared" si="87"/>
        <v>قرارداد فروش</v>
      </c>
      <c r="T442" s="1" t="str">
        <f t="shared" si="88"/>
        <v>ندارد</v>
      </c>
      <c r="U442" s="1" t="str">
        <f>"غلام نجفي سيامك‌‌‌‌‌‌(1881082)"</f>
        <v>غلام نجفي سيامك‌‌‌‌‌‌(1881082)</v>
      </c>
      <c r="V442" s="1">
        <v>956200094</v>
      </c>
      <c r="W442" s="1">
        <v>956200094</v>
      </c>
      <c r="X442" s="1" t="str">
        <f>"1395441026"</f>
        <v>1395441026</v>
      </c>
      <c r="Y442" s="1" t="str">
        <f>"95/08/05"</f>
        <v>95/08/05</v>
      </c>
      <c r="Z442" s="1" t="str">
        <f>"31267/د"</f>
        <v>31267/د</v>
      </c>
      <c r="AA442" s="1" t="str">
        <f>"بنيادمسكن انقلاب اسلامي"</f>
        <v>بنيادمسكن انقلاب اسلامي</v>
      </c>
      <c r="AB442" s="1" t="str">
        <f>"95/07/27"</f>
        <v>95/07/27</v>
      </c>
      <c r="AC442" s="1" t="str">
        <f>"كهكيلويه و بوير احمد"</f>
        <v>كهكيلويه و بوير احمد</v>
      </c>
      <c r="AD442" s="1" t="str">
        <f>"95/08/05"</f>
        <v>95/08/05</v>
      </c>
      <c r="AE442" s="1" t="str">
        <f t="shared" si="92"/>
        <v>اختتام</v>
      </c>
      <c r="AF442" s="1" t="str">
        <f>""</f>
        <v/>
      </c>
      <c r="AG442" s="1" t="str">
        <f>""</f>
        <v/>
      </c>
      <c r="AH442" s="1" t="str">
        <f>""</f>
        <v/>
      </c>
      <c r="AI442" s="1" t="str">
        <f>""</f>
        <v/>
      </c>
      <c r="AJ442" s="1" t="str">
        <f>""</f>
        <v/>
      </c>
      <c r="AK442" s="1" t="str">
        <f>""</f>
        <v/>
      </c>
    </row>
    <row r="443" spans="1:37" x14ac:dyDescent="0.2">
      <c r="A443" s="1">
        <v>75000</v>
      </c>
      <c r="B443" s="1">
        <v>952000214</v>
      </c>
      <c r="C443" s="1" t="str">
        <f>"تخليه - اصفهان - کيلومتر 50جاده شهرضا کارخانه آسفالت سميرم افروز"</f>
        <v>تخليه - اصفهان - کيلومتر 50جاده شهرضا کارخانه آسفالت سميرم افروز</v>
      </c>
      <c r="D443" s="1">
        <v>8023</v>
      </c>
      <c r="E443" s="1">
        <v>72640</v>
      </c>
      <c r="F443" s="1">
        <v>95</v>
      </c>
      <c r="G443" s="1">
        <v>2360</v>
      </c>
      <c r="H443" s="1" t="str">
        <f>"95/08/17"</f>
        <v>95/08/17</v>
      </c>
      <c r="I443" s="1" t="str">
        <f t="shared" si="85"/>
        <v>كيلوگرم</v>
      </c>
      <c r="J443" s="1" t="str">
        <f t="shared" si="97"/>
        <v>0000000076</v>
      </c>
      <c r="K443" s="1" t="str">
        <f t="shared" si="98"/>
        <v>قير 60/70 - فله</v>
      </c>
      <c r="L443" s="1">
        <v>100</v>
      </c>
      <c r="M443" s="1" t="str">
        <f t="shared" si="86"/>
        <v>مخازن قير اصفهان</v>
      </c>
      <c r="N443" s="1">
        <v>10721</v>
      </c>
      <c r="O443" s="1">
        <v>50032530</v>
      </c>
      <c r="P443" s="1" t="str">
        <f>"  شهرداري حنا"</f>
        <v xml:space="preserve">  شهرداري حنا</v>
      </c>
      <c r="Q443" s="1">
        <v>20</v>
      </c>
      <c r="R443" s="1" t="str">
        <f>"فروش داخلي - سازمان شهرداري ها و دهياري هاي كشور"</f>
        <v>فروش داخلي - سازمان شهرداري ها و دهياري هاي كشور</v>
      </c>
      <c r="S443" s="1" t="str">
        <f t="shared" si="87"/>
        <v>قرارداد فروش</v>
      </c>
      <c r="T443" s="1" t="str">
        <f t="shared" si="88"/>
        <v>ندارد</v>
      </c>
      <c r="U443" s="1" t="str">
        <f>"معماريان سعيد(1004ج89)"</f>
        <v>معماريان سعيد(1004ج89)</v>
      </c>
      <c r="V443" s="1">
        <v>952000214</v>
      </c>
      <c r="W443" s="1">
        <v>952000214</v>
      </c>
      <c r="X443" s="1" t="str">
        <f>"1395443199"</f>
        <v>1395443199</v>
      </c>
      <c r="Y443" s="1" t="str">
        <f>"95/08/17"</f>
        <v>95/08/17</v>
      </c>
      <c r="Z443" s="1" t="str">
        <f>"39610"</f>
        <v>39610</v>
      </c>
      <c r="AA443" s="1" t="str">
        <f>"شهرداريها"</f>
        <v>شهرداريها</v>
      </c>
      <c r="AB443" s="1" t="str">
        <f>"95/08/11"</f>
        <v>95/08/11</v>
      </c>
      <c r="AC443" s="1" t="str">
        <f>"استان اصفهان"</f>
        <v>استان اصفهان</v>
      </c>
      <c r="AD443" s="1" t="str">
        <f>"95/08/15"</f>
        <v>95/08/15</v>
      </c>
      <c r="AE443" s="1" t="str">
        <f t="shared" si="92"/>
        <v>اختتام</v>
      </c>
      <c r="AF443" s="1" t="str">
        <f>""</f>
        <v/>
      </c>
      <c r="AG443" s="1" t="str">
        <f>""</f>
        <v/>
      </c>
      <c r="AH443" s="1" t="str">
        <f>""</f>
        <v/>
      </c>
      <c r="AI443" s="1" t="str">
        <f>""</f>
        <v/>
      </c>
      <c r="AJ443" s="1" t="str">
        <f>""</f>
        <v/>
      </c>
      <c r="AK443" s="1" t="str">
        <f>""</f>
        <v/>
      </c>
    </row>
    <row r="444" spans="1:37" x14ac:dyDescent="0.2">
      <c r="A444" s="1">
        <v>66000</v>
      </c>
      <c r="B444" s="1">
        <v>952000072</v>
      </c>
      <c r="C444" s="1" t="str">
        <f>"تخليه - لرستان -دورود-روستاي چم ديوان -کارخانه آسفالت شهرداري ويسيان"</f>
        <v>تخليه - لرستان -دورود-روستاي چم ديوان -کارخانه آسفالت شهرداري ويسيان</v>
      </c>
      <c r="D444" s="1">
        <v>6876</v>
      </c>
      <c r="E444" s="1">
        <v>65320</v>
      </c>
      <c r="F444" s="1">
        <v>95</v>
      </c>
      <c r="G444" s="1">
        <v>680</v>
      </c>
      <c r="H444" s="1" t="str">
        <f>"95/06/15"</f>
        <v>95/06/15</v>
      </c>
      <c r="I444" s="1" t="str">
        <f t="shared" si="85"/>
        <v>كيلوگرم</v>
      </c>
      <c r="J444" s="1" t="str">
        <f t="shared" si="97"/>
        <v>0000000076</v>
      </c>
      <c r="K444" s="1" t="str">
        <f t="shared" si="98"/>
        <v>قير 60/70 - فله</v>
      </c>
      <c r="L444" s="1">
        <v>100</v>
      </c>
      <c r="M444" s="1" t="str">
        <f t="shared" si="86"/>
        <v>مخازن قير اصفهان</v>
      </c>
      <c r="N444" s="1">
        <v>10896</v>
      </c>
      <c r="O444" s="1">
        <v>50031795</v>
      </c>
      <c r="P444" s="1" t="str">
        <f>"  شهرداري ويسيان"</f>
        <v xml:space="preserve">  شهرداري ويسيان</v>
      </c>
      <c r="Q444" s="1">
        <v>20</v>
      </c>
      <c r="R444" s="1" t="str">
        <f>"فروش داخلي - سازمان شهرداري ها و دهياري هاي كشور"</f>
        <v>فروش داخلي - سازمان شهرداري ها و دهياري هاي كشور</v>
      </c>
      <c r="S444" s="1" t="str">
        <f t="shared" si="87"/>
        <v>قرارداد فروش</v>
      </c>
      <c r="T444" s="1" t="str">
        <f t="shared" si="88"/>
        <v>ندارد</v>
      </c>
      <c r="U444" s="1" t="str">
        <f>"بستاني محسن (2882039)"</f>
        <v>بستاني محسن (2882039)</v>
      </c>
      <c r="V444" s="1">
        <v>952000072</v>
      </c>
      <c r="W444" s="1">
        <v>952000072</v>
      </c>
      <c r="X444" s="1" t="str">
        <f>"1395428997"</f>
        <v>1395428997</v>
      </c>
      <c r="Y444" s="1" t="str">
        <f>"95/06/15"</f>
        <v>95/06/15</v>
      </c>
      <c r="Z444" s="1" t="str">
        <f>"27662"</f>
        <v>27662</v>
      </c>
      <c r="AA444" s="1" t="str">
        <f>"شهرداريها"</f>
        <v>شهرداريها</v>
      </c>
      <c r="AB444" s="1" t="str">
        <f>"95/06/10"</f>
        <v>95/06/10</v>
      </c>
      <c r="AC444" s="1" t="str">
        <f>"لرستان"</f>
        <v>لرستان</v>
      </c>
      <c r="AD444" s="1" t="str">
        <f>"95/06/14"</f>
        <v>95/06/14</v>
      </c>
      <c r="AE444" s="1" t="str">
        <f t="shared" si="92"/>
        <v>اختتام</v>
      </c>
      <c r="AF444" s="1" t="str">
        <f>""</f>
        <v/>
      </c>
      <c r="AG444" s="1" t="str">
        <f>""</f>
        <v/>
      </c>
      <c r="AH444" s="1" t="str">
        <f>""</f>
        <v/>
      </c>
      <c r="AI444" s="1" t="str">
        <f>""</f>
        <v/>
      </c>
      <c r="AJ444" s="1" t="str">
        <f>""</f>
        <v/>
      </c>
      <c r="AK444" s="1" t="str">
        <f>""</f>
        <v/>
      </c>
    </row>
    <row r="445" spans="1:37" x14ac:dyDescent="0.2">
      <c r="A445" s="1">
        <v>215000</v>
      </c>
      <c r="B445" s="1">
        <v>956200101</v>
      </c>
      <c r="C445" s="1" t="str">
        <f>"تخليه-سيستان و بلوچستان - چابهار-روستاي کمب"</f>
        <v>تخليه-سيستان و بلوچستان - چابهار-روستاي کمب</v>
      </c>
      <c r="D445" s="1">
        <v>7026</v>
      </c>
      <c r="E445" s="1">
        <v>214040</v>
      </c>
      <c r="F445" s="1">
        <v>95</v>
      </c>
      <c r="G445" s="1">
        <v>960</v>
      </c>
      <c r="H445" s="1" t="str">
        <f>"95/09/14"</f>
        <v>95/09/14</v>
      </c>
      <c r="I445" s="1" t="str">
        <f t="shared" si="85"/>
        <v>كيلوگرم</v>
      </c>
      <c r="J445" s="1" t="str">
        <f t="shared" si="97"/>
        <v>0000000076</v>
      </c>
      <c r="K445" s="1" t="str">
        <f t="shared" si="98"/>
        <v>قير 60/70 - فله</v>
      </c>
      <c r="L445" s="1">
        <v>100</v>
      </c>
      <c r="M445" s="1" t="str">
        <f t="shared" si="86"/>
        <v>مخازن قير اصفهان</v>
      </c>
      <c r="N445" s="1">
        <v>11216</v>
      </c>
      <c r="O445" s="1">
        <v>50032841</v>
      </c>
      <c r="P445" s="1" t="str">
        <f>"  آکام راه هرمز"</f>
        <v xml:space="preserve">  آکام راه هرمز</v>
      </c>
      <c r="Q445" s="1">
        <v>62</v>
      </c>
      <c r="R445" s="1" t="str">
        <f>"فروش داخلي - سازمان بنيادمسكن انقلاب اسلامي"</f>
        <v>فروش داخلي - سازمان بنيادمسكن انقلاب اسلامي</v>
      </c>
      <c r="S445" s="1" t="str">
        <f t="shared" si="87"/>
        <v>قرارداد فروش</v>
      </c>
      <c r="T445" s="1" t="str">
        <f t="shared" si="88"/>
        <v>ندارد</v>
      </c>
      <c r="U445" s="1" t="str">
        <f>"هيزچي مرتضي(1841036)"</f>
        <v>هيزچي مرتضي(1841036)</v>
      </c>
      <c r="V445" s="1">
        <v>956200101</v>
      </c>
      <c r="W445" s="1">
        <v>956200101</v>
      </c>
      <c r="X445" s="1" t="str">
        <f>"1395449223"</f>
        <v>1395449223</v>
      </c>
      <c r="Y445" s="1" t="str">
        <f>"95/09/14"</f>
        <v>95/09/14</v>
      </c>
      <c r="Z445" s="1" t="str">
        <f>"38461/د"</f>
        <v>38461/د</v>
      </c>
      <c r="AA445" s="1" t="str">
        <f>"بنيادمسكن انقلاب اسلامي"</f>
        <v>بنيادمسكن انقلاب اسلامي</v>
      </c>
      <c r="AB445" s="1" t="str">
        <f>"95/09/13"</f>
        <v>95/09/13</v>
      </c>
      <c r="AC445" s="1" t="str">
        <f>"استان سيستان بلوچستان"</f>
        <v>استان سيستان بلوچستان</v>
      </c>
      <c r="AD445" s="1" t="str">
        <f>"95/09/14"</f>
        <v>95/09/14</v>
      </c>
      <c r="AE445" s="1" t="str">
        <f t="shared" si="92"/>
        <v>اختتام</v>
      </c>
      <c r="AF445" s="1" t="str">
        <f>""</f>
        <v/>
      </c>
      <c r="AG445" s="1" t="str">
        <f>""</f>
        <v/>
      </c>
      <c r="AH445" s="1" t="str">
        <f>""</f>
        <v/>
      </c>
      <c r="AI445" s="1" t="str">
        <f>""</f>
        <v/>
      </c>
      <c r="AJ445" s="1" t="str">
        <f>""</f>
        <v/>
      </c>
      <c r="AK445" s="1" t="str">
        <f>""</f>
        <v/>
      </c>
    </row>
    <row r="446" spans="1:37" x14ac:dyDescent="0.2">
      <c r="A446" s="1">
        <v>129000</v>
      </c>
      <c r="B446" s="1">
        <v>956200103</v>
      </c>
      <c r="C446" s="1" t="str">
        <f>"تخليه - سيستان و بلو چستان -شهرستان کنارک-زرآباد-روستاي دزک"</f>
        <v>تخليه - سيستان و بلو چستان -شهرستان کنارک-زرآباد-روستاي دزک</v>
      </c>
      <c r="D446" s="1">
        <v>7026</v>
      </c>
      <c r="E446" s="1">
        <v>128120</v>
      </c>
      <c r="F446" s="1">
        <v>95</v>
      </c>
      <c r="G446" s="1">
        <v>880</v>
      </c>
      <c r="H446" s="1" t="str">
        <f>"95/09/16"</f>
        <v>95/09/16</v>
      </c>
      <c r="I446" s="1" t="str">
        <f t="shared" si="85"/>
        <v>كيلوگرم</v>
      </c>
      <c r="J446" s="1" t="str">
        <f t="shared" si="97"/>
        <v>0000000076</v>
      </c>
      <c r="K446" s="1" t="str">
        <f t="shared" si="98"/>
        <v>قير 60/70 - فله</v>
      </c>
      <c r="L446" s="1">
        <v>100</v>
      </c>
      <c r="M446" s="1" t="str">
        <f t="shared" si="86"/>
        <v>مخازن قير اصفهان</v>
      </c>
      <c r="N446" s="1">
        <v>11218</v>
      </c>
      <c r="O446" s="1">
        <v>50032911</v>
      </c>
      <c r="P446" s="1" t="str">
        <f>"  تفتان سازه گوهر کوه"</f>
        <v xml:space="preserve">  تفتان سازه گوهر کوه</v>
      </c>
      <c r="Q446" s="1">
        <v>62</v>
      </c>
      <c r="R446" s="1" t="str">
        <f>"فروش داخلي - سازمان بنيادمسكن انقلاب اسلامي"</f>
        <v>فروش داخلي - سازمان بنيادمسكن انقلاب اسلامي</v>
      </c>
      <c r="S446" s="1" t="str">
        <f t="shared" si="87"/>
        <v>قرارداد فروش</v>
      </c>
      <c r="T446" s="1" t="str">
        <f t="shared" si="88"/>
        <v>ندارد</v>
      </c>
      <c r="U446" s="1" t="str">
        <f>"ميهن دوست مرتضي(1044ج 94)"</f>
        <v>ميهن دوست مرتضي(1044ج 94)</v>
      </c>
      <c r="V446" s="1">
        <v>956200103</v>
      </c>
      <c r="W446" s="1">
        <v>956200103</v>
      </c>
      <c r="X446" s="1" t="str">
        <f>"1395449864"</f>
        <v>1395449864</v>
      </c>
      <c r="Y446" s="1" t="str">
        <f>"95/09/16"</f>
        <v>95/09/16</v>
      </c>
      <c r="Z446" s="1" t="str">
        <f>"38886/د"</f>
        <v>38886/د</v>
      </c>
      <c r="AA446" s="1" t="str">
        <f>"بنياد"</f>
        <v>بنياد</v>
      </c>
      <c r="AB446" s="1" t="str">
        <f>"95/09/15"</f>
        <v>95/09/15</v>
      </c>
      <c r="AC446" s="1" t="str">
        <f>"استان سيستان بلوچستان"</f>
        <v>استان سيستان بلوچستان</v>
      </c>
      <c r="AD446" s="1" t="str">
        <f>"95/09/16"</f>
        <v>95/09/16</v>
      </c>
      <c r="AE446" s="1" t="str">
        <f t="shared" si="92"/>
        <v>اختتام</v>
      </c>
      <c r="AF446" s="1" t="str">
        <f>""</f>
        <v/>
      </c>
      <c r="AG446" s="1" t="str">
        <f>""</f>
        <v/>
      </c>
      <c r="AH446" s="1" t="str">
        <f>""</f>
        <v/>
      </c>
      <c r="AI446" s="1" t="str">
        <f>""</f>
        <v/>
      </c>
      <c r="AJ446" s="1" t="str">
        <f>""</f>
        <v/>
      </c>
      <c r="AK446" s="1" t="str">
        <f>""</f>
        <v/>
      </c>
    </row>
    <row r="447" spans="1:37" x14ac:dyDescent="0.2">
      <c r="A447" s="1">
        <v>156000</v>
      </c>
      <c r="B447" s="1">
        <v>956300016</v>
      </c>
      <c r="C447" s="1" t="str">
        <f>"تخليه اصفهان شهركردكارخانه اتحادناغان"</f>
        <v>تخليه اصفهان شهركردكارخانه اتحادناغان</v>
      </c>
      <c r="D447" s="1">
        <v>9361</v>
      </c>
      <c r="E447" s="1">
        <v>156000</v>
      </c>
      <c r="F447" s="1">
        <v>95</v>
      </c>
      <c r="G447" s="1">
        <v>0</v>
      </c>
      <c r="H447" s="1" t="str">
        <f>"95/11/10"</f>
        <v>95/11/10</v>
      </c>
      <c r="I447" s="1" t="str">
        <f t="shared" si="85"/>
        <v>كيلوگرم</v>
      </c>
      <c r="J447" s="1" t="str">
        <f t="shared" si="97"/>
        <v>0000000076</v>
      </c>
      <c r="K447" s="1" t="str">
        <f t="shared" si="98"/>
        <v>قير 60/70 - فله</v>
      </c>
      <c r="L447" s="1">
        <v>100</v>
      </c>
      <c r="M447" s="1" t="str">
        <f t="shared" si="86"/>
        <v>مخازن قير اصفهان</v>
      </c>
      <c r="N447" s="1">
        <v>11220</v>
      </c>
      <c r="O447" s="1">
        <v>50033556</v>
      </c>
      <c r="P447" s="1" t="str">
        <f>"  پايه ستون زاگرس"</f>
        <v xml:space="preserve">  پايه ستون زاگرس</v>
      </c>
      <c r="Q447" s="1">
        <v>63</v>
      </c>
      <c r="R447" s="1" t="str">
        <f>"سازمان نوسازي،توسعه و تجهيز مدارس كشور"</f>
        <v>سازمان نوسازي،توسعه و تجهيز مدارس كشور</v>
      </c>
      <c r="S447" s="1" t="str">
        <f t="shared" si="87"/>
        <v>قرارداد فروش</v>
      </c>
      <c r="T447" s="1" t="str">
        <f t="shared" si="88"/>
        <v>ندارد</v>
      </c>
      <c r="U447" s="1" t="str">
        <f>"قره باغي مجيد(1871065)"</f>
        <v>قره باغي مجيد(1871065)</v>
      </c>
      <c r="V447" s="1">
        <v>956300016</v>
      </c>
      <c r="W447" s="1">
        <v>956300016</v>
      </c>
      <c r="X447" s="1" t="str">
        <f>"1395461326"</f>
        <v>1395461326</v>
      </c>
      <c r="Y447" s="1" t="str">
        <f>"95/11/10"</f>
        <v>95/11/10</v>
      </c>
      <c r="Z447" s="1" t="str">
        <f>"18/95/1/9601"</f>
        <v>18/95/1/9601</v>
      </c>
      <c r="AA447" s="1" t="str">
        <f>"سازمان نوسازي توسعه وتجهيزمدارس كشور"</f>
        <v>سازمان نوسازي توسعه وتجهيزمدارس كشور</v>
      </c>
      <c r="AB447" s="1" t="str">
        <f>"95/10/25"</f>
        <v>95/10/25</v>
      </c>
      <c r="AC447" s="1" t="str">
        <f>"استان چهارمحال بختياري"</f>
        <v>استان چهارمحال بختياري</v>
      </c>
      <c r="AD447" s="1" t="str">
        <f>"95/11/09"</f>
        <v>95/11/09</v>
      </c>
      <c r="AE447" s="1" t="str">
        <f>"تاييدشده"</f>
        <v>تاييدشده</v>
      </c>
      <c r="AF447" s="1" t="str">
        <f>""</f>
        <v/>
      </c>
      <c r="AG447" s="1" t="str">
        <f>""</f>
        <v/>
      </c>
      <c r="AH447" s="1" t="str">
        <f>""</f>
        <v/>
      </c>
      <c r="AI447" s="1" t="str">
        <f>""</f>
        <v/>
      </c>
      <c r="AJ447" s="1" t="str">
        <f>""</f>
        <v/>
      </c>
      <c r="AK447" s="1" t="str">
        <f>""</f>
        <v/>
      </c>
    </row>
    <row r="448" spans="1:37" x14ac:dyDescent="0.2">
      <c r="A448" s="1">
        <v>100000</v>
      </c>
      <c r="B448" s="1">
        <v>956200124</v>
      </c>
      <c r="C448" s="1" t="str">
        <f>"تخليه - مازندران- رستمکلا-جاده امامزاده محمد-کارخانه آسفالت شرکت گل سنگ کوهستان"</f>
        <v>تخليه - مازندران- رستمکلا-جاده امامزاده محمد-کارخانه آسفالت شرکت گل سنگ کوهستان</v>
      </c>
      <c r="D448" s="1">
        <v>8861</v>
      </c>
      <c r="E448" s="1">
        <v>97880</v>
      </c>
      <c r="F448" s="1">
        <v>95</v>
      </c>
      <c r="G448" s="1">
        <v>2120</v>
      </c>
      <c r="H448" s="1" t="str">
        <f>"95/10/07"</f>
        <v>95/10/07</v>
      </c>
      <c r="I448" s="1" t="str">
        <f t="shared" si="85"/>
        <v>كيلوگرم</v>
      </c>
      <c r="J448" s="1" t="str">
        <f t="shared" si="97"/>
        <v>0000000076</v>
      </c>
      <c r="K448" s="1" t="str">
        <f t="shared" si="98"/>
        <v>قير 60/70 - فله</v>
      </c>
      <c r="L448" s="1">
        <v>100</v>
      </c>
      <c r="M448" s="1" t="str">
        <f t="shared" si="86"/>
        <v>مخازن قير اصفهان</v>
      </c>
      <c r="N448" s="1">
        <v>11226</v>
      </c>
      <c r="O448" s="1">
        <v>50033198</v>
      </c>
      <c r="P448" s="1" t="str">
        <f>"  عمران شمال قاجار"</f>
        <v xml:space="preserve">  عمران شمال قاجار</v>
      </c>
      <c r="Q448" s="1">
        <v>62</v>
      </c>
      <c r="R448" s="1" t="str">
        <f>"فروش داخلي - سازمان بنيادمسكن انقلاب اسلامي"</f>
        <v>فروش داخلي - سازمان بنيادمسكن انقلاب اسلامي</v>
      </c>
      <c r="S448" s="1" t="str">
        <f t="shared" si="87"/>
        <v>قرارداد فروش</v>
      </c>
      <c r="T448" s="1" t="str">
        <f t="shared" si="88"/>
        <v>ندارد</v>
      </c>
      <c r="U448" s="1" t="str">
        <f>"نظام دوست امين (1911102)"</f>
        <v>نظام دوست امين (1911102)</v>
      </c>
      <c r="V448" s="1">
        <v>956200124</v>
      </c>
      <c r="W448" s="1">
        <v>956200124</v>
      </c>
      <c r="X448" s="1" t="str">
        <f>"1395454526"</f>
        <v>1395454526</v>
      </c>
      <c r="Y448" s="1" t="str">
        <f>"95/10/07"</f>
        <v>95/10/07</v>
      </c>
      <c r="Z448" s="1" t="str">
        <f>"40591/د"</f>
        <v>40591/د</v>
      </c>
      <c r="AA448" s="1" t="str">
        <f>"بنيادمسكن انقلاب اسلامي"</f>
        <v>بنيادمسكن انقلاب اسلامي</v>
      </c>
      <c r="AB448" s="1" t="str">
        <f>"95/09/24"</f>
        <v>95/09/24</v>
      </c>
      <c r="AC448" s="1" t="str">
        <f>"استان مازندران"</f>
        <v>استان مازندران</v>
      </c>
      <c r="AD448" s="1" t="str">
        <f>"95/10/05"</f>
        <v>95/10/05</v>
      </c>
      <c r="AE448" s="1" t="str">
        <f t="shared" ref="AE448:AE473" si="99">"اختتام"</f>
        <v>اختتام</v>
      </c>
      <c r="AF448" s="1" t="str">
        <f>""</f>
        <v/>
      </c>
      <c r="AG448" s="1" t="str">
        <f>""</f>
        <v/>
      </c>
      <c r="AH448" s="1" t="str">
        <f>""</f>
        <v/>
      </c>
      <c r="AI448" s="1" t="str">
        <f>""</f>
        <v/>
      </c>
      <c r="AJ448" s="1" t="str">
        <f>""</f>
        <v/>
      </c>
      <c r="AK448" s="1" t="str">
        <f>""</f>
        <v/>
      </c>
    </row>
    <row r="449" spans="1:37" x14ac:dyDescent="0.2">
      <c r="A449" s="1">
        <v>243000</v>
      </c>
      <c r="B449" s="1">
        <v>956200209</v>
      </c>
      <c r="C449" s="1" t="str">
        <f>"تخليه البرزشهرياركمربندي انديشه ميدان رضي آبادجاده معادن شركت ريگزار"</f>
        <v>تخليه البرزشهرياركمربندي انديشه ميدان رضي آبادجاده معادن شركت ريگزار</v>
      </c>
      <c r="D449" s="1">
        <v>9361</v>
      </c>
      <c r="E449" s="1">
        <v>242340</v>
      </c>
      <c r="F449" s="1">
        <v>95</v>
      </c>
      <c r="G449" s="1">
        <v>660</v>
      </c>
      <c r="H449" s="1" t="str">
        <f>"95/11/20"</f>
        <v>95/11/20</v>
      </c>
      <c r="I449" s="1" t="str">
        <f t="shared" si="85"/>
        <v>كيلوگرم</v>
      </c>
      <c r="J449" s="1" t="str">
        <f t="shared" si="97"/>
        <v>0000000076</v>
      </c>
      <c r="K449" s="1" t="str">
        <f t="shared" si="98"/>
        <v>قير 60/70 - فله</v>
      </c>
      <c r="L449" s="1">
        <v>100</v>
      </c>
      <c r="M449" s="1" t="str">
        <f t="shared" si="86"/>
        <v>مخازن قير اصفهان</v>
      </c>
      <c r="N449" s="1">
        <v>11247</v>
      </c>
      <c r="O449" s="1">
        <v>50033644</v>
      </c>
      <c r="P449" s="1" t="str">
        <f>"  ساختماني فدرا"</f>
        <v xml:space="preserve">  ساختماني فدرا</v>
      </c>
      <c r="Q449" s="1">
        <v>62</v>
      </c>
      <c r="R449" s="1" t="str">
        <f>"فروش داخلي - سازمان بنيادمسكن انقلاب اسلامي"</f>
        <v>فروش داخلي - سازمان بنيادمسكن انقلاب اسلامي</v>
      </c>
      <c r="S449" s="1" t="str">
        <f t="shared" si="87"/>
        <v>قرارداد فروش</v>
      </c>
      <c r="T449" s="1" t="str">
        <f t="shared" si="88"/>
        <v>ندارد</v>
      </c>
      <c r="U449" s="1" t="str">
        <f>"خوش نيت مجتبي(1841021)"</f>
        <v>خوش نيت مجتبي(1841021)</v>
      </c>
      <c r="V449" s="1">
        <v>956200209</v>
      </c>
      <c r="W449" s="1">
        <v>956200209</v>
      </c>
      <c r="X449" s="1" t="str">
        <f>"1395464204"</f>
        <v>1395464204</v>
      </c>
      <c r="Y449" s="1" t="str">
        <f>"95/11/20"</f>
        <v>95/11/20</v>
      </c>
      <c r="Z449" s="1" t="str">
        <f>"50200/د"</f>
        <v>50200/د</v>
      </c>
      <c r="AA449" s="1" t="str">
        <f>"بنيادمسكن انقلاب اسلامي"</f>
        <v>بنيادمسكن انقلاب اسلامي</v>
      </c>
      <c r="AB449" s="1" t="str">
        <f>"95/11/19"</f>
        <v>95/11/19</v>
      </c>
      <c r="AC449" s="1" t="str">
        <f>"البرز"</f>
        <v>البرز</v>
      </c>
      <c r="AD449" s="1" t="str">
        <f>"95/11/20"</f>
        <v>95/11/20</v>
      </c>
      <c r="AE449" s="1" t="str">
        <f t="shared" si="99"/>
        <v>اختتام</v>
      </c>
      <c r="AF449" s="1" t="str">
        <f>""</f>
        <v/>
      </c>
      <c r="AG449" s="1" t="str">
        <f>""</f>
        <v/>
      </c>
      <c r="AH449" s="1" t="str">
        <f>""</f>
        <v/>
      </c>
      <c r="AI449" s="1" t="str">
        <f>""</f>
        <v/>
      </c>
      <c r="AJ449" s="1" t="str">
        <f>""</f>
        <v/>
      </c>
      <c r="AK449" s="1" t="str">
        <f>""</f>
        <v/>
      </c>
    </row>
    <row r="450" spans="1:37" x14ac:dyDescent="0.2">
      <c r="A450" s="1">
        <v>31000</v>
      </c>
      <c r="B450" s="1">
        <v>956200212</v>
      </c>
      <c r="C450" s="1" t="str">
        <f>"تخليه تهران پاكدشت جاده موزاييك كارخانه شن گستران پاكدشت"</f>
        <v>تخليه تهران پاكدشت جاده موزاييك كارخانه شن گستران پاكدشت</v>
      </c>
      <c r="D450" s="1">
        <v>9361</v>
      </c>
      <c r="E450" s="1">
        <v>31000</v>
      </c>
      <c r="F450" s="1">
        <v>95</v>
      </c>
      <c r="G450" s="1">
        <v>0</v>
      </c>
      <c r="H450" s="1" t="str">
        <f>"95/11/20"</f>
        <v>95/11/20</v>
      </c>
      <c r="I450" s="1" t="str">
        <f t="shared" ref="I450:I513" si="100">"كيلوگرم"</f>
        <v>كيلوگرم</v>
      </c>
      <c r="J450" s="1" t="str">
        <f t="shared" si="97"/>
        <v>0000000076</v>
      </c>
      <c r="K450" s="1" t="str">
        <f t="shared" si="98"/>
        <v>قير 60/70 - فله</v>
      </c>
      <c r="L450" s="1">
        <v>100</v>
      </c>
      <c r="M450" s="1" t="str">
        <f t="shared" ref="M450:M518" si="101">"مخازن قير اصفهان"</f>
        <v>مخازن قير اصفهان</v>
      </c>
      <c r="N450" s="1">
        <v>11248</v>
      </c>
      <c r="O450" s="1">
        <v>50033647</v>
      </c>
      <c r="P450" s="1" t="str">
        <f>"  فيدار راه ماهان"</f>
        <v xml:space="preserve">  فيدار راه ماهان</v>
      </c>
      <c r="Q450" s="1">
        <v>62</v>
      </c>
      <c r="R450" s="1" t="str">
        <f>"فروش داخلي - سازمان بنيادمسكن انقلاب اسلامي"</f>
        <v>فروش داخلي - سازمان بنيادمسكن انقلاب اسلامي</v>
      </c>
      <c r="S450" s="1" t="str">
        <f t="shared" ref="S450:S513" si="102">"قرارداد فروش"</f>
        <v>قرارداد فروش</v>
      </c>
      <c r="T450" s="1" t="str">
        <f t="shared" ref="T450:T513" si="103">"ندارد"</f>
        <v>ندارد</v>
      </c>
      <c r="U450" s="1" t="str">
        <f>"شيخي خيراله (1841012)"</f>
        <v>شيخي خيراله (1841012)</v>
      </c>
      <c r="V450" s="1">
        <v>956200212</v>
      </c>
      <c r="W450" s="1">
        <v>956200212</v>
      </c>
      <c r="X450" s="1" t="str">
        <f>"1395464204"</f>
        <v>1395464204</v>
      </c>
      <c r="Y450" s="1" t="str">
        <f>"95/11/20"</f>
        <v>95/11/20</v>
      </c>
      <c r="Z450" s="1" t="str">
        <f>"50218/د"</f>
        <v>50218/د</v>
      </c>
      <c r="AA450" s="1" t="str">
        <f>"بنيادمسكن انقلاب اسلامي"</f>
        <v>بنيادمسكن انقلاب اسلامي</v>
      </c>
      <c r="AB450" s="1" t="str">
        <f>"95/11/19"</f>
        <v>95/11/19</v>
      </c>
      <c r="AC450" s="1" t="str">
        <f>"استان تهران"</f>
        <v>استان تهران</v>
      </c>
      <c r="AD450" s="1" t="str">
        <f>"95/11/20"</f>
        <v>95/11/20</v>
      </c>
      <c r="AE450" s="1" t="str">
        <f t="shared" si="99"/>
        <v>اختتام</v>
      </c>
      <c r="AF450" s="1" t="str">
        <f>""</f>
        <v/>
      </c>
      <c r="AG450" s="1" t="str">
        <f>""</f>
        <v/>
      </c>
      <c r="AH450" s="1" t="str">
        <f>""</f>
        <v/>
      </c>
      <c r="AI450" s="1" t="str">
        <f>""</f>
        <v/>
      </c>
      <c r="AJ450" s="1" t="str">
        <f>""</f>
        <v/>
      </c>
      <c r="AK450" s="1" t="str">
        <f>""</f>
        <v/>
      </c>
    </row>
    <row r="451" spans="1:37" x14ac:dyDescent="0.2">
      <c r="A451" s="1">
        <v>79000</v>
      </c>
      <c r="B451" s="1">
        <v>952000351</v>
      </c>
      <c r="C451" s="1" t="str">
        <f>"تخليه اصفهان خوركيلومتر8جاده جعفرآبادكارخانه آسفالت رحيمي"</f>
        <v>تخليه اصفهان خوركيلومتر8جاده جعفرآبادكارخانه آسفالت رحيمي</v>
      </c>
      <c r="D451" s="1">
        <v>9361</v>
      </c>
      <c r="E451" s="1">
        <v>77640</v>
      </c>
      <c r="F451" s="1">
        <v>95</v>
      </c>
      <c r="G451" s="1">
        <v>1360</v>
      </c>
      <c r="H451" s="1" t="str">
        <f>"95/11/30"</f>
        <v>95/11/30</v>
      </c>
      <c r="I451" s="1" t="str">
        <f t="shared" si="100"/>
        <v>كيلوگرم</v>
      </c>
      <c r="J451" s="1" t="str">
        <f t="shared" si="97"/>
        <v>0000000076</v>
      </c>
      <c r="K451" s="1" t="str">
        <f t="shared" si="98"/>
        <v>قير 60/70 - فله</v>
      </c>
      <c r="L451" s="1">
        <v>100</v>
      </c>
      <c r="M451" s="1" t="str">
        <f t="shared" si="101"/>
        <v>مخازن قير اصفهان</v>
      </c>
      <c r="N451" s="1">
        <v>10748</v>
      </c>
      <c r="O451" s="1">
        <v>50033794</v>
      </c>
      <c r="P451" s="1" t="str">
        <f>"  شهرداري خور"</f>
        <v xml:space="preserve">  شهرداري خور</v>
      </c>
      <c r="Q451" s="1">
        <v>20</v>
      </c>
      <c r="R451" s="1" t="str">
        <f>"فروش داخلي - سازمان شهرداري ها و دهياري هاي كشور"</f>
        <v>فروش داخلي - سازمان شهرداري ها و دهياري هاي كشور</v>
      </c>
      <c r="S451" s="1" t="str">
        <f t="shared" si="102"/>
        <v>قرارداد فروش</v>
      </c>
      <c r="T451" s="1" t="str">
        <f t="shared" si="103"/>
        <v>ندارد</v>
      </c>
      <c r="U451" s="1" t="str">
        <f>"مرادي نجاتعلي(1020ج89)"</f>
        <v>مرادي نجاتعلي(1020ج89)</v>
      </c>
      <c r="V451" s="1">
        <v>952000351</v>
      </c>
      <c r="W451" s="1">
        <v>952000351</v>
      </c>
      <c r="X451" s="1" t="str">
        <f>"1395466057"</f>
        <v>1395466057</v>
      </c>
      <c r="Y451" s="1" t="str">
        <f>"95/11/30"</f>
        <v>95/11/30</v>
      </c>
      <c r="Z451" s="1" t="str">
        <f>"27795"</f>
        <v>27795</v>
      </c>
      <c r="AA451" s="1" t="str">
        <f>"شهرداريها"</f>
        <v>شهرداريها</v>
      </c>
      <c r="AB451" s="1" t="str">
        <f>"95/06/10"</f>
        <v>95/06/10</v>
      </c>
      <c r="AC451" s="1" t="str">
        <f>"استان اصفهان"</f>
        <v>استان اصفهان</v>
      </c>
      <c r="AD451" s="1" t="str">
        <f>"95/11/30"</f>
        <v>95/11/30</v>
      </c>
      <c r="AE451" s="1" t="str">
        <f t="shared" si="99"/>
        <v>اختتام</v>
      </c>
      <c r="AF451" s="1" t="str">
        <f>""</f>
        <v/>
      </c>
      <c r="AG451" s="1" t="str">
        <f>""</f>
        <v/>
      </c>
      <c r="AH451" s="1" t="str">
        <f>""</f>
        <v/>
      </c>
      <c r="AI451" s="1" t="str">
        <f>""</f>
        <v/>
      </c>
      <c r="AJ451" s="1" t="str">
        <f>""</f>
        <v/>
      </c>
      <c r="AK451" s="1" t="str">
        <f>""</f>
        <v/>
      </c>
    </row>
    <row r="452" spans="1:37" x14ac:dyDescent="0.2">
      <c r="A452" s="1">
        <v>89000</v>
      </c>
      <c r="B452" s="1">
        <v>956200330</v>
      </c>
      <c r="C452" s="1" t="str">
        <f>"تخليه -كرمان -رفسنجان كيلومتر20جاده يزد"</f>
        <v>تخليه -كرمان -رفسنجان كيلومتر20جاده يزد</v>
      </c>
      <c r="D452" s="1">
        <v>8848</v>
      </c>
      <c r="E452" s="1">
        <v>89000</v>
      </c>
      <c r="F452" s="1">
        <v>95</v>
      </c>
      <c r="G452" s="1">
        <v>0</v>
      </c>
      <c r="H452" s="1" t="str">
        <f>"95/12/14"</f>
        <v>95/12/14</v>
      </c>
      <c r="I452" s="1" t="str">
        <f t="shared" si="100"/>
        <v>كيلوگرم</v>
      </c>
      <c r="J452" s="1" t="str">
        <f t="shared" si="97"/>
        <v>0000000076</v>
      </c>
      <c r="K452" s="1" t="str">
        <f t="shared" si="98"/>
        <v>قير 60/70 - فله</v>
      </c>
      <c r="L452" s="1">
        <v>100</v>
      </c>
      <c r="M452" s="1" t="str">
        <f t="shared" si="101"/>
        <v>مخازن قير اصفهان</v>
      </c>
      <c r="N452" s="1">
        <v>10929</v>
      </c>
      <c r="O452" s="1">
        <v>50034002</v>
      </c>
      <c r="P452" s="1" t="str">
        <f>"  راهسازي وساختماني راه طلائي كوير"</f>
        <v xml:space="preserve">  راهسازي وساختماني راه طلائي كوير</v>
      </c>
      <c r="Q452" s="1">
        <v>62</v>
      </c>
      <c r="R452" s="1" t="str">
        <f>"فروش داخلي - سازمان بنيادمسكن انقلاب اسلامي"</f>
        <v>فروش داخلي - سازمان بنيادمسكن انقلاب اسلامي</v>
      </c>
      <c r="S452" s="1" t="str">
        <f t="shared" si="102"/>
        <v>قرارداد فروش</v>
      </c>
      <c r="T452" s="1" t="str">
        <f t="shared" si="103"/>
        <v>ندارد</v>
      </c>
      <c r="U452" s="1" t="str">
        <f>"خضرائي فريدون(4844003)"</f>
        <v>خضرائي فريدون(4844003)</v>
      </c>
      <c r="V452" s="1">
        <v>956200330</v>
      </c>
      <c r="W452" s="1">
        <v>956200330</v>
      </c>
      <c r="X452" s="1" t="str">
        <f>"1395468928"</f>
        <v>1395468928</v>
      </c>
      <c r="Y452" s="1" t="str">
        <f>"95/12/14"</f>
        <v>95/12/14</v>
      </c>
      <c r="Z452" s="1" t="str">
        <f>"54919/د"</f>
        <v>54919/د</v>
      </c>
      <c r="AA452" s="1" t="str">
        <f>"بنيادمسكن انقلاب اسلامي"</f>
        <v>بنيادمسكن انقلاب اسلامي</v>
      </c>
      <c r="AB452" s="1" t="str">
        <f>"95/12/14"</f>
        <v>95/12/14</v>
      </c>
      <c r="AC452" s="1" t="str">
        <f>"استان كرمان"</f>
        <v>استان كرمان</v>
      </c>
      <c r="AD452" s="1" t="str">
        <f>"95/12/14"</f>
        <v>95/12/14</v>
      </c>
      <c r="AE452" s="1" t="str">
        <f t="shared" si="99"/>
        <v>اختتام</v>
      </c>
      <c r="AF452" s="1" t="str">
        <f>""</f>
        <v/>
      </c>
      <c r="AG452" s="1" t="str">
        <f>""</f>
        <v/>
      </c>
      <c r="AH452" s="1" t="str">
        <f>""</f>
        <v/>
      </c>
      <c r="AI452" s="1" t="str">
        <f>""</f>
        <v/>
      </c>
      <c r="AJ452" s="1" t="str">
        <f>""</f>
        <v/>
      </c>
      <c r="AK452" s="1" t="str">
        <f>""</f>
        <v/>
      </c>
    </row>
    <row r="453" spans="1:37" x14ac:dyDescent="0.2">
      <c r="A453" s="1">
        <v>400000</v>
      </c>
      <c r="B453" s="1">
        <v>956200393</v>
      </c>
      <c r="C453" s="1" t="str">
        <f>"تخليه -كرمان -رفسنجان كيلومتر20جاده يزد"</f>
        <v>تخليه -كرمان -رفسنجان كيلومتر20جاده يزد</v>
      </c>
      <c r="D453" s="1">
        <v>8848</v>
      </c>
      <c r="E453" s="1">
        <v>399460</v>
      </c>
      <c r="F453" s="1">
        <v>95</v>
      </c>
      <c r="G453" s="1">
        <v>540</v>
      </c>
      <c r="H453" s="1" t="str">
        <f>"95/12/25"</f>
        <v>95/12/25</v>
      </c>
      <c r="I453" s="1" t="str">
        <f t="shared" si="100"/>
        <v>كيلوگرم</v>
      </c>
      <c r="J453" s="1" t="str">
        <f t="shared" si="97"/>
        <v>0000000076</v>
      </c>
      <c r="K453" s="1" t="str">
        <f t="shared" si="98"/>
        <v>قير 60/70 - فله</v>
      </c>
      <c r="L453" s="1">
        <v>100</v>
      </c>
      <c r="M453" s="1" t="str">
        <f t="shared" si="101"/>
        <v>مخازن قير اصفهان</v>
      </c>
      <c r="N453" s="1">
        <v>10929</v>
      </c>
      <c r="O453" s="1">
        <v>50034214</v>
      </c>
      <c r="P453" s="1" t="str">
        <f>"  راهسازي وساختماني راه طلائي كوير"</f>
        <v xml:space="preserve">  راهسازي وساختماني راه طلائي كوير</v>
      </c>
      <c r="Q453" s="1">
        <v>62</v>
      </c>
      <c r="R453" s="1" t="str">
        <f>"فروش داخلي - سازمان بنيادمسكن انقلاب اسلامي"</f>
        <v>فروش داخلي - سازمان بنيادمسكن انقلاب اسلامي</v>
      </c>
      <c r="S453" s="1" t="str">
        <f t="shared" si="102"/>
        <v>قرارداد فروش</v>
      </c>
      <c r="T453" s="1" t="str">
        <f t="shared" si="103"/>
        <v>ندارد</v>
      </c>
      <c r="U453" s="1" t="str">
        <f>"خضرائي فريدون(4844003)"</f>
        <v>خضرائي فريدون(4844003)</v>
      </c>
      <c r="V453" s="1">
        <v>956200393</v>
      </c>
      <c r="W453" s="1">
        <v>956200393</v>
      </c>
      <c r="X453" s="1" t="str">
        <f>"1395470894"</f>
        <v>1395470894</v>
      </c>
      <c r="Y453" s="1" t="str">
        <f>"95/12/25"</f>
        <v>95/12/25</v>
      </c>
      <c r="Z453" s="1" t="str">
        <f>"56970/د"</f>
        <v>56970/د</v>
      </c>
      <c r="AA453" s="1" t="str">
        <f>"بنيادمسكن انقلاب اسلامي"</f>
        <v>بنيادمسكن انقلاب اسلامي</v>
      </c>
      <c r="AB453" s="1" t="str">
        <f>"95/12/22"</f>
        <v>95/12/22</v>
      </c>
      <c r="AC453" s="1" t="str">
        <f>"استان كرمان"</f>
        <v>استان كرمان</v>
      </c>
      <c r="AD453" s="1" t="str">
        <f>"95/12/23"</f>
        <v>95/12/23</v>
      </c>
      <c r="AE453" s="1" t="str">
        <f t="shared" si="99"/>
        <v>اختتام</v>
      </c>
      <c r="AF453" s="1" t="str">
        <f>""</f>
        <v/>
      </c>
      <c r="AG453" s="1" t="str">
        <f>""</f>
        <v/>
      </c>
      <c r="AH453" s="1" t="str">
        <f>""</f>
        <v/>
      </c>
      <c r="AI453" s="1" t="str">
        <f>""</f>
        <v/>
      </c>
      <c r="AJ453" s="1" t="str">
        <f>""</f>
        <v/>
      </c>
      <c r="AK453" s="1" t="str">
        <f>""</f>
        <v/>
      </c>
    </row>
    <row r="454" spans="1:37" x14ac:dyDescent="0.2">
      <c r="A454" s="1">
        <v>77000</v>
      </c>
      <c r="B454" s="1">
        <v>952000063</v>
      </c>
      <c r="C454" s="1" t="str">
        <f>"تخليه - لرستان-شهرستان پلدختر-شرکت صدف راه سازان آقاي شهرام جودکي"</f>
        <v>تخليه - لرستان-شهرستان پلدختر-شرکت صدف راه سازان آقاي شهرام جودکي</v>
      </c>
      <c r="D454" s="1">
        <v>6876</v>
      </c>
      <c r="E454" s="1">
        <v>69720</v>
      </c>
      <c r="F454" s="1">
        <v>95</v>
      </c>
      <c r="G454" s="1">
        <v>7280</v>
      </c>
      <c r="H454" s="1" t="str">
        <f>"95/06/14"</f>
        <v>95/06/14</v>
      </c>
      <c r="I454" s="1" t="str">
        <f t="shared" si="100"/>
        <v>كيلوگرم</v>
      </c>
      <c r="J454" s="1" t="str">
        <f t="shared" si="97"/>
        <v>0000000076</v>
      </c>
      <c r="K454" s="1" t="str">
        <f t="shared" si="98"/>
        <v>قير 60/70 - فله</v>
      </c>
      <c r="L454" s="1">
        <v>100</v>
      </c>
      <c r="M454" s="1" t="str">
        <f t="shared" si="101"/>
        <v>مخازن قير اصفهان</v>
      </c>
      <c r="N454" s="1">
        <v>10950</v>
      </c>
      <c r="O454" s="1">
        <v>50031764</v>
      </c>
      <c r="P454" s="1" t="str">
        <f>"  شهرداري معمولان"</f>
        <v xml:space="preserve">  شهرداري معمولان</v>
      </c>
      <c r="Q454" s="1">
        <v>20</v>
      </c>
      <c r="R454" s="1" t="str">
        <f>"فروش داخلي - سازمان شهرداري ها و دهياري هاي كشور"</f>
        <v>فروش داخلي - سازمان شهرداري ها و دهياري هاي كشور</v>
      </c>
      <c r="S454" s="1" t="str">
        <f t="shared" si="102"/>
        <v>قرارداد فروش</v>
      </c>
      <c r="T454" s="1" t="str">
        <f t="shared" si="103"/>
        <v>ندارد</v>
      </c>
      <c r="U454" s="1" t="str">
        <f>"بستاني محسن (2882039)"</f>
        <v>بستاني محسن (2882039)</v>
      </c>
      <c r="V454" s="1">
        <v>952000063</v>
      </c>
      <c r="W454" s="1">
        <v>952000063</v>
      </c>
      <c r="X454" s="1" t="str">
        <f>"1395428834"</f>
        <v>1395428834</v>
      </c>
      <c r="Y454" s="1" t="str">
        <f>"95/06/14"</f>
        <v>95/06/14</v>
      </c>
      <c r="Z454" s="1" t="str">
        <f>"27670"</f>
        <v>27670</v>
      </c>
      <c r="AA454" s="1" t="str">
        <f>"شهرداريها"</f>
        <v>شهرداريها</v>
      </c>
      <c r="AB454" s="1" t="str">
        <f>"95/06/10"</f>
        <v>95/06/10</v>
      </c>
      <c r="AC454" s="1" t="str">
        <f>"لرستان"</f>
        <v>لرستان</v>
      </c>
      <c r="AD454" s="1" t="str">
        <f>"95/06/13"</f>
        <v>95/06/13</v>
      </c>
      <c r="AE454" s="1" t="str">
        <f t="shared" si="99"/>
        <v>اختتام</v>
      </c>
      <c r="AF454" s="1" t="str">
        <f>""</f>
        <v/>
      </c>
      <c r="AG454" s="1" t="str">
        <f>""</f>
        <v/>
      </c>
      <c r="AH454" s="1" t="str">
        <f>""</f>
        <v/>
      </c>
      <c r="AI454" s="1" t="str">
        <f>""</f>
        <v/>
      </c>
      <c r="AJ454" s="1" t="str">
        <f>""</f>
        <v/>
      </c>
      <c r="AK454" s="1" t="str">
        <f>""</f>
        <v/>
      </c>
    </row>
    <row r="455" spans="1:37" x14ac:dyDescent="0.2">
      <c r="A455" s="1">
        <v>78000</v>
      </c>
      <c r="B455" s="1">
        <v>952000197</v>
      </c>
      <c r="C455" s="1" t="str">
        <f>"تخليه لرستان شهرستان پلدختركارخانه آسفالت شهرام سراب جهانگير"</f>
        <v>تخليه لرستان شهرستان پلدختركارخانه آسفالت شهرام سراب جهانگير</v>
      </c>
      <c r="D455" s="1">
        <v>8023</v>
      </c>
      <c r="E455" s="1">
        <v>77580</v>
      </c>
      <c r="F455" s="1">
        <v>95</v>
      </c>
      <c r="G455" s="1">
        <v>420</v>
      </c>
      <c r="H455" s="1" t="str">
        <f>"95/08/15"</f>
        <v>95/08/15</v>
      </c>
      <c r="I455" s="1" t="str">
        <f t="shared" si="100"/>
        <v>كيلوگرم</v>
      </c>
      <c r="J455" s="1" t="str">
        <f t="shared" si="97"/>
        <v>0000000076</v>
      </c>
      <c r="K455" s="1" t="str">
        <f t="shared" si="98"/>
        <v>قير 60/70 - فله</v>
      </c>
      <c r="L455" s="1">
        <v>100</v>
      </c>
      <c r="M455" s="1" t="str">
        <f t="shared" si="101"/>
        <v>مخازن قير اصفهان</v>
      </c>
      <c r="N455" s="1">
        <v>10950</v>
      </c>
      <c r="O455" s="1">
        <v>50032503</v>
      </c>
      <c r="P455" s="1" t="str">
        <f>"  شهرداري معمولان"</f>
        <v xml:space="preserve">  شهرداري معمولان</v>
      </c>
      <c r="Q455" s="1">
        <v>20</v>
      </c>
      <c r="R455" s="1" t="str">
        <f>"فروش داخلي - سازمان شهرداري ها و دهياري هاي كشور"</f>
        <v>فروش داخلي - سازمان شهرداري ها و دهياري هاي كشور</v>
      </c>
      <c r="S455" s="1" t="str">
        <f t="shared" si="102"/>
        <v>قرارداد فروش</v>
      </c>
      <c r="T455" s="1" t="str">
        <f t="shared" si="103"/>
        <v>ندارد</v>
      </c>
      <c r="U455" s="1" t="str">
        <f>"بستاني محسن (2882039)"</f>
        <v>بستاني محسن (2882039)</v>
      </c>
      <c r="V455" s="1">
        <v>952000197</v>
      </c>
      <c r="W455" s="1">
        <v>952000197</v>
      </c>
      <c r="X455" s="1" t="str">
        <f>"1395443199"</f>
        <v>1395443199</v>
      </c>
      <c r="Y455" s="1" t="str">
        <f>"95/08/15"</f>
        <v>95/08/15</v>
      </c>
      <c r="Z455" s="1" t="str">
        <f>"39501"</f>
        <v>39501</v>
      </c>
      <c r="AA455" s="1" t="str">
        <f>"شهرداريها"</f>
        <v>شهرداريها</v>
      </c>
      <c r="AB455" s="1" t="str">
        <f>"95/08/11"</f>
        <v>95/08/11</v>
      </c>
      <c r="AC455" s="1" t="str">
        <f>"لرستان"</f>
        <v>لرستان</v>
      </c>
      <c r="AD455" s="1" t="str">
        <f>"95/08/15"</f>
        <v>95/08/15</v>
      </c>
      <c r="AE455" s="1" t="str">
        <f t="shared" si="99"/>
        <v>اختتام</v>
      </c>
      <c r="AF455" s="1" t="str">
        <f>""</f>
        <v/>
      </c>
      <c r="AG455" s="1" t="str">
        <f>""</f>
        <v/>
      </c>
      <c r="AH455" s="1" t="str">
        <f>""</f>
        <v/>
      </c>
      <c r="AI455" s="1" t="str">
        <f>""</f>
        <v/>
      </c>
      <c r="AJ455" s="1" t="str">
        <f>""</f>
        <v/>
      </c>
      <c r="AK455" s="1" t="str">
        <f>""</f>
        <v/>
      </c>
    </row>
    <row r="456" spans="1:37" x14ac:dyDescent="0.2">
      <c r="A456" s="1">
        <v>158000</v>
      </c>
      <c r="B456" s="1">
        <v>952000296</v>
      </c>
      <c r="C456" s="1" t="str">
        <f>"تخليه - اصفهان - خميني شهر - بالاتر از شهرک صنعتي برق الکترونيک کارخانه آسفالت"</f>
        <v>تخليه - اصفهان - خميني شهر - بالاتر از شهرک صنعتي برق الکترونيک کارخانه آسفالت</v>
      </c>
      <c r="D456" s="1">
        <v>7026</v>
      </c>
      <c r="E456" s="1">
        <v>157840</v>
      </c>
      <c r="F456" s="1">
        <v>95</v>
      </c>
      <c r="G456" s="1">
        <v>160</v>
      </c>
      <c r="H456" s="1" t="str">
        <f>"95/09/09"</f>
        <v>95/09/09</v>
      </c>
      <c r="I456" s="1" t="str">
        <f t="shared" si="100"/>
        <v>كيلوگرم</v>
      </c>
      <c r="J456" s="1" t="str">
        <f t="shared" si="97"/>
        <v>0000000076</v>
      </c>
      <c r="K456" s="1" t="str">
        <f t="shared" si="98"/>
        <v>قير 60/70 - فله</v>
      </c>
      <c r="L456" s="1">
        <v>100</v>
      </c>
      <c r="M456" s="1" t="str">
        <f t="shared" si="101"/>
        <v>مخازن قير اصفهان</v>
      </c>
      <c r="N456" s="1">
        <v>10958</v>
      </c>
      <c r="O456" s="1">
        <v>50032777</v>
      </c>
      <c r="P456" s="1" t="str">
        <f>"  شهرداري دولت آباد اصفهان"</f>
        <v xml:space="preserve">  شهرداري دولت آباد اصفهان</v>
      </c>
      <c r="Q456" s="1">
        <v>20</v>
      </c>
      <c r="R456" s="1" t="str">
        <f>"فروش داخلي - سازمان شهرداري ها و دهياري هاي كشور"</f>
        <v>فروش داخلي - سازمان شهرداري ها و دهياري هاي كشور</v>
      </c>
      <c r="S456" s="1" t="str">
        <f t="shared" si="102"/>
        <v>قرارداد فروش</v>
      </c>
      <c r="T456" s="1" t="str">
        <f t="shared" si="103"/>
        <v>ندارد</v>
      </c>
      <c r="U456" s="1" t="str">
        <f>"معماريان سعيد(1004ج89)"</f>
        <v>معماريان سعيد(1004ج89)</v>
      </c>
      <c r="V456" s="1">
        <v>952000296</v>
      </c>
      <c r="W456" s="1">
        <v>952000296</v>
      </c>
      <c r="X456" s="1" t="str">
        <f>"1395447798"</f>
        <v>1395447798</v>
      </c>
      <c r="Y456" s="1" t="str">
        <f>"95/09/09"</f>
        <v>95/09/09</v>
      </c>
      <c r="Z456" s="1" t="str">
        <f>"43286"</f>
        <v>43286</v>
      </c>
      <c r="AA456" s="1" t="str">
        <f>"شهرداريها"</f>
        <v>شهرداريها</v>
      </c>
      <c r="AB456" s="1" t="str">
        <f>"95/09/02"</f>
        <v>95/09/02</v>
      </c>
      <c r="AC456" s="1" t="str">
        <f>"استان اصفهان"</f>
        <v>استان اصفهان</v>
      </c>
      <c r="AD456" s="1" t="str">
        <f>"95/09/07"</f>
        <v>95/09/07</v>
      </c>
      <c r="AE456" s="1" t="str">
        <f t="shared" si="99"/>
        <v>اختتام</v>
      </c>
      <c r="AF456" s="1" t="str">
        <f>""</f>
        <v/>
      </c>
      <c r="AG456" s="1" t="str">
        <f>""</f>
        <v/>
      </c>
      <c r="AH456" s="1" t="str">
        <f>""</f>
        <v/>
      </c>
      <c r="AI456" s="1" t="str">
        <f>""</f>
        <v/>
      </c>
      <c r="AJ456" s="1" t="str">
        <f>""</f>
        <v/>
      </c>
      <c r="AK456" s="1" t="str">
        <f>""</f>
        <v/>
      </c>
    </row>
    <row r="457" spans="1:37" x14ac:dyDescent="0.2">
      <c r="A457" s="1">
        <v>50000</v>
      </c>
      <c r="B457" s="1">
        <v>956200314</v>
      </c>
      <c r="C457" s="1" t="str">
        <f>"تخليه - تهران-جاده شهريار-ميدان معادن-خيابان روشن صنعت-کارخانه ابرراه گلستان"</f>
        <v>تخليه - تهران-جاده شهريار-ميدان معادن-خيابان روشن صنعت-کارخانه ابرراه گلستان</v>
      </c>
      <c r="D457" s="1">
        <v>8848</v>
      </c>
      <c r="E457" s="1">
        <v>50000</v>
      </c>
      <c r="F457" s="1">
        <v>95</v>
      </c>
      <c r="G457" s="1">
        <v>0</v>
      </c>
      <c r="H457" s="1" t="str">
        <f>"95/12/11"</f>
        <v>95/12/11</v>
      </c>
      <c r="I457" s="1" t="str">
        <f t="shared" si="100"/>
        <v>كيلوگرم</v>
      </c>
      <c r="J457" s="1" t="str">
        <f t="shared" si="97"/>
        <v>0000000076</v>
      </c>
      <c r="K457" s="1" t="str">
        <f t="shared" si="98"/>
        <v>قير 60/70 - فله</v>
      </c>
      <c r="L457" s="1">
        <v>100</v>
      </c>
      <c r="M457" s="1" t="str">
        <f t="shared" si="101"/>
        <v>مخازن قير اصفهان</v>
      </c>
      <c r="N457" s="1">
        <v>11258</v>
      </c>
      <c r="O457" s="1">
        <v>50033960</v>
      </c>
      <c r="P457" s="1" t="str">
        <f>"  زرين سازان مستحکم"</f>
        <v xml:space="preserve">  زرين سازان مستحکم</v>
      </c>
      <c r="Q457" s="1">
        <v>62</v>
      </c>
      <c r="R457" s="1" t="str">
        <f t="shared" ref="R457:R470" si="104">"فروش داخلي - سازمان بنيادمسكن انقلاب اسلامي"</f>
        <v>فروش داخلي - سازمان بنيادمسكن انقلاب اسلامي</v>
      </c>
      <c r="S457" s="1" t="str">
        <f t="shared" si="102"/>
        <v>قرارداد فروش</v>
      </c>
      <c r="T457" s="1" t="str">
        <f t="shared" si="103"/>
        <v>ندارد</v>
      </c>
      <c r="U457" s="1" t="str">
        <f>"قراباغي علي اشرف(1901091)"</f>
        <v>قراباغي علي اشرف(1901091)</v>
      </c>
      <c r="V457" s="1">
        <v>956200314</v>
      </c>
      <c r="W457" s="1">
        <v>956200314</v>
      </c>
      <c r="X457" s="1" t="str">
        <f>"1395468778"</f>
        <v>1395468778</v>
      </c>
      <c r="Y457" s="1" t="str">
        <f>"95/12/11"</f>
        <v>95/12/11</v>
      </c>
      <c r="Z457" s="1" t="str">
        <f>"54529/د"</f>
        <v>54529/د</v>
      </c>
      <c r="AA457" s="1" t="str">
        <f t="shared" ref="AA457:AA470" si="105">"بنيادمسكن انقلاب اسلامي"</f>
        <v>بنيادمسكن انقلاب اسلامي</v>
      </c>
      <c r="AB457" s="1" t="str">
        <f>"95/12/10"</f>
        <v>95/12/10</v>
      </c>
      <c r="AC457" s="1" t="str">
        <f>"استان تهران"</f>
        <v>استان تهران</v>
      </c>
      <c r="AD457" s="1" t="str">
        <f>"95/12/11"</f>
        <v>95/12/11</v>
      </c>
      <c r="AE457" s="1" t="str">
        <f t="shared" si="99"/>
        <v>اختتام</v>
      </c>
      <c r="AF457" s="1" t="str">
        <f>""</f>
        <v/>
      </c>
      <c r="AG457" s="1" t="str">
        <f>""</f>
        <v/>
      </c>
      <c r="AH457" s="1" t="str">
        <f>""</f>
        <v/>
      </c>
      <c r="AI457" s="1" t="str">
        <f>""</f>
        <v/>
      </c>
      <c r="AJ457" s="1" t="str">
        <f>""</f>
        <v/>
      </c>
      <c r="AK457" s="1" t="str">
        <f>""</f>
        <v/>
      </c>
    </row>
    <row r="458" spans="1:37" x14ac:dyDescent="0.2">
      <c r="A458" s="1">
        <v>36000</v>
      </c>
      <c r="B458" s="1">
        <v>956200262</v>
      </c>
      <c r="C458" s="1" t="str">
        <f>"تخليه - تهران -پاکدشت-جمال آباد -کارخانه آبادراهان بهنام"</f>
        <v>تخليه - تهران -پاکدشت-جمال آباد -کارخانه آبادراهان بهنام</v>
      </c>
      <c r="D458" s="1">
        <v>8848</v>
      </c>
      <c r="E458" s="1">
        <v>36000</v>
      </c>
      <c r="F458" s="1">
        <v>95</v>
      </c>
      <c r="G458" s="1">
        <v>0</v>
      </c>
      <c r="H458" s="1" t="str">
        <f>"95/12/03"</f>
        <v>95/12/03</v>
      </c>
      <c r="I458" s="1" t="str">
        <f t="shared" si="100"/>
        <v>كيلوگرم</v>
      </c>
      <c r="J458" s="1" t="str">
        <f t="shared" si="97"/>
        <v>0000000076</v>
      </c>
      <c r="K458" s="1" t="str">
        <f t="shared" si="98"/>
        <v>قير 60/70 - فله</v>
      </c>
      <c r="L458" s="1">
        <v>100</v>
      </c>
      <c r="M458" s="1" t="str">
        <f t="shared" si="101"/>
        <v>مخازن قير اصفهان</v>
      </c>
      <c r="N458" s="1">
        <v>11262</v>
      </c>
      <c r="O458" s="1">
        <v>50033823</v>
      </c>
      <c r="P458" s="1" t="str">
        <f>"  تدبير سازه پرگاس"</f>
        <v xml:space="preserve">  تدبير سازه پرگاس</v>
      </c>
      <c r="Q458" s="1">
        <v>62</v>
      </c>
      <c r="R458" s="1" t="str">
        <f t="shared" si="104"/>
        <v>فروش داخلي - سازمان بنيادمسكن انقلاب اسلامي</v>
      </c>
      <c r="S458" s="1" t="str">
        <f t="shared" si="102"/>
        <v>قرارداد فروش</v>
      </c>
      <c r="T458" s="1" t="str">
        <f t="shared" si="103"/>
        <v>ندارد</v>
      </c>
      <c r="U458" s="1" t="str">
        <f>"حاج صادقي باقر(1841027)"</f>
        <v>حاج صادقي باقر(1841027)</v>
      </c>
      <c r="V458" s="1">
        <v>956200262</v>
      </c>
      <c r="W458" s="1">
        <v>956200262</v>
      </c>
      <c r="X458" s="1" t="str">
        <f>"1395466581"</f>
        <v>1395466581</v>
      </c>
      <c r="Y458" s="1" t="str">
        <f>"95/12/03"</f>
        <v>95/12/03</v>
      </c>
      <c r="Z458" s="1" t="str">
        <f>"52152/د"</f>
        <v>52152/د</v>
      </c>
      <c r="AA458" s="1" t="str">
        <f t="shared" si="105"/>
        <v>بنيادمسكن انقلاب اسلامي</v>
      </c>
      <c r="AB458" s="1" t="str">
        <f>"95/12/01"</f>
        <v>95/12/01</v>
      </c>
      <c r="AC458" s="1" t="str">
        <f>"استان تهران"</f>
        <v>استان تهران</v>
      </c>
      <c r="AD458" s="1" t="str">
        <f>"95/12/03"</f>
        <v>95/12/03</v>
      </c>
      <c r="AE458" s="1" t="str">
        <f t="shared" si="99"/>
        <v>اختتام</v>
      </c>
      <c r="AF458" s="1" t="str">
        <f>""</f>
        <v/>
      </c>
      <c r="AG458" s="1" t="str">
        <f>""</f>
        <v/>
      </c>
      <c r="AH458" s="1" t="str">
        <f>""</f>
        <v/>
      </c>
      <c r="AI458" s="1" t="str">
        <f>""</f>
        <v/>
      </c>
      <c r="AJ458" s="1" t="str">
        <f>""</f>
        <v/>
      </c>
      <c r="AK458" s="1" t="str">
        <f>""</f>
        <v/>
      </c>
    </row>
    <row r="459" spans="1:37" x14ac:dyDescent="0.2">
      <c r="A459" s="1">
        <v>61000</v>
      </c>
      <c r="B459" s="1">
        <v>956200280</v>
      </c>
      <c r="C459" s="1" t="str">
        <f>"تخليه - تهران -شهريار -هفت جوي -خيابان دامداران -جاده روشن بهار-کارخانه ابرراه گلستان"</f>
        <v>تخليه - تهران -شهريار -هفت جوي -خيابان دامداران -جاده روشن بهار-کارخانه ابرراه گلستان</v>
      </c>
      <c r="D459" s="1">
        <v>8848</v>
      </c>
      <c r="E459" s="1">
        <v>60640</v>
      </c>
      <c r="F459" s="1">
        <v>95</v>
      </c>
      <c r="G459" s="1">
        <v>360</v>
      </c>
      <c r="H459" s="1" t="str">
        <f>"95/12/04"</f>
        <v>95/12/04</v>
      </c>
      <c r="I459" s="1" t="str">
        <f t="shared" si="100"/>
        <v>كيلوگرم</v>
      </c>
      <c r="J459" s="1" t="str">
        <f t="shared" si="97"/>
        <v>0000000076</v>
      </c>
      <c r="K459" s="1" t="str">
        <f t="shared" si="98"/>
        <v>قير 60/70 - فله</v>
      </c>
      <c r="L459" s="1">
        <v>100</v>
      </c>
      <c r="M459" s="1" t="str">
        <f t="shared" si="101"/>
        <v>مخازن قير اصفهان</v>
      </c>
      <c r="N459" s="1">
        <v>11273</v>
      </c>
      <c r="O459" s="1">
        <v>50033851</v>
      </c>
      <c r="P459" s="1" t="str">
        <f>"  ابنيه راه سينا"</f>
        <v xml:space="preserve">  ابنيه راه سينا</v>
      </c>
      <c r="Q459" s="1">
        <v>62</v>
      </c>
      <c r="R459" s="1" t="str">
        <f t="shared" si="104"/>
        <v>فروش داخلي - سازمان بنيادمسكن انقلاب اسلامي</v>
      </c>
      <c r="S459" s="1" t="str">
        <f t="shared" si="102"/>
        <v>قرارداد فروش</v>
      </c>
      <c r="T459" s="1" t="str">
        <f t="shared" si="103"/>
        <v>ندارد</v>
      </c>
      <c r="U459" s="1" t="str">
        <f>"قراباغي علي اشرف(1901091)"</f>
        <v>قراباغي علي اشرف(1901091)</v>
      </c>
      <c r="V459" s="1">
        <v>956200280</v>
      </c>
      <c r="W459" s="1">
        <v>956200280</v>
      </c>
      <c r="X459" s="1" t="str">
        <f>"1395466581"</f>
        <v>1395466581</v>
      </c>
      <c r="Y459" s="1" t="str">
        <f>"95/12/04"</f>
        <v>95/12/04</v>
      </c>
      <c r="Z459" s="1" t="str">
        <f>"52754/د"</f>
        <v>52754/د</v>
      </c>
      <c r="AA459" s="1" t="str">
        <f t="shared" si="105"/>
        <v>بنيادمسكن انقلاب اسلامي</v>
      </c>
      <c r="AB459" s="1" t="str">
        <f>"95/12/02"</f>
        <v>95/12/02</v>
      </c>
      <c r="AC459" s="1" t="str">
        <f>"استان تهران"</f>
        <v>استان تهران</v>
      </c>
      <c r="AD459" s="1" t="str">
        <f>"95/12/03"</f>
        <v>95/12/03</v>
      </c>
      <c r="AE459" s="1" t="str">
        <f t="shared" si="99"/>
        <v>اختتام</v>
      </c>
      <c r="AF459" s="1" t="str">
        <f>""</f>
        <v/>
      </c>
      <c r="AG459" s="1" t="str">
        <f>""</f>
        <v/>
      </c>
      <c r="AH459" s="1" t="str">
        <f>""</f>
        <v/>
      </c>
      <c r="AI459" s="1" t="str">
        <f>""</f>
        <v/>
      </c>
      <c r="AJ459" s="1" t="str">
        <f>""</f>
        <v/>
      </c>
      <c r="AK459" s="1" t="str">
        <f>""</f>
        <v/>
      </c>
    </row>
    <row r="460" spans="1:37" x14ac:dyDescent="0.2">
      <c r="A460" s="1">
        <v>155000</v>
      </c>
      <c r="B460" s="1">
        <v>956200289</v>
      </c>
      <c r="C460" s="1" t="str">
        <f>"تخليه - کرمانشاه -صحنه - کيلومتر 7 کرمانشاه صحنه - روستاي هاشم آباد شرکت زاگرس راه نصر"</f>
        <v>تخليه - کرمانشاه -صحنه - کيلومتر 7 کرمانشاه صحنه - روستاي هاشم آباد شرکت زاگرس راه نصر</v>
      </c>
      <c r="D460" s="1">
        <v>8848</v>
      </c>
      <c r="E460" s="1">
        <v>155000</v>
      </c>
      <c r="F460" s="1">
        <v>95</v>
      </c>
      <c r="G460" s="1">
        <v>0</v>
      </c>
      <c r="H460" s="1" t="str">
        <f>"95/12/07"</f>
        <v>95/12/07</v>
      </c>
      <c r="I460" s="1" t="str">
        <f t="shared" si="100"/>
        <v>كيلوگرم</v>
      </c>
      <c r="J460" s="1" t="str">
        <f t="shared" si="97"/>
        <v>0000000076</v>
      </c>
      <c r="K460" s="1" t="str">
        <f t="shared" si="98"/>
        <v>قير 60/70 - فله</v>
      </c>
      <c r="L460" s="1">
        <v>100</v>
      </c>
      <c r="M460" s="1" t="str">
        <f t="shared" si="101"/>
        <v>مخازن قير اصفهان</v>
      </c>
      <c r="N460" s="1">
        <v>11279</v>
      </c>
      <c r="O460" s="1">
        <v>50033881</v>
      </c>
      <c r="P460" s="1" t="str">
        <f>"  ترسيم راه پارس"</f>
        <v xml:space="preserve">  ترسيم راه پارس</v>
      </c>
      <c r="Q460" s="1">
        <v>62</v>
      </c>
      <c r="R460" s="1" t="str">
        <f t="shared" si="104"/>
        <v>فروش داخلي - سازمان بنيادمسكن انقلاب اسلامي</v>
      </c>
      <c r="S460" s="1" t="str">
        <f t="shared" si="102"/>
        <v>قرارداد فروش</v>
      </c>
      <c r="T460" s="1" t="str">
        <f t="shared" si="103"/>
        <v>ندارد</v>
      </c>
      <c r="U460" s="1" t="str">
        <f>"عظيمي محمد(2842015)"</f>
        <v>عظيمي محمد(2842015)</v>
      </c>
      <c r="V460" s="1">
        <v>956200289</v>
      </c>
      <c r="W460" s="1">
        <v>956200289</v>
      </c>
      <c r="X460" s="1" t="str">
        <f>"1395467571"</f>
        <v>1395467571</v>
      </c>
      <c r="Y460" s="1" t="str">
        <f>"95/12/07"</f>
        <v>95/12/07</v>
      </c>
      <c r="Z460" s="1" t="str">
        <f>"53622/د"</f>
        <v>53622/د</v>
      </c>
      <c r="AA460" s="1" t="str">
        <f t="shared" si="105"/>
        <v>بنيادمسكن انقلاب اسلامي</v>
      </c>
      <c r="AB460" s="1" t="str">
        <f>"95/12/07"</f>
        <v>95/12/07</v>
      </c>
      <c r="AC460" s="1" t="str">
        <f>"استان كرمانشاه"</f>
        <v>استان كرمانشاه</v>
      </c>
      <c r="AD460" s="1" t="str">
        <f>"95/12/07"</f>
        <v>95/12/07</v>
      </c>
      <c r="AE460" s="1" t="str">
        <f t="shared" si="99"/>
        <v>اختتام</v>
      </c>
      <c r="AF460" s="1" t="str">
        <f>""</f>
        <v/>
      </c>
      <c r="AG460" s="1" t="str">
        <f>""</f>
        <v/>
      </c>
      <c r="AH460" s="1" t="str">
        <f>""</f>
        <v/>
      </c>
      <c r="AI460" s="1" t="str">
        <f>""</f>
        <v/>
      </c>
      <c r="AJ460" s="1" t="str">
        <f>""</f>
        <v/>
      </c>
      <c r="AK460" s="1" t="str">
        <f>""</f>
        <v/>
      </c>
    </row>
    <row r="461" spans="1:37" x14ac:dyDescent="0.2">
      <c r="A461" s="1">
        <v>90000</v>
      </c>
      <c r="B461" s="1">
        <v>956200293</v>
      </c>
      <c r="C461" s="1" t="str">
        <f>"تخليه - کرمانشاه -صحنه - کيلومتر 7 کرمانشاه صحنه - روستاي هاشم آباد شرکت زاگرس راه نصر"</f>
        <v>تخليه - کرمانشاه -صحنه - کيلومتر 7 کرمانشاه صحنه - روستاي هاشم آباد شرکت زاگرس راه نصر</v>
      </c>
      <c r="D461" s="1">
        <v>8848</v>
      </c>
      <c r="E461" s="1">
        <v>88740</v>
      </c>
      <c r="F461" s="1">
        <v>95</v>
      </c>
      <c r="G461" s="1">
        <v>1260</v>
      </c>
      <c r="H461" s="1" t="str">
        <f>"95/12/07"</f>
        <v>95/12/07</v>
      </c>
      <c r="I461" s="1" t="str">
        <f t="shared" si="100"/>
        <v>كيلوگرم</v>
      </c>
      <c r="J461" s="1" t="str">
        <f t="shared" si="97"/>
        <v>0000000076</v>
      </c>
      <c r="K461" s="1" t="str">
        <f t="shared" si="98"/>
        <v>قير 60/70 - فله</v>
      </c>
      <c r="L461" s="1">
        <v>100</v>
      </c>
      <c r="M461" s="1" t="str">
        <f t="shared" si="101"/>
        <v>مخازن قير اصفهان</v>
      </c>
      <c r="N461" s="1">
        <v>11279</v>
      </c>
      <c r="O461" s="1">
        <v>50033886</v>
      </c>
      <c r="P461" s="1" t="str">
        <f>"  ترسيم راه پارس"</f>
        <v xml:space="preserve">  ترسيم راه پارس</v>
      </c>
      <c r="Q461" s="1">
        <v>62</v>
      </c>
      <c r="R461" s="1" t="str">
        <f t="shared" si="104"/>
        <v>فروش داخلي - سازمان بنيادمسكن انقلاب اسلامي</v>
      </c>
      <c r="S461" s="1" t="str">
        <f t="shared" si="102"/>
        <v>قرارداد فروش</v>
      </c>
      <c r="T461" s="1" t="str">
        <f t="shared" si="103"/>
        <v>ندارد</v>
      </c>
      <c r="U461" s="1" t="str">
        <f>"عظيمي محمد(2842015)"</f>
        <v>عظيمي محمد(2842015)</v>
      </c>
      <c r="V461" s="1">
        <v>956200293</v>
      </c>
      <c r="W461" s="1">
        <v>956200293</v>
      </c>
      <c r="X461" s="1" t="str">
        <f>"1395467571"</f>
        <v>1395467571</v>
      </c>
      <c r="Y461" s="1" t="str">
        <f>"95/12/07"</f>
        <v>95/12/07</v>
      </c>
      <c r="Z461" s="1" t="str">
        <f>"53576/د"</f>
        <v>53576/د</v>
      </c>
      <c r="AA461" s="1" t="str">
        <f t="shared" si="105"/>
        <v>بنيادمسكن انقلاب اسلامي</v>
      </c>
      <c r="AB461" s="1" t="str">
        <f>"95/12/07"</f>
        <v>95/12/07</v>
      </c>
      <c r="AC461" s="1" t="str">
        <f>"استان كرمانشاه"</f>
        <v>استان كرمانشاه</v>
      </c>
      <c r="AD461" s="1" t="str">
        <f>"95/12/07"</f>
        <v>95/12/07</v>
      </c>
      <c r="AE461" s="1" t="str">
        <f t="shared" si="99"/>
        <v>اختتام</v>
      </c>
      <c r="AF461" s="1" t="str">
        <f>""</f>
        <v/>
      </c>
      <c r="AG461" s="1" t="str">
        <f>""</f>
        <v/>
      </c>
      <c r="AH461" s="1" t="str">
        <f>""</f>
        <v/>
      </c>
      <c r="AI461" s="1" t="str">
        <f>""</f>
        <v/>
      </c>
      <c r="AJ461" s="1" t="str">
        <f>""</f>
        <v/>
      </c>
      <c r="AK461" s="1" t="str">
        <f>""</f>
        <v/>
      </c>
    </row>
    <row r="462" spans="1:37" x14ac:dyDescent="0.2">
      <c r="A462" s="1">
        <v>35000</v>
      </c>
      <c r="B462" s="1">
        <v>956200335</v>
      </c>
      <c r="C462" s="1" t="str">
        <f>"تخليه - تهران- پاکدشت-بعداز ميدان پارچين-انتهاي پل شش چشمه-کارخانه تعاوني 428"</f>
        <v>تخليه - تهران- پاکدشت-بعداز ميدان پارچين-انتهاي پل شش چشمه-کارخانه تعاوني 428</v>
      </c>
      <c r="D462" s="1">
        <v>8848</v>
      </c>
      <c r="E462" s="1">
        <v>33860</v>
      </c>
      <c r="F462" s="1">
        <v>95</v>
      </c>
      <c r="G462" s="1">
        <v>1140</v>
      </c>
      <c r="H462" s="1" t="str">
        <f>"95/12/16"</f>
        <v>95/12/16</v>
      </c>
      <c r="I462" s="1" t="str">
        <f t="shared" si="100"/>
        <v>كيلوگرم</v>
      </c>
      <c r="J462" s="1" t="str">
        <f t="shared" si="97"/>
        <v>0000000076</v>
      </c>
      <c r="K462" s="1" t="str">
        <f t="shared" si="98"/>
        <v>قير 60/70 - فله</v>
      </c>
      <c r="L462" s="1">
        <v>100</v>
      </c>
      <c r="M462" s="1" t="str">
        <f t="shared" si="101"/>
        <v>مخازن قير اصفهان</v>
      </c>
      <c r="N462" s="1">
        <v>11291</v>
      </c>
      <c r="O462" s="1">
        <v>50034020</v>
      </c>
      <c r="P462" s="1" t="str">
        <f>"  آراز راه ارشد"</f>
        <v xml:space="preserve">  آراز راه ارشد</v>
      </c>
      <c r="Q462" s="1">
        <v>62</v>
      </c>
      <c r="R462" s="1" t="str">
        <f t="shared" si="104"/>
        <v>فروش داخلي - سازمان بنيادمسكن انقلاب اسلامي</v>
      </c>
      <c r="S462" s="1" t="str">
        <f t="shared" si="102"/>
        <v>قرارداد فروش</v>
      </c>
      <c r="T462" s="1" t="str">
        <f t="shared" si="103"/>
        <v>ندارد</v>
      </c>
      <c r="U462" s="1" t="str">
        <f>"بهاري مرتضي (1881070)"</f>
        <v>بهاري مرتضي (1881070)</v>
      </c>
      <c r="V462" s="1">
        <v>956200335</v>
      </c>
      <c r="W462" s="1">
        <v>956200335</v>
      </c>
      <c r="X462" s="1" t="str">
        <f>"1395469188"</f>
        <v>1395469188</v>
      </c>
      <c r="Y462" s="1" t="str">
        <f>"95/12/16"</f>
        <v>95/12/16</v>
      </c>
      <c r="Z462" s="1" t="str">
        <f>"55259/د"</f>
        <v>55259/د</v>
      </c>
      <c r="AA462" s="1" t="str">
        <f t="shared" si="105"/>
        <v>بنيادمسكن انقلاب اسلامي</v>
      </c>
      <c r="AB462" s="1" t="str">
        <f>"95/12/15"</f>
        <v>95/12/15</v>
      </c>
      <c r="AC462" s="1" t="str">
        <f>"استان تهران"</f>
        <v>استان تهران</v>
      </c>
      <c r="AD462" s="1" t="str">
        <f>"95/12/16"</f>
        <v>95/12/16</v>
      </c>
      <c r="AE462" s="1" t="str">
        <f t="shared" si="99"/>
        <v>اختتام</v>
      </c>
      <c r="AF462" s="1" t="str">
        <f>""</f>
        <v/>
      </c>
      <c r="AG462" s="1" t="str">
        <f>""</f>
        <v/>
      </c>
      <c r="AH462" s="1" t="str">
        <f>""</f>
        <v/>
      </c>
      <c r="AI462" s="1" t="str">
        <f>""</f>
        <v/>
      </c>
      <c r="AJ462" s="1" t="str">
        <f>""</f>
        <v/>
      </c>
      <c r="AK462" s="1" t="str">
        <f>""</f>
        <v/>
      </c>
    </row>
    <row r="463" spans="1:37" x14ac:dyDescent="0.2">
      <c r="A463" s="1">
        <v>85000</v>
      </c>
      <c r="B463" s="1">
        <v>956200356</v>
      </c>
      <c r="C463" s="1" t="str">
        <f>"تخليه-کرمانشاه-کيلومتر 13 جاده سراب نيلوفر تقاطع سه راهي شاهيني-کارخانه آسفالت شرکت سازه آفرين کردستان"</f>
        <v>تخليه-کرمانشاه-کيلومتر 13 جاده سراب نيلوفر تقاطع سه راهي شاهيني-کارخانه آسفالت شرکت سازه آفرين کردستان</v>
      </c>
      <c r="D463" s="1">
        <v>8848</v>
      </c>
      <c r="E463" s="1">
        <v>85000</v>
      </c>
      <c r="F463" s="1">
        <v>95</v>
      </c>
      <c r="G463" s="1">
        <v>0</v>
      </c>
      <c r="H463" s="1" t="str">
        <f>"95/12/23"</f>
        <v>95/12/23</v>
      </c>
      <c r="I463" s="1" t="str">
        <f t="shared" si="100"/>
        <v>كيلوگرم</v>
      </c>
      <c r="J463" s="1" t="str">
        <f t="shared" si="97"/>
        <v>0000000076</v>
      </c>
      <c r="K463" s="1" t="str">
        <f t="shared" si="98"/>
        <v>قير 60/70 - فله</v>
      </c>
      <c r="L463" s="1">
        <v>100</v>
      </c>
      <c r="M463" s="1" t="str">
        <f t="shared" si="101"/>
        <v>مخازن قير اصفهان</v>
      </c>
      <c r="N463" s="1">
        <v>11297</v>
      </c>
      <c r="O463" s="1">
        <v>50034232</v>
      </c>
      <c r="P463" s="1" t="str">
        <f>"  عمران تابش غرب"</f>
        <v xml:space="preserve">  عمران تابش غرب</v>
      </c>
      <c r="Q463" s="1">
        <v>62</v>
      </c>
      <c r="R463" s="1" t="str">
        <f t="shared" si="104"/>
        <v>فروش داخلي - سازمان بنيادمسكن انقلاب اسلامي</v>
      </c>
      <c r="S463" s="1" t="str">
        <f t="shared" si="102"/>
        <v>قرارداد فروش</v>
      </c>
      <c r="T463" s="1" t="str">
        <f t="shared" si="103"/>
        <v>ندارد</v>
      </c>
      <c r="U463" s="1" t="str">
        <f>"ميهن دوست عبداله(2842010)"</f>
        <v>ميهن دوست عبداله(2842010)</v>
      </c>
      <c r="V463" s="1">
        <v>956200356</v>
      </c>
      <c r="W463" s="1">
        <v>956200356</v>
      </c>
      <c r="X463" s="1" t="str">
        <f>"1395470711"</f>
        <v>1395470711</v>
      </c>
      <c r="Y463" s="1" t="str">
        <f>"95/12/23"</f>
        <v>95/12/23</v>
      </c>
      <c r="Z463" s="1" t="str">
        <f>"56548/د"</f>
        <v>56548/د</v>
      </c>
      <c r="AA463" s="1" t="str">
        <f t="shared" si="105"/>
        <v>بنيادمسكن انقلاب اسلامي</v>
      </c>
      <c r="AB463" s="1" t="str">
        <f>"95/12/21"</f>
        <v>95/12/21</v>
      </c>
      <c r="AC463" s="1" t="str">
        <f>"استان كرمانشاه"</f>
        <v>استان كرمانشاه</v>
      </c>
      <c r="AD463" s="1" t="str">
        <f>"95/12/22"</f>
        <v>95/12/22</v>
      </c>
      <c r="AE463" s="1" t="str">
        <f t="shared" si="99"/>
        <v>اختتام</v>
      </c>
      <c r="AF463" s="1" t="str">
        <f>""</f>
        <v/>
      </c>
      <c r="AG463" s="1" t="str">
        <f>""</f>
        <v/>
      </c>
      <c r="AH463" s="1" t="str">
        <f>""</f>
        <v/>
      </c>
      <c r="AI463" s="1" t="str">
        <f>""</f>
        <v/>
      </c>
      <c r="AJ463" s="1" t="str">
        <f>""</f>
        <v/>
      </c>
      <c r="AK463" s="1" t="str">
        <f>""</f>
        <v/>
      </c>
    </row>
    <row r="464" spans="1:37" x14ac:dyDescent="0.2">
      <c r="A464" s="1">
        <v>105000</v>
      </c>
      <c r="B464" s="1">
        <v>956200006</v>
      </c>
      <c r="C464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464" s="1">
        <v>5650</v>
      </c>
      <c r="E464" s="1">
        <v>104140</v>
      </c>
      <c r="F464" s="1">
        <v>95</v>
      </c>
      <c r="G464" s="1">
        <v>860</v>
      </c>
      <c r="H464" s="1" t="str">
        <f>"95/02/28"</f>
        <v>95/02/28</v>
      </c>
      <c r="I464" s="1" t="str">
        <f t="shared" si="100"/>
        <v>كيلوگرم</v>
      </c>
      <c r="J464" s="1" t="str">
        <f t="shared" si="97"/>
        <v>0000000076</v>
      </c>
      <c r="K464" s="1" t="str">
        <f t="shared" si="98"/>
        <v>قير 60/70 - فله</v>
      </c>
      <c r="L464" s="1">
        <v>100</v>
      </c>
      <c r="M464" s="1" t="str">
        <f t="shared" si="101"/>
        <v>مخازن قير اصفهان</v>
      </c>
      <c r="N464" s="1">
        <v>11027</v>
      </c>
      <c r="O464" s="1">
        <v>50030853</v>
      </c>
      <c r="P464" s="1" t="str">
        <f>"  نوژان خشت"</f>
        <v xml:space="preserve">  نوژان خشت</v>
      </c>
      <c r="Q464" s="1">
        <v>62</v>
      </c>
      <c r="R464" s="1" t="str">
        <f t="shared" si="104"/>
        <v>فروش داخلي - سازمان بنيادمسكن انقلاب اسلامي</v>
      </c>
      <c r="S464" s="1" t="str">
        <f t="shared" si="102"/>
        <v>قرارداد فروش</v>
      </c>
      <c r="T464" s="1" t="str">
        <f t="shared" si="103"/>
        <v>ندارد</v>
      </c>
      <c r="U464" s="1" t="str">
        <f>"ريسماني حسن(1007ج89)"</f>
        <v>ريسماني حسن(1007ج89)</v>
      </c>
      <c r="V464" s="1">
        <v>956200006</v>
      </c>
      <c r="W464" s="1">
        <v>956200006</v>
      </c>
      <c r="X464" s="1" t="str">
        <f>"1395404450"</f>
        <v>1395404450</v>
      </c>
      <c r="Y464" s="1" t="str">
        <f>"95/02/28"</f>
        <v>95/02/28</v>
      </c>
      <c r="Z464" s="1" t="str">
        <f>"7178/د"</f>
        <v>7178/د</v>
      </c>
      <c r="AA464" s="1" t="str">
        <f t="shared" si="105"/>
        <v>بنيادمسكن انقلاب اسلامي</v>
      </c>
      <c r="AB464" s="1" t="str">
        <f>"95/02/26"</f>
        <v>95/02/26</v>
      </c>
      <c r="AC464" s="1" t="str">
        <f>"استان اصفهان"</f>
        <v>استان اصفهان</v>
      </c>
      <c r="AD464" s="1" t="str">
        <f>"95/02/27"</f>
        <v>95/02/27</v>
      </c>
      <c r="AE464" s="1" t="str">
        <f t="shared" si="99"/>
        <v>اختتام</v>
      </c>
      <c r="AF464" s="1" t="str">
        <f>""</f>
        <v/>
      </c>
      <c r="AG464" s="1" t="str">
        <f>""</f>
        <v/>
      </c>
      <c r="AH464" s="1" t="str">
        <f>""</f>
        <v/>
      </c>
      <c r="AI464" s="1" t="str">
        <f>""</f>
        <v/>
      </c>
      <c r="AJ464" s="1" t="str">
        <f>""</f>
        <v/>
      </c>
      <c r="AK464" s="1" t="str">
        <f>""</f>
        <v/>
      </c>
    </row>
    <row r="465" spans="1:37" x14ac:dyDescent="0.2">
      <c r="A465" s="1">
        <v>150000</v>
      </c>
      <c r="B465" s="1">
        <v>956200075</v>
      </c>
      <c r="C465" s="1" t="str">
        <f>"تخليه - کهگيلويه و بويراحمد-شهرلنده-روستاي ايدنک-کارخانه آسفالت ايدنک"</f>
        <v>تخليه - کهگيلويه و بويراحمد-شهرلنده-روستاي ايدنک-کارخانه آسفالت ايدنک</v>
      </c>
      <c r="D465" s="1">
        <v>6876</v>
      </c>
      <c r="E465" s="1">
        <v>149280</v>
      </c>
      <c r="F465" s="1">
        <v>95</v>
      </c>
      <c r="G465" s="1">
        <v>720</v>
      </c>
      <c r="H465" s="1" t="str">
        <f>"95/06/24"</f>
        <v>95/06/24</v>
      </c>
      <c r="I465" s="1" t="str">
        <f t="shared" si="100"/>
        <v>كيلوگرم</v>
      </c>
      <c r="J465" s="1" t="str">
        <f t="shared" si="97"/>
        <v>0000000076</v>
      </c>
      <c r="K465" s="1" t="str">
        <f t="shared" si="98"/>
        <v>قير 60/70 - فله</v>
      </c>
      <c r="L465" s="1">
        <v>100</v>
      </c>
      <c r="M465" s="1" t="str">
        <f t="shared" si="101"/>
        <v>مخازن قير اصفهان</v>
      </c>
      <c r="N465" s="1">
        <v>11041</v>
      </c>
      <c r="O465" s="1">
        <v>50031872</v>
      </c>
      <c r="P465" s="1" t="str">
        <f>"  تنگ شير سازه"</f>
        <v xml:space="preserve">  تنگ شير سازه</v>
      </c>
      <c r="Q465" s="1">
        <v>62</v>
      </c>
      <c r="R465" s="1" t="str">
        <f t="shared" si="104"/>
        <v>فروش داخلي - سازمان بنيادمسكن انقلاب اسلامي</v>
      </c>
      <c r="S465" s="1" t="str">
        <f t="shared" si="102"/>
        <v>قرارداد فروش</v>
      </c>
      <c r="T465" s="1" t="str">
        <f t="shared" si="103"/>
        <v>ندارد</v>
      </c>
      <c r="U465" s="1" t="str">
        <f>"غلام نجفي سيامك‌‌‌‌‌‌(1881082)"</f>
        <v>غلام نجفي سيامك‌‌‌‌‌‌(1881082)</v>
      </c>
      <c r="V465" s="1">
        <v>956200075</v>
      </c>
      <c r="W465" s="1">
        <v>956200075</v>
      </c>
      <c r="X465" s="1" t="str">
        <f>"1395431907"</f>
        <v>1395431907</v>
      </c>
      <c r="Y465" s="1" t="str">
        <f>"95/06/24"</f>
        <v>95/06/24</v>
      </c>
      <c r="Z465" s="1" t="str">
        <f>"26093/د"</f>
        <v>26093/د</v>
      </c>
      <c r="AA465" s="1" t="str">
        <f t="shared" si="105"/>
        <v>بنيادمسكن انقلاب اسلامي</v>
      </c>
      <c r="AB465" s="1" t="str">
        <f>"95/06/24"</f>
        <v>95/06/24</v>
      </c>
      <c r="AC465" s="1" t="str">
        <f>"كهكيلويه و بوير احمد"</f>
        <v>كهكيلويه و بوير احمد</v>
      </c>
      <c r="AD465" s="1" t="str">
        <f>"95/06/24"</f>
        <v>95/06/24</v>
      </c>
      <c r="AE465" s="1" t="str">
        <f t="shared" si="99"/>
        <v>اختتام</v>
      </c>
      <c r="AF465" s="1" t="str">
        <f>""</f>
        <v/>
      </c>
      <c r="AG465" s="1" t="str">
        <f>""</f>
        <v/>
      </c>
      <c r="AH465" s="1" t="str">
        <f>""</f>
        <v/>
      </c>
      <c r="AI465" s="1" t="str">
        <f>""</f>
        <v/>
      </c>
      <c r="AJ465" s="1" t="str">
        <f>""</f>
        <v/>
      </c>
      <c r="AK465" s="1" t="str">
        <f>""</f>
        <v/>
      </c>
    </row>
    <row r="466" spans="1:37" x14ac:dyDescent="0.2">
      <c r="A466" s="1">
        <v>93000</v>
      </c>
      <c r="B466" s="1">
        <v>956200368</v>
      </c>
      <c r="C466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466" s="1">
        <v>8848</v>
      </c>
      <c r="E466" s="1">
        <v>93000</v>
      </c>
      <c r="F466" s="1">
        <v>95</v>
      </c>
      <c r="G466" s="1">
        <v>0</v>
      </c>
      <c r="H466" s="1" t="str">
        <f>"95/12/23"</f>
        <v>95/12/23</v>
      </c>
      <c r="I466" s="1" t="str">
        <f t="shared" si="100"/>
        <v>كيلوگرم</v>
      </c>
      <c r="J466" s="1" t="str">
        <f t="shared" si="97"/>
        <v>0000000076</v>
      </c>
      <c r="K466" s="1" t="str">
        <f t="shared" si="98"/>
        <v>قير 60/70 - فله</v>
      </c>
      <c r="L466" s="1">
        <v>100</v>
      </c>
      <c r="M466" s="1" t="str">
        <f t="shared" si="101"/>
        <v>مخازن قير اصفهان</v>
      </c>
      <c r="N466" s="1">
        <v>10828</v>
      </c>
      <c r="O466" s="1">
        <v>50034165</v>
      </c>
      <c r="P466" s="1" t="str">
        <f>"  زرين گستربيستون"</f>
        <v xml:space="preserve">  زرين گستربيستون</v>
      </c>
      <c r="Q466" s="1">
        <v>62</v>
      </c>
      <c r="R466" s="1" t="str">
        <f t="shared" si="104"/>
        <v>فروش داخلي - سازمان بنيادمسكن انقلاب اسلامي</v>
      </c>
      <c r="S466" s="1" t="str">
        <f t="shared" si="102"/>
        <v>قرارداد فروش</v>
      </c>
      <c r="T466" s="1" t="str">
        <f t="shared" si="103"/>
        <v>ندارد</v>
      </c>
      <c r="U466" s="1" t="str">
        <f>"پيرالي مجيد(1045ج 94)"</f>
        <v>پيرالي مجيد(1045ج 94)</v>
      </c>
      <c r="V466" s="1">
        <v>956200368</v>
      </c>
      <c r="W466" s="1">
        <v>956200368</v>
      </c>
      <c r="X466" s="1" t="str">
        <f>"1395470885"</f>
        <v>1395470885</v>
      </c>
      <c r="Y466" s="1" t="str">
        <f>"95/12/23"</f>
        <v>95/12/23</v>
      </c>
      <c r="Z466" s="1" t="str">
        <f>"56988/د"</f>
        <v>56988/د</v>
      </c>
      <c r="AA466" s="1" t="str">
        <f t="shared" si="105"/>
        <v>بنيادمسكن انقلاب اسلامي</v>
      </c>
      <c r="AB466" s="1" t="str">
        <f>"95/12/22"</f>
        <v>95/12/22</v>
      </c>
      <c r="AC466" s="1" t="str">
        <f>"استان كرمانشاه"</f>
        <v>استان كرمانشاه</v>
      </c>
      <c r="AD466" s="1" t="str">
        <f>"95/12/23"</f>
        <v>95/12/23</v>
      </c>
      <c r="AE466" s="1" t="str">
        <f t="shared" si="99"/>
        <v>اختتام</v>
      </c>
      <c r="AF466" s="1" t="str">
        <f>""</f>
        <v/>
      </c>
      <c r="AG466" s="1" t="str">
        <f>""</f>
        <v/>
      </c>
      <c r="AH466" s="1" t="str">
        <f>""</f>
        <v/>
      </c>
      <c r="AI466" s="1" t="str">
        <f>""</f>
        <v/>
      </c>
      <c r="AJ466" s="1" t="str">
        <f>""</f>
        <v/>
      </c>
      <c r="AK466" s="1" t="str">
        <f>""</f>
        <v/>
      </c>
    </row>
    <row r="467" spans="1:37" x14ac:dyDescent="0.2">
      <c r="A467" s="1">
        <v>258000</v>
      </c>
      <c r="B467" s="1">
        <v>956200363</v>
      </c>
      <c r="C467" s="1" t="str">
        <f>"تخليه-کرمان-کيلومتر13جاده بهرامجرد-کارخانه آسفالت طلائي"</f>
        <v>تخليه-کرمان-کيلومتر13جاده بهرامجرد-کارخانه آسفالت طلائي</v>
      </c>
      <c r="D467" s="1">
        <v>8848</v>
      </c>
      <c r="E467" s="1">
        <v>257340</v>
      </c>
      <c r="F467" s="1">
        <v>95</v>
      </c>
      <c r="G467" s="1">
        <v>660</v>
      </c>
      <c r="H467" s="1" t="str">
        <f>"95/12/23"</f>
        <v>95/12/23</v>
      </c>
      <c r="I467" s="1" t="str">
        <f t="shared" si="100"/>
        <v>كيلوگرم</v>
      </c>
      <c r="J467" s="1" t="str">
        <f t="shared" si="97"/>
        <v>0000000076</v>
      </c>
      <c r="K467" s="1" t="str">
        <f t="shared" si="98"/>
        <v>قير 60/70 - فله</v>
      </c>
      <c r="L467" s="1">
        <v>100</v>
      </c>
      <c r="M467" s="1" t="str">
        <f t="shared" si="101"/>
        <v>مخازن قير اصفهان</v>
      </c>
      <c r="N467" s="1">
        <v>11300</v>
      </c>
      <c r="O467" s="1">
        <v>50034237</v>
      </c>
      <c r="P467" s="1" t="str">
        <f>"  افرنگ خشت پارينا"</f>
        <v xml:space="preserve">  افرنگ خشت پارينا</v>
      </c>
      <c r="Q467" s="1">
        <v>62</v>
      </c>
      <c r="R467" s="1" t="str">
        <f t="shared" si="104"/>
        <v>فروش داخلي - سازمان بنيادمسكن انقلاب اسلامي</v>
      </c>
      <c r="S467" s="1" t="str">
        <f t="shared" si="102"/>
        <v>قرارداد فروش</v>
      </c>
      <c r="T467" s="1" t="str">
        <f t="shared" si="103"/>
        <v>ندارد</v>
      </c>
      <c r="U467" s="1" t="str">
        <f>"دهقانيان بيژن (4954038)"</f>
        <v>دهقانيان بيژن (4954038)</v>
      </c>
      <c r="V467" s="1">
        <v>956200363</v>
      </c>
      <c r="W467" s="1">
        <v>956200363</v>
      </c>
      <c r="X467" s="1" t="str">
        <f>"1395470711"</f>
        <v>1395470711</v>
      </c>
      <c r="Y467" s="1" t="str">
        <f>"95/12/23"</f>
        <v>95/12/23</v>
      </c>
      <c r="Z467" s="1" t="str">
        <f>"56553/د"</f>
        <v>56553/د</v>
      </c>
      <c r="AA467" s="1" t="str">
        <f t="shared" si="105"/>
        <v>بنيادمسكن انقلاب اسلامي</v>
      </c>
      <c r="AB467" s="1" t="str">
        <f>"95/12/21"</f>
        <v>95/12/21</v>
      </c>
      <c r="AC467" s="1" t="str">
        <f>"استان كرمان"</f>
        <v>استان كرمان</v>
      </c>
      <c r="AD467" s="1" t="str">
        <f>"95/12/22"</f>
        <v>95/12/22</v>
      </c>
      <c r="AE467" s="1" t="str">
        <f t="shared" si="99"/>
        <v>اختتام</v>
      </c>
      <c r="AF467" s="1" t="str">
        <f>""</f>
        <v/>
      </c>
      <c r="AG467" s="1" t="str">
        <f>""</f>
        <v/>
      </c>
      <c r="AH467" s="1" t="str">
        <f>""</f>
        <v/>
      </c>
      <c r="AI467" s="1" t="str">
        <f>""</f>
        <v/>
      </c>
      <c r="AJ467" s="1" t="str">
        <f>""</f>
        <v/>
      </c>
      <c r="AK467" s="1" t="str">
        <f>""</f>
        <v/>
      </c>
    </row>
    <row r="468" spans="1:37" x14ac:dyDescent="0.2">
      <c r="A468" s="1">
        <v>71000</v>
      </c>
      <c r="B468" s="1">
        <v>956200390</v>
      </c>
      <c r="C468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468" s="1">
        <v>8848</v>
      </c>
      <c r="E468" s="1">
        <v>71000</v>
      </c>
      <c r="F468" s="1">
        <v>95</v>
      </c>
      <c r="G468" s="1">
        <v>0</v>
      </c>
      <c r="H468" s="1" t="str">
        <f>"95/12/24"</f>
        <v>95/12/24</v>
      </c>
      <c r="I468" s="1" t="str">
        <f t="shared" si="100"/>
        <v>كيلوگرم</v>
      </c>
      <c r="J468" s="1" t="str">
        <f t="shared" si="97"/>
        <v>0000000076</v>
      </c>
      <c r="K468" s="1" t="str">
        <f t="shared" si="98"/>
        <v>قير 60/70 - فله</v>
      </c>
      <c r="L468" s="1">
        <v>100</v>
      </c>
      <c r="M468" s="1" t="str">
        <f t="shared" si="101"/>
        <v>مخازن قير اصفهان</v>
      </c>
      <c r="N468" s="1">
        <v>11306</v>
      </c>
      <c r="O468" s="1">
        <v>50034211</v>
      </c>
      <c r="P468" s="1" t="str">
        <f>"  رابين راه امير"</f>
        <v xml:space="preserve">  رابين راه امير</v>
      </c>
      <c r="Q468" s="1">
        <v>62</v>
      </c>
      <c r="R468" s="1" t="str">
        <f t="shared" si="104"/>
        <v>فروش داخلي - سازمان بنيادمسكن انقلاب اسلامي</v>
      </c>
      <c r="S468" s="1" t="str">
        <f t="shared" si="102"/>
        <v>قرارداد فروش</v>
      </c>
      <c r="T468" s="1" t="str">
        <f t="shared" si="103"/>
        <v>ندارد</v>
      </c>
      <c r="U468" s="1" t="str">
        <f>"حاجيلوئي علي اصغر(2842019)"</f>
        <v>حاجيلوئي علي اصغر(2842019)</v>
      </c>
      <c r="V468" s="1">
        <v>956200390</v>
      </c>
      <c r="W468" s="1">
        <v>956200390</v>
      </c>
      <c r="X468" s="1" t="str">
        <f>"1395470885"</f>
        <v>1395470885</v>
      </c>
      <c r="Y468" s="1" t="str">
        <f>"95/12/24"</f>
        <v>95/12/24</v>
      </c>
      <c r="Z468" s="1" t="str">
        <f>"57099/د"</f>
        <v>57099/د</v>
      </c>
      <c r="AA468" s="1" t="str">
        <f t="shared" si="105"/>
        <v>بنيادمسكن انقلاب اسلامي</v>
      </c>
      <c r="AB468" s="1" t="str">
        <f>"95/12/22"</f>
        <v>95/12/22</v>
      </c>
      <c r="AC468" s="1" t="str">
        <f>"استان كرمانشاه"</f>
        <v>استان كرمانشاه</v>
      </c>
      <c r="AD468" s="1" t="str">
        <f>"95/12/23"</f>
        <v>95/12/23</v>
      </c>
      <c r="AE468" s="1" t="str">
        <f t="shared" si="99"/>
        <v>اختتام</v>
      </c>
      <c r="AF468" s="1" t="str">
        <f>""</f>
        <v/>
      </c>
      <c r="AG468" s="1" t="str">
        <f>""</f>
        <v/>
      </c>
      <c r="AH468" s="1" t="str">
        <f>""</f>
        <v/>
      </c>
      <c r="AI468" s="1" t="str">
        <f>""</f>
        <v/>
      </c>
      <c r="AJ468" s="1" t="str">
        <f>""</f>
        <v/>
      </c>
      <c r="AK468" s="1" t="str">
        <f>""</f>
        <v/>
      </c>
    </row>
    <row r="469" spans="1:37" x14ac:dyDescent="0.2">
      <c r="A469" s="1">
        <v>61000</v>
      </c>
      <c r="B469" s="1">
        <v>956200427</v>
      </c>
      <c r="C469" s="1" t="str">
        <f>"تخليه  كرمانشاه روانسركارخانه آسفالت يداله محمدي"</f>
        <v>تخليه  كرمانشاه روانسركارخانه آسفالت يداله محمدي</v>
      </c>
      <c r="D469" s="1">
        <v>8848</v>
      </c>
      <c r="E469" s="1">
        <v>61000</v>
      </c>
      <c r="F469" s="1">
        <v>95</v>
      </c>
      <c r="G469" s="1">
        <v>0</v>
      </c>
      <c r="H469" s="1" t="str">
        <f>"95/12/28"</f>
        <v>95/12/28</v>
      </c>
      <c r="I469" s="1" t="str">
        <f t="shared" si="100"/>
        <v>كيلوگرم</v>
      </c>
      <c r="J469" s="1" t="str">
        <f t="shared" si="97"/>
        <v>0000000076</v>
      </c>
      <c r="K469" s="1" t="str">
        <f t="shared" si="98"/>
        <v>قير 60/70 - فله</v>
      </c>
      <c r="L469" s="1">
        <v>100</v>
      </c>
      <c r="M469" s="1" t="str">
        <f t="shared" si="101"/>
        <v>مخازن قير اصفهان</v>
      </c>
      <c r="N469" s="1">
        <v>11324</v>
      </c>
      <c r="O469" s="1">
        <v>50034316</v>
      </c>
      <c r="P469" s="1" t="str">
        <f>"  کاشانه سازان امير"</f>
        <v xml:space="preserve">  کاشانه سازان امير</v>
      </c>
      <c r="Q469" s="1">
        <v>62</v>
      </c>
      <c r="R469" s="1" t="str">
        <f t="shared" si="104"/>
        <v>فروش داخلي - سازمان بنيادمسكن انقلاب اسلامي</v>
      </c>
      <c r="S469" s="1" t="str">
        <f t="shared" si="102"/>
        <v>قرارداد فروش</v>
      </c>
      <c r="T469" s="1" t="str">
        <f t="shared" si="103"/>
        <v>ندارد</v>
      </c>
      <c r="U469" s="1" t="str">
        <f>"حاجيلوئي علي اصغر(2842019)"</f>
        <v>حاجيلوئي علي اصغر(2842019)</v>
      </c>
      <c r="V469" s="1">
        <v>956200427</v>
      </c>
      <c r="W469" s="1">
        <v>956200427</v>
      </c>
      <c r="X469" s="1" t="str">
        <f>"1395470952"</f>
        <v>1395470952</v>
      </c>
      <c r="Y469" s="1" t="str">
        <f>"95/12/28"</f>
        <v>95/12/28</v>
      </c>
      <c r="Z469" s="1" t="str">
        <f>"57192/د"</f>
        <v>57192/د</v>
      </c>
      <c r="AA469" s="1" t="str">
        <f t="shared" si="105"/>
        <v>بنيادمسكن انقلاب اسلامي</v>
      </c>
      <c r="AB469" s="1" t="str">
        <f>"95/12/22"</f>
        <v>95/12/22</v>
      </c>
      <c r="AC469" s="1" t="str">
        <f>"استان كرمانشاه"</f>
        <v>استان كرمانشاه</v>
      </c>
      <c r="AD469" s="1" t="str">
        <f>"95/12/24"</f>
        <v>95/12/24</v>
      </c>
      <c r="AE469" s="1" t="str">
        <f t="shared" si="99"/>
        <v>اختتام</v>
      </c>
      <c r="AF469" s="1" t="str">
        <f>""</f>
        <v/>
      </c>
      <c r="AG469" s="1" t="str">
        <f>""</f>
        <v/>
      </c>
      <c r="AH469" s="1" t="str">
        <f>""</f>
        <v/>
      </c>
      <c r="AI469" s="1" t="str">
        <f>""</f>
        <v/>
      </c>
      <c r="AJ469" s="1" t="str">
        <f>""</f>
        <v/>
      </c>
      <c r="AK469" s="1" t="str">
        <f>""</f>
        <v/>
      </c>
    </row>
    <row r="470" spans="1:37" x14ac:dyDescent="0.2">
      <c r="A470" s="1">
        <v>150000</v>
      </c>
      <c r="B470" s="1">
        <v>956200150</v>
      </c>
      <c r="C470" s="1" t="str">
        <f>"تخليه-خوانسار- سه راهي رحمت آباد-کارخانه آسفالت دهاقين"</f>
        <v>تخليه-خوانسار- سه راهي رحمت آباد-کارخانه آسفالت دهاقين</v>
      </c>
      <c r="D470" s="1">
        <v>8861</v>
      </c>
      <c r="E470" s="1">
        <v>149640</v>
      </c>
      <c r="F470" s="1">
        <v>95</v>
      </c>
      <c r="G470" s="1">
        <v>360</v>
      </c>
      <c r="H470" s="1" t="str">
        <f>"95/10/23"</f>
        <v>95/10/23</v>
      </c>
      <c r="I470" s="1" t="str">
        <f t="shared" si="100"/>
        <v>كيلوگرم</v>
      </c>
      <c r="J470" s="1" t="str">
        <f t="shared" si="97"/>
        <v>0000000076</v>
      </c>
      <c r="K470" s="1" t="str">
        <f t="shared" si="98"/>
        <v>قير 60/70 - فله</v>
      </c>
      <c r="L470" s="1">
        <v>100</v>
      </c>
      <c r="M470" s="1" t="str">
        <f t="shared" si="101"/>
        <v>مخازن قير اصفهان</v>
      </c>
      <c r="N470" s="1">
        <v>11042</v>
      </c>
      <c r="O470" s="1">
        <v>50033369</v>
      </c>
      <c r="P470" s="1" t="str">
        <f>"  صخره کاران خيرآباد"</f>
        <v xml:space="preserve">  صخره کاران خيرآباد</v>
      </c>
      <c r="Q470" s="1">
        <v>62</v>
      </c>
      <c r="R470" s="1" t="str">
        <f t="shared" si="104"/>
        <v>فروش داخلي - سازمان بنيادمسكن انقلاب اسلامي</v>
      </c>
      <c r="S470" s="1" t="str">
        <f t="shared" si="102"/>
        <v>قرارداد فروش</v>
      </c>
      <c r="T470" s="1" t="str">
        <f t="shared" si="103"/>
        <v>ندارد</v>
      </c>
      <c r="U470" s="1" t="str">
        <f>"علي عابدي ابوالقاسم(1003ج89)"</f>
        <v>علي عابدي ابوالقاسم(1003ج89)</v>
      </c>
      <c r="V470" s="1">
        <v>956200150</v>
      </c>
      <c r="W470" s="1">
        <v>956200150</v>
      </c>
      <c r="X470" s="1" t="str">
        <f>"1395457937"</f>
        <v>1395457937</v>
      </c>
      <c r="Y470" s="1" t="str">
        <f>"95/10/23"</f>
        <v>95/10/23</v>
      </c>
      <c r="Z470" s="1" t="str">
        <f>"44836/د"</f>
        <v>44836/د</v>
      </c>
      <c r="AA470" s="1" t="str">
        <f t="shared" si="105"/>
        <v>بنيادمسكن انقلاب اسلامي</v>
      </c>
      <c r="AB470" s="1" t="str">
        <f>"95/10/20"</f>
        <v>95/10/20</v>
      </c>
      <c r="AC470" s="1" t="str">
        <f>"استان اصفهان"</f>
        <v>استان اصفهان</v>
      </c>
      <c r="AD470" s="1" t="str">
        <f>"95/10/22"</f>
        <v>95/10/22</v>
      </c>
      <c r="AE470" s="1" t="str">
        <f t="shared" si="99"/>
        <v>اختتام</v>
      </c>
      <c r="AF470" s="1" t="str">
        <f>""</f>
        <v/>
      </c>
      <c r="AG470" s="1" t="str">
        <f>""</f>
        <v/>
      </c>
      <c r="AH470" s="1" t="str">
        <f>""</f>
        <v/>
      </c>
      <c r="AI470" s="1" t="str">
        <f>""</f>
        <v/>
      </c>
      <c r="AJ470" s="1" t="str">
        <f>""</f>
        <v/>
      </c>
      <c r="AK470" s="1" t="str">
        <f>""</f>
        <v/>
      </c>
    </row>
    <row r="471" spans="1:37" x14ac:dyDescent="0.2">
      <c r="A471" s="1">
        <v>65000</v>
      </c>
      <c r="B471" s="1">
        <v>952000202</v>
      </c>
      <c r="C471" s="1" t="str">
        <f>"تخليه -استان مركزي -اراك -روبه روي پالايشگاه اول جاده قدمگاه كارخانه آسفالت اوج آسفالت"</f>
        <v>تخليه -استان مركزي -اراك -روبه روي پالايشگاه اول جاده قدمگاه كارخانه آسفالت اوج آسفالت</v>
      </c>
      <c r="D471" s="1">
        <v>8023</v>
      </c>
      <c r="E471" s="1">
        <v>63500</v>
      </c>
      <c r="F471" s="1">
        <v>95</v>
      </c>
      <c r="G471" s="1">
        <v>1500</v>
      </c>
      <c r="H471" s="1" t="str">
        <f>"95/08/16"</f>
        <v>95/08/16</v>
      </c>
      <c r="I471" s="1" t="str">
        <f t="shared" si="100"/>
        <v>كيلوگرم</v>
      </c>
      <c r="J471" s="1" t="str">
        <f t="shared" si="97"/>
        <v>0000000076</v>
      </c>
      <c r="K471" s="1" t="str">
        <f t="shared" si="98"/>
        <v>قير 60/70 - فله</v>
      </c>
      <c r="L471" s="1">
        <v>100</v>
      </c>
      <c r="M471" s="1" t="str">
        <f t="shared" si="101"/>
        <v>مخازن قير اصفهان</v>
      </c>
      <c r="N471" s="1">
        <v>10861</v>
      </c>
      <c r="O471" s="1">
        <v>50032509</v>
      </c>
      <c r="P471" s="1" t="str">
        <f>"  شهرداري مومن آباد"</f>
        <v xml:space="preserve">  شهرداري مومن آباد</v>
      </c>
      <c r="Q471" s="1">
        <v>20</v>
      </c>
      <c r="R471" s="1" t="str">
        <f>"فروش داخلي - سازمان شهرداري ها و دهياري هاي كشور"</f>
        <v>فروش داخلي - سازمان شهرداري ها و دهياري هاي كشور</v>
      </c>
      <c r="S471" s="1" t="str">
        <f t="shared" si="102"/>
        <v>قرارداد فروش</v>
      </c>
      <c r="T471" s="1" t="str">
        <f t="shared" si="103"/>
        <v>ندارد</v>
      </c>
      <c r="U471" s="1" t="str">
        <f>"عظيمي محمد(2842015)"</f>
        <v>عظيمي محمد(2842015)</v>
      </c>
      <c r="V471" s="1">
        <v>952000202</v>
      </c>
      <c r="W471" s="1">
        <v>952000202</v>
      </c>
      <c r="X471" s="1" t="str">
        <f>"1395443199"</f>
        <v>1395443199</v>
      </c>
      <c r="Y471" s="1" t="str">
        <f>"95/08/16"</f>
        <v>95/08/16</v>
      </c>
      <c r="Z471" s="1" t="str">
        <f>"39503"</f>
        <v>39503</v>
      </c>
      <c r="AA471" s="1" t="str">
        <f>"شهرداريها"</f>
        <v>شهرداريها</v>
      </c>
      <c r="AB471" s="1" t="str">
        <f>"95/08/11"</f>
        <v>95/08/11</v>
      </c>
      <c r="AC471" s="1" t="str">
        <f>"لرستان"</f>
        <v>لرستان</v>
      </c>
      <c r="AD471" s="1" t="str">
        <f>"95/08/15"</f>
        <v>95/08/15</v>
      </c>
      <c r="AE471" s="1" t="str">
        <f t="shared" si="99"/>
        <v>اختتام</v>
      </c>
      <c r="AF471" s="1" t="str">
        <f>""</f>
        <v/>
      </c>
      <c r="AG471" s="1" t="str">
        <f>""</f>
        <v/>
      </c>
      <c r="AH471" s="1" t="str">
        <f>""</f>
        <v/>
      </c>
      <c r="AI471" s="1" t="str">
        <f>""</f>
        <v/>
      </c>
      <c r="AJ471" s="1" t="str">
        <f>""</f>
        <v/>
      </c>
      <c r="AK471" s="1" t="str">
        <f>""</f>
        <v/>
      </c>
    </row>
    <row r="472" spans="1:37" x14ac:dyDescent="0.2">
      <c r="A472" s="1">
        <v>95000</v>
      </c>
      <c r="B472" s="1">
        <v>952000177</v>
      </c>
      <c r="C472" s="1" t="str">
        <f>"تخليه قم جعفريه ناحيه طغرودكارخانه آسفالت مهرگازران"</f>
        <v>تخليه قم جعفريه ناحيه طغرودكارخانه آسفالت مهرگازران</v>
      </c>
      <c r="D472" s="1">
        <v>8023</v>
      </c>
      <c r="E472" s="1">
        <v>94800</v>
      </c>
      <c r="F472" s="1">
        <v>95</v>
      </c>
      <c r="G472" s="1">
        <v>200</v>
      </c>
      <c r="H472" s="1" t="str">
        <f>"95/08/10"</f>
        <v>95/08/10</v>
      </c>
      <c r="I472" s="1" t="str">
        <f t="shared" si="100"/>
        <v>كيلوگرم</v>
      </c>
      <c r="J472" s="1" t="str">
        <f t="shared" si="97"/>
        <v>0000000076</v>
      </c>
      <c r="K472" s="1" t="str">
        <f t="shared" si="98"/>
        <v>قير 60/70 - فله</v>
      </c>
      <c r="L472" s="1">
        <v>100</v>
      </c>
      <c r="M472" s="1" t="str">
        <f t="shared" si="101"/>
        <v>مخازن قير اصفهان</v>
      </c>
      <c r="N472" s="1">
        <v>10873</v>
      </c>
      <c r="O472" s="1">
        <v>50032445</v>
      </c>
      <c r="P472" s="1" t="str">
        <f>"  شهرداري جعفريه"</f>
        <v xml:space="preserve">  شهرداري جعفريه</v>
      </c>
      <c r="Q472" s="1">
        <v>20</v>
      </c>
      <c r="R472" s="1" t="str">
        <f>"فروش داخلي - سازمان شهرداري ها و دهياري هاي كشور"</f>
        <v>فروش داخلي - سازمان شهرداري ها و دهياري هاي كشور</v>
      </c>
      <c r="S472" s="1" t="str">
        <f t="shared" si="102"/>
        <v>قرارداد فروش</v>
      </c>
      <c r="T472" s="1" t="str">
        <f t="shared" si="103"/>
        <v>ندارد</v>
      </c>
      <c r="U472" s="1" t="str">
        <f>"قره باغي مجيد(1871065)"</f>
        <v>قره باغي مجيد(1871065)</v>
      </c>
      <c r="V472" s="1">
        <v>952000177</v>
      </c>
      <c r="W472" s="1">
        <v>952000177</v>
      </c>
      <c r="X472" s="1" t="str">
        <f>"1395441430"</f>
        <v>1395441430</v>
      </c>
      <c r="Y472" s="1" t="str">
        <f>"95/08/10"</f>
        <v>95/08/10</v>
      </c>
      <c r="Z472" s="1" t="str">
        <f>"34982"</f>
        <v>34982</v>
      </c>
      <c r="AA472" s="1" t="str">
        <f>"شهرداريها"</f>
        <v>شهرداريها</v>
      </c>
      <c r="AB472" s="1" t="str">
        <f>"95/07/18"</f>
        <v>95/07/18</v>
      </c>
      <c r="AC472" s="1" t="str">
        <f>"قم"</f>
        <v>قم</v>
      </c>
      <c r="AD472" s="1" t="str">
        <f>"95/08/09"</f>
        <v>95/08/09</v>
      </c>
      <c r="AE472" s="1" t="str">
        <f t="shared" si="99"/>
        <v>اختتام</v>
      </c>
      <c r="AF472" s="1" t="str">
        <f>""</f>
        <v/>
      </c>
      <c r="AG472" s="1" t="str">
        <f>""</f>
        <v/>
      </c>
      <c r="AH472" s="1" t="str">
        <f>""</f>
        <v/>
      </c>
      <c r="AI472" s="1" t="str">
        <f>""</f>
        <v/>
      </c>
      <c r="AJ472" s="1" t="str">
        <f>""</f>
        <v/>
      </c>
      <c r="AK472" s="1" t="str">
        <f>""</f>
        <v/>
      </c>
    </row>
    <row r="473" spans="1:37" x14ac:dyDescent="0.2">
      <c r="A473" s="1">
        <v>200000</v>
      </c>
      <c r="B473" s="1">
        <v>951100049</v>
      </c>
      <c r="C473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473" s="1">
        <v>5650</v>
      </c>
      <c r="E473" s="1">
        <v>194140</v>
      </c>
      <c r="F473" s="1">
        <v>95</v>
      </c>
      <c r="G473" s="1">
        <v>5860</v>
      </c>
      <c r="H473" s="1" t="str">
        <f>"95/02/26"</f>
        <v>95/02/26</v>
      </c>
      <c r="I473" s="1" t="str">
        <f t="shared" si="100"/>
        <v>كيلوگرم</v>
      </c>
      <c r="J473" s="1" t="str">
        <f t="shared" si="97"/>
        <v>0000000076</v>
      </c>
      <c r="K473" s="1" t="str">
        <f t="shared" si="98"/>
        <v>قير 60/70 - فله</v>
      </c>
      <c r="L473" s="1">
        <v>100</v>
      </c>
      <c r="M473" s="1" t="str">
        <f t="shared" si="101"/>
        <v>مخازن قير اصفهان</v>
      </c>
      <c r="N473" s="1">
        <v>11095</v>
      </c>
      <c r="O473" s="1">
        <v>50030839</v>
      </c>
      <c r="P473" s="1" t="str">
        <f>"  شهيربناي ايرانيان"</f>
        <v xml:space="preserve">  شهيربناي ايرانيان</v>
      </c>
      <c r="Q473" s="1">
        <v>11</v>
      </c>
      <c r="R473" s="1" t="str">
        <f>"فروش داخلي تهران - بورس"</f>
        <v>فروش داخلي تهران - بورس</v>
      </c>
      <c r="S473" s="1" t="str">
        <f t="shared" si="102"/>
        <v>قرارداد فروش</v>
      </c>
      <c r="T473" s="1" t="str">
        <f t="shared" si="103"/>
        <v>ندارد</v>
      </c>
      <c r="U473" s="1" t="str">
        <f>"ريسماني حسن(1007ج89)"</f>
        <v>ريسماني حسن(1007ج89)</v>
      </c>
      <c r="V473" s="1">
        <v>951100049</v>
      </c>
      <c r="W473" s="1">
        <v>951100049</v>
      </c>
      <c r="X473" s="1" t="str">
        <f>"1395403486"</f>
        <v>1395403486</v>
      </c>
      <c r="Y473" s="1" t="str">
        <f>"95/02/25"</f>
        <v>95/02/25</v>
      </c>
      <c r="Z473" s="1" t="str">
        <f>"95-34374"</f>
        <v>95-34374</v>
      </c>
      <c r="AA473" s="1" t="str">
        <f>"راه سازي"</f>
        <v>راه سازي</v>
      </c>
      <c r="AB473" s="1" t="str">
        <f>"95/02/25"</f>
        <v>95/02/25</v>
      </c>
      <c r="AC473" s="1" t="str">
        <f>"استان اصفهان"</f>
        <v>استان اصفهان</v>
      </c>
      <c r="AD473" s="1" t="str">
        <f>"95/02/20"</f>
        <v>95/02/20</v>
      </c>
      <c r="AE473" s="1" t="str">
        <f t="shared" si="99"/>
        <v>اختتام</v>
      </c>
      <c r="AF473" s="1" t="str">
        <f>""</f>
        <v/>
      </c>
      <c r="AG473" s="1" t="str">
        <f>""</f>
        <v/>
      </c>
      <c r="AH473" s="1" t="str">
        <f>""</f>
        <v/>
      </c>
      <c r="AI473" s="1" t="str">
        <f>""</f>
        <v/>
      </c>
      <c r="AJ473" s="1" t="str">
        <f>""</f>
        <v/>
      </c>
      <c r="AK473" s="1" t="str">
        <f>""</f>
        <v/>
      </c>
    </row>
    <row r="474" spans="1:37" x14ac:dyDescent="0.2">
      <c r="A474" s="1">
        <v>166000</v>
      </c>
      <c r="B474" s="1">
        <v>956300028</v>
      </c>
      <c r="C474" s="1" t="str">
        <f>"تخليه اصفهان جاده سيمان سپاهان خيابان 11منطقه صنعتي شركت اسكان گسترسامان كارخانه آسفالت راه آژند"</f>
        <v>تخليه اصفهان جاده سيمان سپاهان خيابان 11منطقه صنعتي شركت اسكان گسترسامان كارخانه آسفالت راه آژند</v>
      </c>
      <c r="D474" s="1">
        <v>8848</v>
      </c>
      <c r="E474" s="1">
        <v>166000</v>
      </c>
      <c r="F474" s="1">
        <v>95</v>
      </c>
      <c r="G474" s="1">
        <v>0</v>
      </c>
      <c r="H474" s="1" t="str">
        <f>"95/12/07"</f>
        <v>95/12/07</v>
      </c>
      <c r="I474" s="1" t="str">
        <f t="shared" si="100"/>
        <v>كيلوگرم</v>
      </c>
      <c r="J474" s="1" t="str">
        <f t="shared" si="97"/>
        <v>0000000076</v>
      </c>
      <c r="K474" s="1" t="str">
        <f t="shared" si="98"/>
        <v>قير 60/70 - فله</v>
      </c>
      <c r="L474" s="1">
        <v>100</v>
      </c>
      <c r="M474" s="1" t="str">
        <f t="shared" si="101"/>
        <v>مخازن قير اصفهان</v>
      </c>
      <c r="N474" s="1">
        <v>11098</v>
      </c>
      <c r="O474" s="1">
        <v>50033887</v>
      </c>
      <c r="P474" s="1" t="str">
        <f>"  اداره كل نوسازي توسعه وتجهيزمدارس استان اصفهان"</f>
        <v xml:space="preserve">  اداره كل نوسازي توسعه وتجهيزمدارس استان اصفهان</v>
      </c>
      <c r="Q474" s="1">
        <v>63</v>
      </c>
      <c r="R474" s="1" t="str">
        <f>"سازمان نوسازي،توسعه و تجهيز مدارس كشور"</f>
        <v>سازمان نوسازي،توسعه و تجهيز مدارس كشور</v>
      </c>
      <c r="S474" s="1" t="str">
        <f t="shared" si="102"/>
        <v>قرارداد فروش</v>
      </c>
      <c r="T474" s="1" t="str">
        <f t="shared" si="103"/>
        <v>ندارد</v>
      </c>
      <c r="U474" s="1" t="str">
        <f>"سيفي پور عبدالمجيد(1009ج89)"</f>
        <v>سيفي پور عبدالمجيد(1009ج89)</v>
      </c>
      <c r="V474" s="1">
        <v>956300028</v>
      </c>
      <c r="W474" s="1">
        <v>956300028</v>
      </c>
      <c r="X474" s="1" t="str">
        <f>"1395467546"</f>
        <v>1395467546</v>
      </c>
      <c r="Y474" s="1" t="str">
        <f>"95/12/07"</f>
        <v>95/12/07</v>
      </c>
      <c r="Z474" s="1" t="str">
        <f>"3-95/422-35970"</f>
        <v>3-95/422-35970</v>
      </c>
      <c r="AA474" s="1" t="str">
        <f>"سازمان نوسازي توسعه وتجهيزمدارس كشور"</f>
        <v>سازمان نوسازي توسعه وتجهيزمدارس كشور</v>
      </c>
      <c r="AB474" s="1" t="str">
        <f>"95/12/03"</f>
        <v>95/12/03</v>
      </c>
      <c r="AC474" s="1" t="str">
        <f>"استان اصفهان"</f>
        <v>استان اصفهان</v>
      </c>
      <c r="AD474" s="1" t="str">
        <f>"95/12/07"</f>
        <v>95/12/07</v>
      </c>
      <c r="AE474" s="1" t="str">
        <f>"تاييدشده"</f>
        <v>تاييدشده</v>
      </c>
      <c r="AF474" s="1" t="str">
        <f>""</f>
        <v/>
      </c>
      <c r="AG474" s="1" t="str">
        <f>""</f>
        <v/>
      </c>
      <c r="AH474" s="1" t="str">
        <f>""</f>
        <v/>
      </c>
      <c r="AI474" s="1" t="str">
        <f>""</f>
        <v/>
      </c>
      <c r="AJ474" s="1" t="str">
        <f>""</f>
        <v/>
      </c>
      <c r="AK474" s="1" t="str">
        <f>""</f>
        <v/>
      </c>
    </row>
    <row r="475" spans="1:37" x14ac:dyDescent="0.2">
      <c r="A475" s="1">
        <v>167000</v>
      </c>
      <c r="B475" s="1">
        <v>956300035</v>
      </c>
      <c r="C475" s="1" t="str">
        <f>"تخليه اصفهان جاده سيمان سپاهان خيابان 11منطقه صنعتي آقاي محمدنظري كارخانه آسفالت راه آژند"</f>
        <v>تخليه اصفهان جاده سيمان سپاهان خيابان 11منطقه صنعتي آقاي محمدنظري كارخانه آسفالت راه آژند</v>
      </c>
      <c r="D475" s="1">
        <v>8848</v>
      </c>
      <c r="E475" s="1">
        <v>167000</v>
      </c>
      <c r="F475" s="1">
        <v>95</v>
      </c>
      <c r="G475" s="1">
        <v>0</v>
      </c>
      <c r="H475" s="1" t="str">
        <f>"95/12/17"</f>
        <v>95/12/17</v>
      </c>
      <c r="I475" s="1" t="str">
        <f t="shared" si="100"/>
        <v>كيلوگرم</v>
      </c>
      <c r="J475" s="1" t="str">
        <f t="shared" si="97"/>
        <v>0000000076</v>
      </c>
      <c r="K475" s="1" t="str">
        <f t="shared" si="98"/>
        <v>قير 60/70 - فله</v>
      </c>
      <c r="L475" s="1">
        <v>100</v>
      </c>
      <c r="M475" s="1" t="str">
        <f t="shared" si="101"/>
        <v>مخازن قير اصفهان</v>
      </c>
      <c r="N475" s="1">
        <v>11098</v>
      </c>
      <c r="O475" s="1">
        <v>50034036</v>
      </c>
      <c r="P475" s="1" t="str">
        <f>"  اداره كل نوسازي توسعه وتجهيزمدارس استان اصفهان"</f>
        <v xml:space="preserve">  اداره كل نوسازي توسعه وتجهيزمدارس استان اصفهان</v>
      </c>
      <c r="Q475" s="1">
        <v>63</v>
      </c>
      <c r="R475" s="1" t="str">
        <f>"سازمان نوسازي،توسعه و تجهيز مدارس كشور"</f>
        <v>سازمان نوسازي،توسعه و تجهيز مدارس كشور</v>
      </c>
      <c r="S475" s="1" t="str">
        <f t="shared" si="102"/>
        <v>قرارداد فروش</v>
      </c>
      <c r="T475" s="1" t="str">
        <f t="shared" si="103"/>
        <v>ندارد</v>
      </c>
      <c r="U475" s="1" t="str">
        <f>"سيفي پور عبدالمجيد(1009ج89)"</f>
        <v>سيفي پور عبدالمجيد(1009ج89)</v>
      </c>
      <c r="V475" s="1">
        <v>956300035</v>
      </c>
      <c r="W475" s="1">
        <v>956300035</v>
      </c>
      <c r="X475" s="1" t="str">
        <f>"1395469553"</f>
        <v>1395469553</v>
      </c>
      <c r="Y475" s="1" t="str">
        <f>"95/12/17"</f>
        <v>95/12/17</v>
      </c>
      <c r="Z475" s="1" t="str">
        <f>"3-95/422-36758"</f>
        <v>3-95/422-36758</v>
      </c>
      <c r="AA475" s="1" t="str">
        <f>"سازمان نوسازي توسعه وتجهيزمدارس كشور"</f>
        <v>سازمان نوسازي توسعه وتجهيزمدارس كشور</v>
      </c>
      <c r="AB475" s="1" t="str">
        <f>"95/12/09"</f>
        <v>95/12/09</v>
      </c>
      <c r="AC475" s="1" t="str">
        <f>"استان اصفهان"</f>
        <v>استان اصفهان</v>
      </c>
      <c r="AD475" s="1" t="str">
        <f>"95/12/17"</f>
        <v>95/12/17</v>
      </c>
      <c r="AE475" s="1" t="str">
        <f>"تاييدشده"</f>
        <v>تاييدشده</v>
      </c>
      <c r="AF475" s="1" t="str">
        <f>""</f>
        <v/>
      </c>
      <c r="AG475" s="1" t="str">
        <f>""</f>
        <v/>
      </c>
      <c r="AH475" s="1" t="str">
        <f>""</f>
        <v/>
      </c>
      <c r="AI475" s="1" t="str">
        <f>""</f>
        <v/>
      </c>
      <c r="AJ475" s="1" t="str">
        <f>""</f>
        <v/>
      </c>
      <c r="AK475" s="1" t="str">
        <f>""</f>
        <v/>
      </c>
    </row>
    <row r="476" spans="1:37" x14ac:dyDescent="0.2">
      <c r="A476" s="1">
        <v>252000</v>
      </c>
      <c r="B476" s="1">
        <v>956300036</v>
      </c>
      <c r="C476" s="1" t="str">
        <f>"تخليه اصفهان كاشان شركت آبجيل صنعت كارخانه آسفالت سازمان عمران شهرداري كاشان"</f>
        <v>تخليه اصفهان كاشان شركت آبجيل صنعت كارخانه آسفالت سازمان عمران شهرداري كاشان</v>
      </c>
      <c r="D476" s="1">
        <v>8848</v>
      </c>
      <c r="E476" s="1">
        <v>249520</v>
      </c>
      <c r="F476" s="1">
        <v>95</v>
      </c>
      <c r="G476" s="1">
        <v>2480</v>
      </c>
      <c r="H476" s="1" t="str">
        <f>"95/12/23"</f>
        <v>95/12/23</v>
      </c>
      <c r="I476" s="1" t="str">
        <f t="shared" si="100"/>
        <v>كيلوگرم</v>
      </c>
      <c r="J476" s="1" t="str">
        <f t="shared" si="97"/>
        <v>0000000076</v>
      </c>
      <c r="K476" s="1" t="str">
        <f t="shared" si="98"/>
        <v>قير 60/70 - فله</v>
      </c>
      <c r="L476" s="1">
        <v>100</v>
      </c>
      <c r="M476" s="1" t="str">
        <f t="shared" si="101"/>
        <v>مخازن قير اصفهان</v>
      </c>
      <c r="N476" s="1">
        <v>11098</v>
      </c>
      <c r="O476" s="1">
        <v>50034157</v>
      </c>
      <c r="P476" s="1" t="str">
        <f>"  اداره كل نوسازي توسعه وتجهيزمدارس استان اصفهان"</f>
        <v xml:space="preserve">  اداره كل نوسازي توسعه وتجهيزمدارس استان اصفهان</v>
      </c>
      <c r="Q476" s="1">
        <v>63</v>
      </c>
      <c r="R476" s="1" t="str">
        <f>"سازمان نوسازي،توسعه و تجهيز مدارس كشور"</f>
        <v>سازمان نوسازي،توسعه و تجهيز مدارس كشور</v>
      </c>
      <c r="S476" s="1" t="str">
        <f t="shared" si="102"/>
        <v>قرارداد فروش</v>
      </c>
      <c r="T476" s="1" t="str">
        <f t="shared" si="103"/>
        <v>ندارد</v>
      </c>
      <c r="U476" s="1" t="str">
        <f>"سيفي پور عبدالمجيد(1009ج89)"</f>
        <v>سيفي پور عبدالمجيد(1009ج89)</v>
      </c>
      <c r="V476" s="1">
        <v>956300036</v>
      </c>
      <c r="W476" s="1">
        <v>956300036</v>
      </c>
      <c r="X476" s="1" t="str">
        <f>"1395470871"</f>
        <v>1395470871</v>
      </c>
      <c r="Y476" s="1" t="str">
        <f>"95/12/23"</f>
        <v>95/12/23</v>
      </c>
      <c r="Z476" s="1" t="str">
        <f>"3-95/424-37678"</f>
        <v>3-95/424-37678</v>
      </c>
      <c r="AA476" s="1" t="str">
        <f>"سازمان نوسازي توسعه وتجهيزمدارس كشور"</f>
        <v>سازمان نوسازي توسعه وتجهيزمدارس كشور</v>
      </c>
      <c r="AB476" s="1" t="str">
        <f>"95/12/18"</f>
        <v>95/12/18</v>
      </c>
      <c r="AC476" s="1" t="str">
        <f>"استان اصفهان"</f>
        <v>استان اصفهان</v>
      </c>
      <c r="AD476" s="1" t="str">
        <f>"95/12/23"</f>
        <v>95/12/23</v>
      </c>
      <c r="AE476" s="1" t="str">
        <f t="shared" ref="AE476:AE487" si="106">"اختتام"</f>
        <v>اختتام</v>
      </c>
      <c r="AF476" s="1" t="str">
        <f>""</f>
        <v/>
      </c>
      <c r="AG476" s="1" t="str">
        <f>""</f>
        <v/>
      </c>
      <c r="AH476" s="1" t="str">
        <f>""</f>
        <v/>
      </c>
      <c r="AI476" s="1" t="str">
        <f>""</f>
        <v/>
      </c>
      <c r="AJ476" s="1" t="str">
        <f>""</f>
        <v/>
      </c>
      <c r="AK476" s="1" t="str">
        <f>""</f>
        <v/>
      </c>
    </row>
    <row r="477" spans="1:37" x14ac:dyDescent="0.2">
      <c r="A477" s="1">
        <v>55000</v>
      </c>
      <c r="B477" s="1">
        <v>956200048</v>
      </c>
      <c r="C477" s="1" t="str">
        <f>"تخليه- يزد-کيلومتر 20 جاده يزد طبس"</f>
        <v>تخليه- يزد-کيلومتر 20 جاده يزد طبس</v>
      </c>
      <c r="D477" s="1">
        <v>5950</v>
      </c>
      <c r="E477" s="1">
        <v>54980</v>
      </c>
      <c r="F477" s="1">
        <v>95</v>
      </c>
      <c r="G477" s="1">
        <v>20</v>
      </c>
      <c r="H477" s="1" t="str">
        <f>"95/04/14"</f>
        <v>95/04/14</v>
      </c>
      <c r="I477" s="1" t="str">
        <f t="shared" si="100"/>
        <v>كيلوگرم</v>
      </c>
      <c r="J477" s="1" t="str">
        <f t="shared" si="97"/>
        <v>0000000076</v>
      </c>
      <c r="K477" s="1" t="str">
        <f t="shared" si="98"/>
        <v>قير 60/70 - فله</v>
      </c>
      <c r="L477" s="1">
        <v>100</v>
      </c>
      <c r="M477" s="1" t="str">
        <f t="shared" si="101"/>
        <v>مخازن قير اصفهان</v>
      </c>
      <c r="N477" s="1">
        <v>11132</v>
      </c>
      <c r="O477" s="1">
        <v>50031193</v>
      </c>
      <c r="P477" s="1" t="str">
        <f>"  زاويه ساز يزد"</f>
        <v xml:space="preserve">  زاويه ساز يزد</v>
      </c>
      <c r="Q477" s="1">
        <v>62</v>
      </c>
      <c r="R477" s="1" t="str">
        <f>"فروش داخلي - سازمان بنيادمسكن انقلاب اسلامي"</f>
        <v>فروش داخلي - سازمان بنيادمسكن انقلاب اسلامي</v>
      </c>
      <c r="S477" s="1" t="str">
        <f t="shared" si="102"/>
        <v>قرارداد فروش</v>
      </c>
      <c r="T477" s="1" t="str">
        <f t="shared" si="103"/>
        <v>ندارد</v>
      </c>
      <c r="U477" s="1" t="str">
        <f>"قانعي محمدرضا(1011ج89)"</f>
        <v>قانعي محمدرضا(1011ج89)</v>
      </c>
      <c r="V477" s="1">
        <v>956200048</v>
      </c>
      <c r="W477" s="1">
        <v>956200048</v>
      </c>
      <c r="X477" s="1" t="str">
        <f>"1395412854"</f>
        <v>1395412854</v>
      </c>
      <c r="Y477" s="1" t="str">
        <f>"95/04/14"</f>
        <v>95/04/14</v>
      </c>
      <c r="Z477" s="1" t="str">
        <f>"14230/د"</f>
        <v>14230/د</v>
      </c>
      <c r="AA477" s="1" t="str">
        <f>"بنيادمسكن انقلاب اسلامي"</f>
        <v>بنيادمسكن انقلاب اسلامي</v>
      </c>
      <c r="AB477" s="1" t="str">
        <f>"95/04/09"</f>
        <v>95/04/09</v>
      </c>
      <c r="AC477" s="1" t="str">
        <f>"استان يزد"</f>
        <v>استان يزد</v>
      </c>
      <c r="AD477" s="1" t="str">
        <f>"95/04/13"</f>
        <v>95/04/13</v>
      </c>
      <c r="AE477" s="1" t="str">
        <f t="shared" si="106"/>
        <v>اختتام</v>
      </c>
      <c r="AF477" s="1" t="str">
        <f>""</f>
        <v/>
      </c>
      <c r="AG477" s="1" t="str">
        <f>""</f>
        <v/>
      </c>
      <c r="AH477" s="1" t="str">
        <f>""</f>
        <v/>
      </c>
      <c r="AI477" s="1" t="str">
        <f>""</f>
        <v/>
      </c>
      <c r="AJ477" s="1" t="str">
        <f>""</f>
        <v/>
      </c>
      <c r="AK477" s="1" t="str">
        <f>""</f>
        <v/>
      </c>
    </row>
    <row r="478" spans="1:37" x14ac:dyDescent="0.2">
      <c r="A478" s="1">
        <v>65000</v>
      </c>
      <c r="B478" s="1">
        <v>952000194</v>
      </c>
      <c r="C478" s="1" t="str">
        <f>"تخليه - لرستان-چالانچولان -جاده پهلوان گر-ابتداي- جاده روستاي پشته-کارخانه آسفالت داريوش"</f>
        <v>تخليه - لرستان-چالانچولان -جاده پهلوان گر-ابتداي- جاده روستاي پشته-کارخانه آسفالت داريوش</v>
      </c>
      <c r="D478" s="1">
        <v>8023</v>
      </c>
      <c r="E478" s="1">
        <v>63240</v>
      </c>
      <c r="F478" s="1">
        <v>95</v>
      </c>
      <c r="G478" s="1">
        <v>1760</v>
      </c>
      <c r="H478" s="1" t="str">
        <f>"95/08/15"</f>
        <v>95/08/15</v>
      </c>
      <c r="I478" s="1" t="str">
        <f t="shared" si="100"/>
        <v>كيلوگرم</v>
      </c>
      <c r="J478" s="1" t="str">
        <f t="shared" si="97"/>
        <v>0000000076</v>
      </c>
      <c r="K478" s="1" t="str">
        <f t="shared" si="98"/>
        <v>قير 60/70 - فله</v>
      </c>
      <c r="L478" s="1">
        <v>100</v>
      </c>
      <c r="M478" s="1" t="str">
        <f t="shared" si="101"/>
        <v>مخازن قير اصفهان</v>
      </c>
      <c r="N478" s="1">
        <v>11176</v>
      </c>
      <c r="O478" s="1">
        <v>50032491</v>
      </c>
      <c r="P478" s="1" t="str">
        <f>"  شهرداري چالانچولان"</f>
        <v xml:space="preserve">  شهرداري چالانچولان</v>
      </c>
      <c r="Q478" s="1">
        <v>20</v>
      </c>
      <c r="R478" s="1" t="str">
        <f>"فروش داخلي - سازمان شهرداري ها و دهياري هاي كشور"</f>
        <v>فروش داخلي - سازمان شهرداري ها و دهياري هاي كشور</v>
      </c>
      <c r="S478" s="1" t="str">
        <f t="shared" si="102"/>
        <v>قرارداد فروش</v>
      </c>
      <c r="T478" s="1" t="str">
        <f t="shared" si="103"/>
        <v>ندارد</v>
      </c>
      <c r="U478" s="1" t="str">
        <f>"عظيمي محمد(2842015)"</f>
        <v>عظيمي محمد(2842015)</v>
      </c>
      <c r="V478" s="1">
        <v>952000194</v>
      </c>
      <c r="W478" s="1">
        <v>952000194</v>
      </c>
      <c r="X478" s="1" t="str">
        <f>"1395443199"</f>
        <v>1395443199</v>
      </c>
      <c r="Y478" s="1" t="str">
        <f>"95/08/15"</f>
        <v>95/08/15</v>
      </c>
      <c r="Z478" s="1" t="str">
        <f>"39486"</f>
        <v>39486</v>
      </c>
      <c r="AA478" s="1" t="str">
        <f>"شهرداريها"</f>
        <v>شهرداريها</v>
      </c>
      <c r="AB478" s="1" t="str">
        <f>"95/08/11"</f>
        <v>95/08/11</v>
      </c>
      <c r="AC478" s="1" t="str">
        <f>"لرستان"</f>
        <v>لرستان</v>
      </c>
      <c r="AD478" s="1" t="str">
        <f>"95/08/15"</f>
        <v>95/08/15</v>
      </c>
      <c r="AE478" s="1" t="str">
        <f t="shared" si="106"/>
        <v>اختتام</v>
      </c>
      <c r="AF478" s="1" t="str">
        <f>""</f>
        <v/>
      </c>
      <c r="AG478" s="1" t="str">
        <f>""</f>
        <v/>
      </c>
      <c r="AH478" s="1" t="str">
        <f>""</f>
        <v/>
      </c>
      <c r="AI478" s="1" t="str">
        <f>""</f>
        <v/>
      </c>
      <c r="AJ478" s="1" t="str">
        <f>""</f>
        <v/>
      </c>
      <c r="AK478" s="1" t="str">
        <f>""</f>
        <v/>
      </c>
    </row>
    <row r="479" spans="1:37" x14ac:dyDescent="0.2">
      <c r="A479" s="1">
        <v>67000</v>
      </c>
      <c r="B479" s="1">
        <v>952000191</v>
      </c>
      <c r="C479" s="1" t="str">
        <f>"تخليه - لرستان -دورود-روستاي چم ديوان -کارخانه آسفالت شهرداري ويسيان"</f>
        <v>تخليه - لرستان -دورود-روستاي چم ديوان -کارخانه آسفالت شهرداري ويسيان</v>
      </c>
      <c r="D479" s="1">
        <v>8023</v>
      </c>
      <c r="E479" s="1">
        <v>66260</v>
      </c>
      <c r="F479" s="1">
        <v>95</v>
      </c>
      <c r="G479" s="1">
        <v>740</v>
      </c>
      <c r="H479" s="1" t="str">
        <f>"95/08/15"</f>
        <v>95/08/15</v>
      </c>
      <c r="I479" s="1" t="str">
        <f t="shared" si="100"/>
        <v>كيلوگرم</v>
      </c>
      <c r="J479" s="1" t="str">
        <f t="shared" si="97"/>
        <v>0000000076</v>
      </c>
      <c r="K479" s="1" t="str">
        <f t="shared" si="98"/>
        <v>قير 60/70 - فله</v>
      </c>
      <c r="L479" s="1">
        <v>100</v>
      </c>
      <c r="M479" s="1" t="str">
        <f t="shared" si="101"/>
        <v>مخازن قير اصفهان</v>
      </c>
      <c r="N479" s="1">
        <v>10896</v>
      </c>
      <c r="O479" s="1">
        <v>50032485</v>
      </c>
      <c r="P479" s="1" t="str">
        <f>"  شهرداري ويسيان"</f>
        <v xml:space="preserve">  شهرداري ويسيان</v>
      </c>
      <c r="Q479" s="1">
        <v>20</v>
      </c>
      <c r="R479" s="1" t="str">
        <f>"فروش داخلي - سازمان شهرداري ها و دهياري هاي كشور"</f>
        <v>فروش داخلي - سازمان شهرداري ها و دهياري هاي كشور</v>
      </c>
      <c r="S479" s="1" t="str">
        <f t="shared" si="102"/>
        <v>قرارداد فروش</v>
      </c>
      <c r="T479" s="1" t="str">
        <f t="shared" si="103"/>
        <v>ندارد</v>
      </c>
      <c r="U479" s="1" t="str">
        <f>"بستاني محسن (2882039)"</f>
        <v>بستاني محسن (2882039)</v>
      </c>
      <c r="V479" s="1">
        <v>952000191</v>
      </c>
      <c r="W479" s="1">
        <v>952000191</v>
      </c>
      <c r="X479" s="1" t="str">
        <f>"1395443199"</f>
        <v>1395443199</v>
      </c>
      <c r="Y479" s="1" t="str">
        <f>"95/08/15"</f>
        <v>95/08/15</v>
      </c>
      <c r="Z479" s="1" t="str">
        <f>"39504"</f>
        <v>39504</v>
      </c>
      <c r="AA479" s="1" t="str">
        <f>"شهرداريها"</f>
        <v>شهرداريها</v>
      </c>
      <c r="AB479" s="1" t="str">
        <f>"95/08/11"</f>
        <v>95/08/11</v>
      </c>
      <c r="AC479" s="1" t="str">
        <f>"لرستان"</f>
        <v>لرستان</v>
      </c>
      <c r="AD479" s="1" t="str">
        <f>"95/08/15"</f>
        <v>95/08/15</v>
      </c>
      <c r="AE479" s="1" t="str">
        <f t="shared" si="106"/>
        <v>اختتام</v>
      </c>
      <c r="AF479" s="1" t="str">
        <f>""</f>
        <v/>
      </c>
      <c r="AG479" s="1" t="str">
        <f>""</f>
        <v/>
      </c>
      <c r="AH479" s="1" t="str">
        <f>""</f>
        <v/>
      </c>
      <c r="AI479" s="1" t="str">
        <f>""</f>
        <v/>
      </c>
      <c r="AJ479" s="1" t="str">
        <f>""</f>
        <v/>
      </c>
      <c r="AK479" s="1" t="str">
        <f>""</f>
        <v/>
      </c>
    </row>
    <row r="480" spans="1:37" x14ac:dyDescent="0.2">
      <c r="A480" s="1">
        <v>76000</v>
      </c>
      <c r="B480" s="1">
        <v>952000170</v>
      </c>
      <c r="C480" s="1" t="str">
        <f>"تخليه كهگيلويه وبويراحمدشهرستان ديشموك شهرداري ديشموك"</f>
        <v>تخليه كهگيلويه وبويراحمدشهرستان ديشموك شهرداري ديشموك</v>
      </c>
      <c r="D480" s="1">
        <v>8023</v>
      </c>
      <c r="E480" s="1">
        <v>73980</v>
      </c>
      <c r="F480" s="1">
        <v>95</v>
      </c>
      <c r="G480" s="1">
        <v>2020</v>
      </c>
      <c r="H480" s="1" t="str">
        <f>"95/08/10"</f>
        <v>95/08/10</v>
      </c>
      <c r="I480" s="1" t="str">
        <f t="shared" si="100"/>
        <v>كيلوگرم</v>
      </c>
      <c r="J480" s="1" t="str">
        <f t="shared" si="97"/>
        <v>0000000076</v>
      </c>
      <c r="K480" s="1" t="str">
        <f t="shared" si="98"/>
        <v>قير 60/70 - فله</v>
      </c>
      <c r="L480" s="1">
        <v>100</v>
      </c>
      <c r="M480" s="1" t="str">
        <f t="shared" si="101"/>
        <v>مخازن قير اصفهان</v>
      </c>
      <c r="N480" s="1">
        <v>10898</v>
      </c>
      <c r="O480" s="1">
        <v>50032435</v>
      </c>
      <c r="P480" s="1" t="str">
        <f>"  شهرداري ديشموك"</f>
        <v xml:space="preserve">  شهرداري ديشموك</v>
      </c>
      <c r="Q480" s="1">
        <v>20</v>
      </c>
      <c r="R480" s="1" t="str">
        <f>"فروش داخلي - سازمان شهرداري ها و دهياري هاي كشور"</f>
        <v>فروش داخلي - سازمان شهرداري ها و دهياري هاي كشور</v>
      </c>
      <c r="S480" s="1" t="str">
        <f t="shared" si="102"/>
        <v>قرارداد فروش</v>
      </c>
      <c r="T480" s="1" t="str">
        <f t="shared" si="103"/>
        <v>ندارد</v>
      </c>
      <c r="U480" s="1" t="str">
        <f>"عظيمي محمد(2842015)"</f>
        <v>عظيمي محمد(2842015)</v>
      </c>
      <c r="V480" s="1">
        <v>952000170</v>
      </c>
      <c r="W480" s="1">
        <v>952000170</v>
      </c>
      <c r="X480" s="1" t="str">
        <f>"1395441430"</f>
        <v>1395441430</v>
      </c>
      <c r="Y480" s="1" t="str">
        <f>"95/08/10"</f>
        <v>95/08/10</v>
      </c>
      <c r="Z480" s="1" t="str">
        <f>"35363"</f>
        <v>35363</v>
      </c>
      <c r="AA480" s="1" t="str">
        <f>"شهرداريها"</f>
        <v>شهرداريها</v>
      </c>
      <c r="AB480" s="1" t="str">
        <f>"95/07/24"</f>
        <v>95/07/24</v>
      </c>
      <c r="AC480" s="1" t="str">
        <f>"كهكيلويه و بوير احمد"</f>
        <v>كهكيلويه و بوير احمد</v>
      </c>
      <c r="AD480" s="1" t="str">
        <f>"95/08/09"</f>
        <v>95/08/09</v>
      </c>
      <c r="AE480" s="1" t="str">
        <f t="shared" si="106"/>
        <v>اختتام</v>
      </c>
      <c r="AF480" s="1" t="str">
        <f>""</f>
        <v/>
      </c>
      <c r="AG480" s="1" t="str">
        <f>""</f>
        <v/>
      </c>
      <c r="AH480" s="1" t="str">
        <f>""</f>
        <v/>
      </c>
      <c r="AI480" s="1" t="str">
        <f>""</f>
        <v/>
      </c>
      <c r="AJ480" s="1" t="str">
        <f>""</f>
        <v/>
      </c>
      <c r="AK480" s="1" t="str">
        <f>""</f>
        <v/>
      </c>
    </row>
    <row r="481" spans="1:37" x14ac:dyDescent="0.2">
      <c r="A481" s="1">
        <v>100000</v>
      </c>
      <c r="B481" s="1">
        <v>956200351</v>
      </c>
      <c r="C481" s="1" t="str">
        <f>"تخليه -كهگيلويه وبويراحمد-ياسوج جاده اصفهان كارخانه آسفالت جوكار"</f>
        <v>تخليه -كهگيلويه وبويراحمد-ياسوج جاده اصفهان كارخانه آسفالت جوكار</v>
      </c>
      <c r="D481" s="1">
        <v>8848</v>
      </c>
      <c r="E481" s="1">
        <v>98640</v>
      </c>
      <c r="F481" s="1">
        <v>95</v>
      </c>
      <c r="G481" s="1">
        <v>1360</v>
      </c>
      <c r="H481" s="1" t="str">
        <f>"95/12/22"</f>
        <v>95/12/22</v>
      </c>
      <c r="I481" s="1" t="str">
        <f t="shared" si="100"/>
        <v>كيلوگرم</v>
      </c>
      <c r="J481" s="1" t="str">
        <f t="shared" si="97"/>
        <v>0000000076</v>
      </c>
      <c r="K481" s="1" t="str">
        <f t="shared" si="98"/>
        <v>قير 60/70 - فله</v>
      </c>
      <c r="L481" s="1">
        <v>100</v>
      </c>
      <c r="M481" s="1" t="str">
        <f t="shared" si="101"/>
        <v>مخازن قير اصفهان</v>
      </c>
      <c r="N481" s="1">
        <v>10938</v>
      </c>
      <c r="O481" s="1">
        <v>50034133</v>
      </c>
      <c r="P481" s="1" t="str">
        <f>"  عمران صنعت چناران"</f>
        <v xml:space="preserve">  عمران صنعت چناران</v>
      </c>
      <c r="Q481" s="1">
        <v>62</v>
      </c>
      <c r="R481" s="1" t="str">
        <f>"فروش داخلي - سازمان بنيادمسكن انقلاب اسلامي"</f>
        <v>فروش داخلي - سازمان بنيادمسكن انقلاب اسلامي</v>
      </c>
      <c r="S481" s="1" t="str">
        <f t="shared" si="102"/>
        <v>قرارداد فروش</v>
      </c>
      <c r="T481" s="1" t="str">
        <f t="shared" si="103"/>
        <v>ندارد</v>
      </c>
      <c r="U481" s="1" t="str">
        <f>"غلام نجفي سيامك‌‌‌‌‌‌(1881082)"</f>
        <v>غلام نجفي سيامك‌‌‌‌‌‌(1881082)</v>
      </c>
      <c r="V481" s="1">
        <v>956200351</v>
      </c>
      <c r="W481" s="1">
        <v>956200351</v>
      </c>
      <c r="X481" s="1" t="str">
        <f>"1395470439"</f>
        <v>1395470439</v>
      </c>
      <c r="Y481" s="1" t="str">
        <f>"95/12/22"</f>
        <v>95/12/22</v>
      </c>
      <c r="Z481" s="1" t="str">
        <f>"56765/د"</f>
        <v>56765/د</v>
      </c>
      <c r="AA481" s="1" t="str">
        <f>"بنيادمسكن انقلاب اسلامي"</f>
        <v>بنيادمسكن انقلاب اسلامي</v>
      </c>
      <c r="AB481" s="1" t="str">
        <f>"95/12/21"</f>
        <v>95/12/21</v>
      </c>
      <c r="AC481" s="1" t="str">
        <f>"كهكيلويه و بوير احمد"</f>
        <v>كهكيلويه و بوير احمد</v>
      </c>
      <c r="AD481" s="1" t="str">
        <f>"95/12/22"</f>
        <v>95/12/22</v>
      </c>
      <c r="AE481" s="1" t="str">
        <f t="shared" si="106"/>
        <v>اختتام</v>
      </c>
      <c r="AF481" s="1" t="str">
        <f>""</f>
        <v/>
      </c>
      <c r="AG481" s="1" t="str">
        <f>""</f>
        <v/>
      </c>
      <c r="AH481" s="1" t="str">
        <f>""</f>
        <v/>
      </c>
      <c r="AI481" s="1" t="str">
        <f>""</f>
        <v/>
      </c>
      <c r="AJ481" s="1" t="str">
        <f>""</f>
        <v/>
      </c>
      <c r="AK481" s="1" t="str">
        <f>""</f>
        <v/>
      </c>
    </row>
    <row r="482" spans="1:37" x14ac:dyDescent="0.2">
      <c r="A482" s="1">
        <v>15000</v>
      </c>
      <c r="B482" s="1">
        <v>956200016</v>
      </c>
      <c r="C482" s="1" t="str">
        <f>"تخليه-ايلام-جاده ايلام- بدره -کارخانه آسفالت شرکت ايلام راه بان"</f>
        <v>تخليه-ايلام-جاده ايلام- بدره -کارخانه آسفالت شرکت ايلام راه بان</v>
      </c>
      <c r="D482" s="1">
        <v>5750</v>
      </c>
      <c r="E482" s="1">
        <v>14420</v>
      </c>
      <c r="F482" s="1">
        <v>95</v>
      </c>
      <c r="G482" s="1">
        <v>580</v>
      </c>
      <c r="H482" s="1" t="str">
        <f>"95/03/12"</f>
        <v>95/03/12</v>
      </c>
      <c r="I482" s="1" t="str">
        <f t="shared" si="100"/>
        <v>كيلوگرم</v>
      </c>
      <c r="J482" s="1" t="str">
        <f t="shared" si="97"/>
        <v>0000000076</v>
      </c>
      <c r="K482" s="1" t="str">
        <f t="shared" si="98"/>
        <v>قير 60/70 - فله</v>
      </c>
      <c r="L482" s="1">
        <v>100</v>
      </c>
      <c r="M482" s="1" t="str">
        <f t="shared" si="101"/>
        <v>مخازن قير اصفهان</v>
      </c>
      <c r="N482" s="1">
        <v>10942</v>
      </c>
      <c r="O482" s="1">
        <v>50030940</v>
      </c>
      <c r="P482" s="1" t="str">
        <f>"  سپهران سازه کبير کوه"</f>
        <v xml:space="preserve">  سپهران سازه کبير کوه</v>
      </c>
      <c r="Q482" s="1">
        <v>62</v>
      </c>
      <c r="R482" s="1" t="str">
        <f>"فروش داخلي - سازمان بنيادمسكن انقلاب اسلامي"</f>
        <v>فروش داخلي - سازمان بنيادمسكن انقلاب اسلامي</v>
      </c>
      <c r="S482" s="1" t="str">
        <f t="shared" si="102"/>
        <v>قرارداد فروش</v>
      </c>
      <c r="T482" s="1" t="str">
        <f t="shared" si="103"/>
        <v>ندارد</v>
      </c>
      <c r="U482" s="1" t="str">
        <f>"عظيمي محمد(2842015)"</f>
        <v>عظيمي محمد(2842015)</v>
      </c>
      <c r="V482" s="1">
        <v>956200016</v>
      </c>
      <c r="W482" s="1">
        <v>956200016</v>
      </c>
      <c r="X482" s="1" t="str">
        <f>"1395407387"</f>
        <v>1395407387</v>
      </c>
      <c r="Y482" s="1" t="str">
        <f>"95/03/12"</f>
        <v>95/03/12</v>
      </c>
      <c r="Z482" s="1" t="str">
        <f>"9715/د"</f>
        <v>9715/د</v>
      </c>
      <c r="AA482" s="1" t="str">
        <f>"بنيادمسكن انقلاب اسلامي"</f>
        <v>بنيادمسكن انقلاب اسلامي</v>
      </c>
      <c r="AB482" s="1" t="str">
        <f>"95/03/11"</f>
        <v>95/03/11</v>
      </c>
      <c r="AC482" s="1" t="str">
        <f>"استان ايلام"</f>
        <v>استان ايلام</v>
      </c>
      <c r="AD482" s="1" t="str">
        <f>"95/03/12"</f>
        <v>95/03/12</v>
      </c>
      <c r="AE482" s="1" t="str">
        <f t="shared" si="106"/>
        <v>اختتام</v>
      </c>
      <c r="AF482" s="1" t="str">
        <f>""</f>
        <v/>
      </c>
      <c r="AG482" s="1" t="str">
        <f>""</f>
        <v/>
      </c>
      <c r="AH482" s="1" t="str">
        <f>""</f>
        <v/>
      </c>
      <c r="AI482" s="1" t="str">
        <f>""</f>
        <v/>
      </c>
      <c r="AJ482" s="1" t="str">
        <f>""</f>
        <v/>
      </c>
      <c r="AK482" s="1" t="str">
        <f>""</f>
        <v/>
      </c>
    </row>
    <row r="483" spans="1:37" x14ac:dyDescent="0.2">
      <c r="A483" s="1">
        <v>66000</v>
      </c>
      <c r="B483" s="1">
        <v>952000073</v>
      </c>
      <c r="C483" s="1" t="str">
        <f>"تخليه لرستان شهرستان كوهدشت كيلومتر10جاده كوهدشت كارخانه آسفالت شهرداري كوهدشت"</f>
        <v>تخليه لرستان شهرستان كوهدشت كيلومتر10جاده كوهدشت كارخانه آسفالت شهرداري كوهدشت</v>
      </c>
      <c r="D483" s="1">
        <v>6876</v>
      </c>
      <c r="E483" s="1">
        <v>64920</v>
      </c>
      <c r="F483" s="1">
        <v>95</v>
      </c>
      <c r="G483" s="1">
        <v>1080</v>
      </c>
      <c r="H483" s="1" t="str">
        <f>"95/06/15"</f>
        <v>95/06/15</v>
      </c>
      <c r="I483" s="1" t="str">
        <f t="shared" si="100"/>
        <v>كيلوگرم</v>
      </c>
      <c r="J483" s="1" t="str">
        <f t="shared" si="97"/>
        <v>0000000076</v>
      </c>
      <c r="K483" s="1" t="str">
        <f t="shared" si="98"/>
        <v>قير 60/70 - فله</v>
      </c>
      <c r="L483" s="1">
        <v>100</v>
      </c>
      <c r="M483" s="1" t="str">
        <f t="shared" si="101"/>
        <v>مخازن قير اصفهان</v>
      </c>
      <c r="N483" s="1">
        <v>11177</v>
      </c>
      <c r="O483" s="1">
        <v>50031797</v>
      </c>
      <c r="P483" s="1" t="str">
        <f>"  شهرداري درب گنبد"</f>
        <v xml:space="preserve">  شهرداري درب گنبد</v>
      </c>
      <c r="Q483" s="1">
        <v>20</v>
      </c>
      <c r="R483" s="1" t="str">
        <f>"فروش داخلي - سازمان شهرداري ها و دهياري هاي كشور"</f>
        <v>فروش داخلي - سازمان شهرداري ها و دهياري هاي كشور</v>
      </c>
      <c r="S483" s="1" t="str">
        <f t="shared" si="102"/>
        <v>قرارداد فروش</v>
      </c>
      <c r="T483" s="1" t="str">
        <f t="shared" si="103"/>
        <v>ندارد</v>
      </c>
      <c r="U483" s="1" t="str">
        <f>"عظيمي محمد(2842015)"</f>
        <v>عظيمي محمد(2842015)</v>
      </c>
      <c r="V483" s="1">
        <v>952000073</v>
      </c>
      <c r="W483" s="1">
        <v>952000073</v>
      </c>
      <c r="X483" s="1" t="str">
        <f>"1395428997"</f>
        <v>1395428997</v>
      </c>
      <c r="Y483" s="1" t="str">
        <f>"95/06/15"</f>
        <v>95/06/15</v>
      </c>
      <c r="Z483" s="1" t="str">
        <f>"27654"</f>
        <v>27654</v>
      </c>
      <c r="AA483" s="1" t="str">
        <f>"شهرداريها"</f>
        <v>شهرداريها</v>
      </c>
      <c r="AB483" s="1" t="str">
        <f>"95/06/10"</f>
        <v>95/06/10</v>
      </c>
      <c r="AC483" s="1" t="str">
        <f>"لرستان"</f>
        <v>لرستان</v>
      </c>
      <c r="AD483" s="1" t="str">
        <f>"95/06/14"</f>
        <v>95/06/14</v>
      </c>
      <c r="AE483" s="1" t="str">
        <f t="shared" si="106"/>
        <v>اختتام</v>
      </c>
      <c r="AF483" s="1" t="str">
        <f>""</f>
        <v/>
      </c>
      <c r="AG483" s="1" t="str">
        <f>""</f>
        <v/>
      </c>
      <c r="AH483" s="1" t="str">
        <f>""</f>
        <v/>
      </c>
      <c r="AI483" s="1" t="str">
        <f>""</f>
        <v/>
      </c>
      <c r="AJ483" s="1" t="str">
        <f>""</f>
        <v/>
      </c>
      <c r="AK483" s="1" t="str">
        <f>""</f>
        <v/>
      </c>
    </row>
    <row r="484" spans="1:37" x14ac:dyDescent="0.2">
      <c r="A484" s="1">
        <v>95000</v>
      </c>
      <c r="B484" s="1">
        <v>952000189</v>
      </c>
      <c r="C484" s="1" t="str">
        <f>"تخليه - لرستان - کيلومتر 13جاده کوهدشت -کارخانه آسفالت سميره کوهدشت"</f>
        <v>تخليه - لرستان - کيلومتر 13جاده کوهدشت -کارخانه آسفالت سميره کوهدشت</v>
      </c>
      <c r="D484" s="1">
        <v>8023</v>
      </c>
      <c r="E484" s="1">
        <v>93940</v>
      </c>
      <c r="F484" s="1">
        <v>95</v>
      </c>
      <c r="G484" s="1">
        <v>1060</v>
      </c>
      <c r="H484" s="1" t="str">
        <f>"95/08/15"</f>
        <v>95/08/15</v>
      </c>
      <c r="I484" s="1" t="str">
        <f t="shared" si="100"/>
        <v>كيلوگرم</v>
      </c>
      <c r="J484" s="1" t="str">
        <f t="shared" si="97"/>
        <v>0000000076</v>
      </c>
      <c r="K484" s="1" t="str">
        <f t="shared" si="98"/>
        <v>قير 60/70 - فله</v>
      </c>
      <c r="L484" s="1">
        <v>100</v>
      </c>
      <c r="M484" s="1" t="str">
        <f t="shared" si="101"/>
        <v>مخازن قير اصفهان</v>
      </c>
      <c r="N484" s="1">
        <v>11179</v>
      </c>
      <c r="O484" s="1">
        <v>50032483</v>
      </c>
      <c r="P484" s="1" t="str">
        <f>"  شهرداري كوناني"</f>
        <v xml:space="preserve">  شهرداري كوناني</v>
      </c>
      <c r="Q484" s="1">
        <v>20</v>
      </c>
      <c r="R484" s="1" t="str">
        <f>"فروش داخلي - سازمان شهرداري ها و دهياري هاي كشور"</f>
        <v>فروش داخلي - سازمان شهرداري ها و دهياري هاي كشور</v>
      </c>
      <c r="S484" s="1" t="str">
        <f t="shared" si="102"/>
        <v>قرارداد فروش</v>
      </c>
      <c r="T484" s="1" t="str">
        <f t="shared" si="103"/>
        <v>ندارد</v>
      </c>
      <c r="U484" s="1" t="str">
        <f>"عظيمي محمد(2842015)"</f>
        <v>عظيمي محمد(2842015)</v>
      </c>
      <c r="V484" s="1">
        <v>952000189</v>
      </c>
      <c r="W484" s="1">
        <v>952000189</v>
      </c>
      <c r="X484" s="1" t="str">
        <f>"1395443199"</f>
        <v>1395443199</v>
      </c>
      <c r="Y484" s="1" t="str">
        <f>"95/08/15"</f>
        <v>95/08/15</v>
      </c>
      <c r="Z484" s="1" t="str">
        <f>"39499"</f>
        <v>39499</v>
      </c>
      <c r="AA484" s="1" t="str">
        <f>"شهرداريها"</f>
        <v>شهرداريها</v>
      </c>
      <c r="AB484" s="1" t="str">
        <f>"95/08/11"</f>
        <v>95/08/11</v>
      </c>
      <c r="AC484" s="1" t="str">
        <f>"لرستان"</f>
        <v>لرستان</v>
      </c>
      <c r="AD484" s="1" t="str">
        <f>"95/08/15"</f>
        <v>95/08/15</v>
      </c>
      <c r="AE484" s="1" t="str">
        <f t="shared" si="106"/>
        <v>اختتام</v>
      </c>
      <c r="AF484" s="1" t="str">
        <f>""</f>
        <v/>
      </c>
      <c r="AG484" s="1" t="str">
        <f>""</f>
        <v/>
      </c>
      <c r="AH484" s="1" t="str">
        <f>""</f>
        <v/>
      </c>
      <c r="AI484" s="1" t="str">
        <f>""</f>
        <v/>
      </c>
      <c r="AJ484" s="1" t="str">
        <f>""</f>
        <v/>
      </c>
      <c r="AK484" s="1" t="str">
        <f>""</f>
        <v/>
      </c>
    </row>
    <row r="485" spans="1:37" x14ac:dyDescent="0.2">
      <c r="A485" s="1">
        <v>500000</v>
      </c>
      <c r="B485" s="1">
        <v>956200087</v>
      </c>
      <c r="C485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485" s="1">
        <v>6976</v>
      </c>
      <c r="E485" s="1">
        <v>498920</v>
      </c>
      <c r="F485" s="1">
        <v>95</v>
      </c>
      <c r="G485" s="1">
        <v>1080</v>
      </c>
      <c r="H485" s="1" t="str">
        <f>"95/07/14"</f>
        <v>95/07/14</v>
      </c>
      <c r="I485" s="1" t="str">
        <f t="shared" si="100"/>
        <v>كيلوگرم</v>
      </c>
      <c r="J485" s="1" t="str">
        <f t="shared" si="97"/>
        <v>0000000076</v>
      </c>
      <c r="K485" s="1" t="str">
        <f t="shared" si="98"/>
        <v>قير 60/70 - فله</v>
      </c>
      <c r="L485" s="1">
        <v>100</v>
      </c>
      <c r="M485" s="1" t="str">
        <f t="shared" si="101"/>
        <v>مخازن قير اصفهان</v>
      </c>
      <c r="N485" s="1">
        <v>11199</v>
      </c>
      <c r="O485" s="1">
        <v>50032092</v>
      </c>
      <c r="P485" s="1" t="str">
        <f>"  ماهان گذر ارجان"</f>
        <v xml:space="preserve">  ماهان گذر ارجان</v>
      </c>
      <c r="Q485" s="1">
        <v>62</v>
      </c>
      <c r="R485" s="1" t="str">
        <f>"فروش داخلي - سازمان بنيادمسكن انقلاب اسلامي"</f>
        <v>فروش داخلي - سازمان بنيادمسكن انقلاب اسلامي</v>
      </c>
      <c r="S485" s="1" t="str">
        <f t="shared" si="102"/>
        <v>قرارداد فروش</v>
      </c>
      <c r="T485" s="1" t="str">
        <f t="shared" si="103"/>
        <v>ندارد</v>
      </c>
      <c r="U485" s="1" t="str">
        <f>"غلام نجفي سيامك‌‌‌‌‌‌(1881082)"</f>
        <v>غلام نجفي سيامك‌‌‌‌‌‌(1881082)</v>
      </c>
      <c r="V485" s="1">
        <v>956200087</v>
      </c>
      <c r="W485" s="1">
        <v>956200087</v>
      </c>
      <c r="X485" s="1" t="str">
        <f>"1395435601"</f>
        <v>1395435601</v>
      </c>
      <c r="Y485" s="1" t="str">
        <f>"95/07/14"</f>
        <v>95/07/14</v>
      </c>
      <c r="Z485" s="1" t="str">
        <f>"29189/د"</f>
        <v>29189/د</v>
      </c>
      <c r="AA485" s="1" t="str">
        <f>"بنيادمسكن انقلاب اسلامي"</f>
        <v>بنيادمسكن انقلاب اسلامي</v>
      </c>
      <c r="AB485" s="1" t="str">
        <f>"95/07/13"</f>
        <v>95/07/13</v>
      </c>
      <c r="AC485" s="1" t="str">
        <f>"كهكيلويه و بوير احمد"</f>
        <v>كهكيلويه و بوير احمد</v>
      </c>
      <c r="AD485" s="1" t="str">
        <f>"95/07/13"</f>
        <v>95/07/13</v>
      </c>
      <c r="AE485" s="1" t="str">
        <f t="shared" si="106"/>
        <v>اختتام</v>
      </c>
      <c r="AF485" s="1" t="str">
        <f>""</f>
        <v/>
      </c>
      <c r="AG485" s="1" t="str">
        <f>""</f>
        <v/>
      </c>
      <c r="AH485" s="1" t="str">
        <f>""</f>
        <v/>
      </c>
      <c r="AI485" s="1" t="str">
        <f>""</f>
        <v/>
      </c>
      <c r="AJ485" s="1" t="str">
        <f>""</f>
        <v/>
      </c>
      <c r="AK485" s="1" t="str">
        <f>""</f>
        <v/>
      </c>
    </row>
    <row r="486" spans="1:37" x14ac:dyDescent="0.2">
      <c r="A486" s="1">
        <v>70000</v>
      </c>
      <c r="B486" s="1">
        <v>952000322</v>
      </c>
      <c r="C486" s="1" t="str">
        <f>"تخليه كهگيلويه وبويراحمدجاده بهبهان گچساران بعدازپل خيرآباد"</f>
        <v>تخليه كهگيلويه وبويراحمدجاده بهبهان گچساران بعدازپل خيرآباد</v>
      </c>
      <c r="D486" s="1">
        <v>9361</v>
      </c>
      <c r="E486" s="1">
        <v>68140</v>
      </c>
      <c r="F486" s="1">
        <v>95</v>
      </c>
      <c r="G486" s="1">
        <v>1860</v>
      </c>
      <c r="H486" s="1" t="str">
        <f>"95/11/23"</f>
        <v>95/11/23</v>
      </c>
      <c r="I486" s="1" t="str">
        <f t="shared" si="100"/>
        <v>كيلوگرم</v>
      </c>
      <c r="J486" s="1" t="str">
        <f t="shared" si="97"/>
        <v>0000000076</v>
      </c>
      <c r="K486" s="1" t="str">
        <f t="shared" si="98"/>
        <v>قير 60/70 - فله</v>
      </c>
      <c r="L486" s="1">
        <v>100</v>
      </c>
      <c r="M486" s="1" t="str">
        <f t="shared" si="101"/>
        <v>مخازن قير اصفهان</v>
      </c>
      <c r="N486" s="1">
        <v>11210</v>
      </c>
      <c r="O486" s="1">
        <v>50033679</v>
      </c>
      <c r="P486" s="1" t="str">
        <f>"  شهرداري سرفارياب"</f>
        <v xml:space="preserve">  شهرداري سرفارياب</v>
      </c>
      <c r="Q486" s="1">
        <v>20</v>
      </c>
      <c r="R486" s="1" t="str">
        <f>"فروش داخلي - سازمان شهرداري ها و دهياري هاي كشور"</f>
        <v>فروش داخلي - سازمان شهرداري ها و دهياري هاي كشور</v>
      </c>
      <c r="S486" s="1" t="str">
        <f t="shared" si="102"/>
        <v>قرارداد فروش</v>
      </c>
      <c r="T486" s="1" t="str">
        <f t="shared" si="103"/>
        <v>ندارد</v>
      </c>
      <c r="U486" s="1" t="str">
        <f>"دشت بشي پودنگ وبرادران رضا(4844014)"</f>
        <v>دشت بشي پودنگ وبرادران رضا(4844014)</v>
      </c>
      <c r="V486" s="1">
        <v>952000322</v>
      </c>
      <c r="W486" s="1">
        <v>952000322</v>
      </c>
      <c r="X486" s="1" t="str">
        <f>"1395464401"</f>
        <v>1395464401</v>
      </c>
      <c r="Y486" s="1" t="str">
        <f>"95/11/23"</f>
        <v>95/11/23</v>
      </c>
      <c r="Z486" s="1" t="str">
        <f>"45789"</f>
        <v>45789</v>
      </c>
      <c r="AA486" s="1" t="str">
        <f>"شهرداريها"</f>
        <v>شهرداريها</v>
      </c>
      <c r="AB486" s="1" t="str">
        <f>"95/09/16"</f>
        <v>95/09/16</v>
      </c>
      <c r="AC486" s="1" t="str">
        <f>"كهكيلويه و بوير احمد"</f>
        <v>كهكيلويه و بوير احمد</v>
      </c>
      <c r="AD486" s="1" t="str">
        <f>"95/11/23"</f>
        <v>95/11/23</v>
      </c>
      <c r="AE486" s="1" t="str">
        <f t="shared" si="106"/>
        <v>اختتام</v>
      </c>
      <c r="AF486" s="1" t="str">
        <f>""</f>
        <v/>
      </c>
      <c r="AG486" s="1" t="str">
        <f>""</f>
        <v/>
      </c>
      <c r="AH486" s="1" t="str">
        <f>""</f>
        <v/>
      </c>
      <c r="AI486" s="1" t="str">
        <f>""</f>
        <v/>
      </c>
      <c r="AJ486" s="1" t="str">
        <f>""</f>
        <v/>
      </c>
      <c r="AK486" s="1" t="str">
        <f>""</f>
        <v/>
      </c>
    </row>
    <row r="487" spans="1:37" x14ac:dyDescent="0.2">
      <c r="A487" s="1">
        <v>145000</v>
      </c>
      <c r="B487" s="1">
        <v>956200131</v>
      </c>
      <c r="C487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487" s="1">
        <v>8861</v>
      </c>
      <c r="E487" s="1">
        <v>144600</v>
      </c>
      <c r="F487" s="1">
        <v>95</v>
      </c>
      <c r="G487" s="1">
        <v>400</v>
      </c>
      <c r="H487" s="1" t="str">
        <f>"95/10/12"</f>
        <v>95/10/12</v>
      </c>
      <c r="I487" s="1" t="str">
        <f t="shared" si="100"/>
        <v>كيلوگرم</v>
      </c>
      <c r="J487" s="1" t="str">
        <f t="shared" si="97"/>
        <v>0000000076</v>
      </c>
      <c r="K487" s="1" t="str">
        <f t="shared" si="98"/>
        <v>قير 60/70 - فله</v>
      </c>
      <c r="L487" s="1">
        <v>100</v>
      </c>
      <c r="M487" s="1" t="str">
        <f t="shared" si="101"/>
        <v>مخازن قير اصفهان</v>
      </c>
      <c r="N487" s="1">
        <v>11001</v>
      </c>
      <c r="O487" s="1">
        <v>50033238</v>
      </c>
      <c r="P487" s="1" t="str">
        <f>"  بنياد مسکن انقلاب اسلامي نجف آباد"</f>
        <v xml:space="preserve">  بنياد مسکن انقلاب اسلامي نجف آباد</v>
      </c>
      <c r="Q487" s="1">
        <v>62</v>
      </c>
      <c r="R487" s="1" t="str">
        <f>"فروش داخلي - سازمان بنيادمسكن انقلاب اسلامي"</f>
        <v>فروش داخلي - سازمان بنيادمسكن انقلاب اسلامي</v>
      </c>
      <c r="S487" s="1" t="str">
        <f t="shared" si="102"/>
        <v>قرارداد فروش</v>
      </c>
      <c r="T487" s="1" t="str">
        <f t="shared" si="103"/>
        <v>ندارد</v>
      </c>
      <c r="U487" s="1" t="str">
        <f>"سيفي پور عبدالمجيد(1009ج89)"</f>
        <v>سيفي پور عبدالمجيد(1009ج89)</v>
      </c>
      <c r="V487" s="1">
        <v>956200131</v>
      </c>
      <c r="W487" s="1">
        <v>956200131</v>
      </c>
      <c r="X487" s="1" t="str">
        <f>"1395456107"</f>
        <v>1395456107</v>
      </c>
      <c r="Y487" s="1" t="str">
        <f>"95/10/12"</f>
        <v>95/10/12</v>
      </c>
      <c r="Z487" s="1" t="str">
        <f>"42756/د"</f>
        <v>42756/د</v>
      </c>
      <c r="AA487" s="1" t="str">
        <f>"بنيادمسكن انقلاب اسلامي"</f>
        <v>بنيادمسكن انقلاب اسلامي</v>
      </c>
      <c r="AB487" s="1" t="str">
        <f>"95/10/08"</f>
        <v>95/10/08</v>
      </c>
      <c r="AC487" s="1" t="str">
        <f>"استان اصفهان"</f>
        <v>استان اصفهان</v>
      </c>
      <c r="AD487" s="1" t="str">
        <f>"95/10/11"</f>
        <v>95/10/11</v>
      </c>
      <c r="AE487" s="1" t="str">
        <f t="shared" si="106"/>
        <v>اختتام</v>
      </c>
      <c r="AF487" s="1" t="str">
        <f>""</f>
        <v/>
      </c>
      <c r="AG487" s="1" t="str">
        <f>""</f>
        <v/>
      </c>
      <c r="AH487" s="1" t="str">
        <f>""</f>
        <v/>
      </c>
      <c r="AI487" s="1" t="str">
        <f>""</f>
        <v/>
      </c>
      <c r="AJ487" s="1" t="str">
        <f>""</f>
        <v/>
      </c>
      <c r="AK487" s="1" t="str">
        <f>""</f>
        <v/>
      </c>
    </row>
    <row r="488" spans="1:37" x14ac:dyDescent="0.2">
      <c r="A488" s="1">
        <v>1000000</v>
      </c>
      <c r="B488" s="1">
        <v>951100019</v>
      </c>
      <c r="C488" s="1" t="str">
        <f>"تخليه-جاده علويجه-کيلومتر12 شرکت افق راه ماندگار"</f>
        <v>تخليه-جاده علويجه-کيلومتر12 شرکت افق راه ماندگار</v>
      </c>
      <c r="D488" s="1">
        <v>5200</v>
      </c>
      <c r="E488" s="1">
        <v>1000000</v>
      </c>
      <c r="F488" s="1">
        <v>95</v>
      </c>
      <c r="G488" s="1">
        <v>0</v>
      </c>
      <c r="H488" s="1" t="str">
        <f>"95/01/31"</f>
        <v>95/01/31</v>
      </c>
      <c r="I488" s="1" t="str">
        <f t="shared" si="100"/>
        <v>كيلوگرم</v>
      </c>
      <c r="J488" s="1" t="str">
        <f t="shared" si="97"/>
        <v>0000000076</v>
      </c>
      <c r="K488" s="1" t="str">
        <f t="shared" si="98"/>
        <v>قير 60/70 - فله</v>
      </c>
      <c r="L488" s="1">
        <v>100</v>
      </c>
      <c r="M488" s="1" t="str">
        <f t="shared" si="101"/>
        <v>مخازن قير اصفهان</v>
      </c>
      <c r="N488" s="1">
        <v>11008</v>
      </c>
      <c r="O488" s="1">
        <v>50030600</v>
      </c>
      <c r="P488" s="1" t="str">
        <f>"  افق راه ماندگار"</f>
        <v xml:space="preserve">  افق راه ماندگار</v>
      </c>
      <c r="Q488" s="1">
        <v>11</v>
      </c>
      <c r="R488" s="1" t="str">
        <f>"فروش داخلي تهران - بورس"</f>
        <v>فروش داخلي تهران - بورس</v>
      </c>
      <c r="S488" s="1" t="str">
        <f t="shared" si="102"/>
        <v>قرارداد فروش</v>
      </c>
      <c r="T488" s="1" t="str">
        <f t="shared" si="103"/>
        <v>ندارد</v>
      </c>
      <c r="U488" s="1" t="str">
        <f>"عزيزي صفر(1006ج 89)"</f>
        <v>عزيزي صفر(1006ج 89)</v>
      </c>
      <c r="V488" s="1">
        <v>951100019</v>
      </c>
      <c r="W488" s="1">
        <v>951100019</v>
      </c>
      <c r="X488" s="1" t="str">
        <f>"1395399734"</f>
        <v>1395399734</v>
      </c>
      <c r="Y488" s="1" t="str">
        <f>"95/01/31"</f>
        <v>95/01/31</v>
      </c>
      <c r="Z488" s="1" t="str">
        <f>"95-34222"</f>
        <v>95-34222</v>
      </c>
      <c r="AA488" s="1" t="str">
        <f>"راه سازي"</f>
        <v>راه سازي</v>
      </c>
      <c r="AB488" s="1" t="str">
        <f>"95/01/30"</f>
        <v>95/01/30</v>
      </c>
      <c r="AC488" s="1" t="str">
        <f>"استان اصفهان"</f>
        <v>استان اصفهان</v>
      </c>
      <c r="AD488" s="1" t="str">
        <f>"95/01/25"</f>
        <v>95/01/25</v>
      </c>
      <c r="AE488" s="1" t="str">
        <f>"تاييدشده"</f>
        <v>تاييدشده</v>
      </c>
      <c r="AF488" s="1" t="str">
        <f>""</f>
        <v/>
      </c>
      <c r="AG488" s="1" t="str">
        <f>""</f>
        <v/>
      </c>
      <c r="AH488" s="1" t="str">
        <f>""</f>
        <v/>
      </c>
      <c r="AI488" s="1" t="str">
        <f>""</f>
        <v/>
      </c>
      <c r="AJ488" s="1" t="str">
        <f>""</f>
        <v/>
      </c>
      <c r="AK488" s="1" t="str">
        <f>""</f>
        <v/>
      </c>
    </row>
    <row r="489" spans="1:37" x14ac:dyDescent="0.2">
      <c r="A489" s="1">
        <v>350000</v>
      </c>
      <c r="B489" s="1">
        <v>951100064</v>
      </c>
      <c r="C489" s="1" t="str">
        <f>"تخليه-جاده علويجه-کيلومتر12 شرکت افق راه ماندگار"</f>
        <v>تخليه-جاده علويجه-کيلومتر12 شرکت افق راه ماندگار</v>
      </c>
      <c r="D489" s="1">
        <v>5750</v>
      </c>
      <c r="E489" s="1">
        <v>350000</v>
      </c>
      <c r="F489" s="1">
        <v>95</v>
      </c>
      <c r="G489" s="1">
        <v>0</v>
      </c>
      <c r="H489" s="1" t="str">
        <f>"95/03/17"</f>
        <v>95/03/17</v>
      </c>
      <c r="I489" s="1" t="str">
        <f t="shared" si="100"/>
        <v>كيلوگرم</v>
      </c>
      <c r="J489" s="1" t="str">
        <f t="shared" si="97"/>
        <v>0000000076</v>
      </c>
      <c r="K489" s="1" t="str">
        <f t="shared" si="98"/>
        <v>قير 60/70 - فله</v>
      </c>
      <c r="L489" s="1">
        <v>100</v>
      </c>
      <c r="M489" s="1" t="str">
        <f t="shared" si="101"/>
        <v>مخازن قير اصفهان</v>
      </c>
      <c r="N489" s="1">
        <v>11008</v>
      </c>
      <c r="O489" s="1">
        <v>50030975</v>
      </c>
      <c r="P489" s="1" t="str">
        <f>"  افق راه ماندگار"</f>
        <v xml:space="preserve">  افق راه ماندگار</v>
      </c>
      <c r="Q489" s="1">
        <v>11</v>
      </c>
      <c r="R489" s="1" t="str">
        <f>"فروش داخلي تهران - بورس"</f>
        <v>فروش داخلي تهران - بورس</v>
      </c>
      <c r="S489" s="1" t="str">
        <f t="shared" si="102"/>
        <v>قرارداد فروش</v>
      </c>
      <c r="T489" s="1" t="str">
        <f t="shared" si="103"/>
        <v>ندارد</v>
      </c>
      <c r="U489" s="1" t="str">
        <f>"عزيزي صفر(1006ج 89)"</f>
        <v>عزيزي صفر(1006ج 89)</v>
      </c>
      <c r="V489" s="1">
        <v>951100064</v>
      </c>
      <c r="W489" s="1">
        <v>951100064</v>
      </c>
      <c r="X489" s="1" t="str">
        <f>"1395406243"</f>
        <v>1395406243</v>
      </c>
      <c r="Y489" s="1" t="str">
        <f>"95/03/16"</f>
        <v>95/03/16</v>
      </c>
      <c r="Z489" s="1" t="str">
        <f>"95-34456"</f>
        <v>95-34456</v>
      </c>
      <c r="AA489" s="1" t="str">
        <f>"راه سازي"</f>
        <v>راه سازي</v>
      </c>
      <c r="AB489" s="1" t="str">
        <f>"95/03/16"</f>
        <v>95/03/16</v>
      </c>
      <c r="AC489" s="1" t="str">
        <f>"استان اصفهان"</f>
        <v>استان اصفهان</v>
      </c>
      <c r="AD489" s="1" t="str">
        <f>"95/03/08"</f>
        <v>95/03/08</v>
      </c>
      <c r="AE489" s="1" t="str">
        <f>"تاييدشده"</f>
        <v>تاييدشده</v>
      </c>
      <c r="AF489" s="1" t="str">
        <f>""</f>
        <v/>
      </c>
      <c r="AG489" s="1" t="str">
        <f>""</f>
        <v/>
      </c>
      <c r="AH489" s="1" t="str">
        <f>""</f>
        <v/>
      </c>
      <c r="AI489" s="1" t="str">
        <f>""</f>
        <v/>
      </c>
      <c r="AJ489" s="1" t="str">
        <f>""</f>
        <v/>
      </c>
      <c r="AK489" s="1" t="str">
        <f>""</f>
        <v/>
      </c>
    </row>
    <row r="490" spans="1:37" x14ac:dyDescent="0.2">
      <c r="A490" s="1">
        <v>93000</v>
      </c>
      <c r="B490" s="1">
        <v>956300011</v>
      </c>
      <c r="C490" s="1" t="str">
        <f>"تخليه -خراسان جنوبي شهرستان زيركوه -حاجي آباد-كارخانه آسفالت شهرداري"</f>
        <v>تخليه -خراسان جنوبي شهرستان زيركوه -حاجي آباد-كارخانه آسفالت شهرداري</v>
      </c>
      <c r="D490" s="1">
        <v>8861</v>
      </c>
      <c r="E490" s="1">
        <v>90900</v>
      </c>
      <c r="F490" s="1">
        <v>95</v>
      </c>
      <c r="G490" s="1">
        <v>2100</v>
      </c>
      <c r="H490" s="1" t="str">
        <f>"95/10/20"</f>
        <v>95/10/20</v>
      </c>
      <c r="I490" s="1" t="str">
        <f t="shared" si="100"/>
        <v>كيلوگرم</v>
      </c>
      <c r="J490" s="1" t="str">
        <f t="shared" si="97"/>
        <v>0000000076</v>
      </c>
      <c r="K490" s="1" t="str">
        <f t="shared" si="98"/>
        <v>قير 60/70 - فله</v>
      </c>
      <c r="L490" s="1">
        <v>100</v>
      </c>
      <c r="M490" s="1" t="str">
        <f t="shared" si="101"/>
        <v>مخازن قير اصفهان</v>
      </c>
      <c r="N490" s="1">
        <v>7147</v>
      </c>
      <c r="O490" s="1">
        <v>50033337</v>
      </c>
      <c r="P490" s="1" t="str">
        <f>"  شهرداري حاجي آباد"</f>
        <v xml:space="preserve">  شهرداري حاجي آباد</v>
      </c>
      <c r="Q490" s="1">
        <v>63</v>
      </c>
      <c r="R490" s="1" t="str">
        <f>"سازمان نوسازي،توسعه و تجهيز مدارس كشور"</f>
        <v>سازمان نوسازي،توسعه و تجهيز مدارس كشور</v>
      </c>
      <c r="S490" s="1" t="str">
        <f t="shared" si="102"/>
        <v>قرارداد فروش</v>
      </c>
      <c r="T490" s="1" t="str">
        <f t="shared" si="103"/>
        <v>ندارد</v>
      </c>
      <c r="U490" s="1" t="str">
        <f>"بابامحمدي عنايت اله(4844000)"</f>
        <v>بابامحمدي عنايت اله(4844000)</v>
      </c>
      <c r="V490" s="1">
        <v>956300011</v>
      </c>
      <c r="W490" s="1">
        <v>956300011</v>
      </c>
      <c r="X490" s="1" t="str">
        <f>"1395456218"</f>
        <v>1395456218</v>
      </c>
      <c r="Y490" s="1" t="str">
        <f>"95/10/20"</f>
        <v>95/10/20</v>
      </c>
      <c r="Z490" s="1" t="str">
        <f>"3095/19-8679"</f>
        <v>3095/19-8679</v>
      </c>
      <c r="AA490" s="1" t="str">
        <f>"سازمان نوسازي توسعه وتجهيزمدارس كشور"</f>
        <v>سازمان نوسازي توسعه وتجهيزمدارس كشور</v>
      </c>
      <c r="AB490" s="1" t="str">
        <f>"95/09/04"</f>
        <v>95/09/04</v>
      </c>
      <c r="AC490" s="1" t="str">
        <f>"خراسان جنوبي"</f>
        <v>خراسان جنوبي</v>
      </c>
      <c r="AD490" s="1" t="str">
        <f>"95/10/12"</f>
        <v>95/10/12</v>
      </c>
      <c r="AE490" s="1" t="str">
        <f t="shared" ref="AE490:AE518" si="107">"اختتام"</f>
        <v>اختتام</v>
      </c>
      <c r="AF490" s="1" t="str">
        <f>""</f>
        <v/>
      </c>
      <c r="AG490" s="1" t="str">
        <f>""</f>
        <v/>
      </c>
      <c r="AH490" s="1" t="str">
        <f>""</f>
        <v/>
      </c>
      <c r="AI490" s="1" t="str">
        <f>""</f>
        <v/>
      </c>
      <c r="AJ490" s="1" t="str">
        <f>""</f>
        <v/>
      </c>
      <c r="AK490" s="1" t="str">
        <f>""</f>
        <v/>
      </c>
    </row>
    <row r="491" spans="1:37" x14ac:dyDescent="0.2">
      <c r="A491" s="1">
        <v>175000</v>
      </c>
      <c r="B491" s="1">
        <v>956200125</v>
      </c>
      <c r="C491" s="1" t="str">
        <f>"تخليه-خراسان رضوي-مشهد-کيلومتر 10جاده سرخس-نرسيده به روستاي تنگل شور سمت چپ-روبروي شن شويي"</f>
        <v>تخليه-خراسان رضوي-مشهد-کيلومتر 10جاده سرخس-نرسيده به روستاي تنگل شور سمت چپ-روبروي شن شويي</v>
      </c>
      <c r="D491" s="1">
        <v>8861</v>
      </c>
      <c r="E491" s="1">
        <v>173520</v>
      </c>
      <c r="F491" s="1">
        <v>95</v>
      </c>
      <c r="G491" s="1">
        <v>1480</v>
      </c>
      <c r="H491" s="1" t="str">
        <f>"95/10/07"</f>
        <v>95/10/07</v>
      </c>
      <c r="I491" s="1" t="str">
        <f t="shared" si="100"/>
        <v>كيلوگرم</v>
      </c>
      <c r="J491" s="1" t="str">
        <f t="shared" si="97"/>
        <v>0000000076</v>
      </c>
      <c r="K491" s="1" t="str">
        <f t="shared" si="98"/>
        <v>قير 60/70 - فله</v>
      </c>
      <c r="L491" s="1">
        <v>100</v>
      </c>
      <c r="M491" s="1" t="str">
        <f t="shared" si="101"/>
        <v>مخازن قير اصفهان</v>
      </c>
      <c r="N491" s="1">
        <v>11227</v>
      </c>
      <c r="O491" s="1">
        <v>50033199</v>
      </c>
      <c r="P491" s="1" t="str">
        <f>"  ره پويان آريا گستر"</f>
        <v xml:space="preserve">  ره پويان آريا گستر</v>
      </c>
      <c r="Q491" s="1">
        <v>62</v>
      </c>
      <c r="R491" s="1" t="str">
        <f t="shared" ref="R491:R506" si="108">"فروش داخلي - سازمان بنيادمسكن انقلاب اسلامي"</f>
        <v>فروش داخلي - سازمان بنيادمسكن انقلاب اسلامي</v>
      </c>
      <c r="S491" s="1" t="str">
        <f t="shared" si="102"/>
        <v>قرارداد فروش</v>
      </c>
      <c r="T491" s="1" t="str">
        <f t="shared" si="103"/>
        <v>ندارد</v>
      </c>
      <c r="U491" s="1" t="str">
        <f>"حسيني سيدجواد(1841076)"</f>
        <v>حسيني سيدجواد(1841076)</v>
      </c>
      <c r="V491" s="1">
        <v>956200125</v>
      </c>
      <c r="W491" s="1">
        <v>956200125</v>
      </c>
      <c r="X491" s="1" t="str">
        <f>"1395454986"</f>
        <v>1395454986</v>
      </c>
      <c r="Y491" s="1" t="str">
        <f>"95/10/07"</f>
        <v>95/10/07</v>
      </c>
      <c r="Z491" s="1" t="str">
        <f>"42199/د"</f>
        <v>42199/د</v>
      </c>
      <c r="AA491" s="1" t="str">
        <f t="shared" ref="AA491:AA506" si="109">"بنيادمسكن انقلاب اسلامي"</f>
        <v>بنيادمسكن انقلاب اسلامي</v>
      </c>
      <c r="AB491" s="1" t="str">
        <f>"95/10/06"</f>
        <v>95/10/06</v>
      </c>
      <c r="AC491" s="1" t="str">
        <f>"خراسان رضوي"</f>
        <v>خراسان رضوي</v>
      </c>
      <c r="AD491" s="1" t="str">
        <f>"95/10/07"</f>
        <v>95/10/07</v>
      </c>
      <c r="AE491" s="1" t="str">
        <f t="shared" si="107"/>
        <v>اختتام</v>
      </c>
      <c r="AF491" s="1" t="str">
        <f>""</f>
        <v/>
      </c>
      <c r="AG491" s="1" t="str">
        <f>""</f>
        <v/>
      </c>
      <c r="AH491" s="1" t="str">
        <f>""</f>
        <v/>
      </c>
      <c r="AI491" s="1" t="str">
        <f>""</f>
        <v/>
      </c>
      <c r="AJ491" s="1" t="str">
        <f>""</f>
        <v/>
      </c>
      <c r="AK491" s="1" t="str">
        <f>""</f>
        <v/>
      </c>
    </row>
    <row r="492" spans="1:37" x14ac:dyDescent="0.2">
      <c r="A492" s="1">
        <v>177000</v>
      </c>
      <c r="B492" s="1">
        <v>956200260</v>
      </c>
      <c r="C492" s="1" t="str">
        <f>"تخليه تهران پاكدشت جاده موزاييك كارخانه شن گستران پاكدشت"</f>
        <v>تخليه تهران پاكدشت جاده موزاييك كارخانه شن گستران پاكدشت</v>
      </c>
      <c r="D492" s="1">
        <v>8848</v>
      </c>
      <c r="E492" s="1">
        <v>176000</v>
      </c>
      <c r="F492" s="1">
        <v>95</v>
      </c>
      <c r="G492" s="1">
        <v>1000</v>
      </c>
      <c r="H492" s="1" t="str">
        <f>"95/12/03"</f>
        <v>95/12/03</v>
      </c>
      <c r="I492" s="1" t="str">
        <f t="shared" si="100"/>
        <v>كيلوگرم</v>
      </c>
      <c r="J492" s="1" t="str">
        <f t="shared" si="97"/>
        <v>0000000076</v>
      </c>
      <c r="K492" s="1" t="str">
        <f t="shared" si="98"/>
        <v>قير 60/70 - فله</v>
      </c>
      <c r="L492" s="1">
        <v>100</v>
      </c>
      <c r="M492" s="1" t="str">
        <f t="shared" si="101"/>
        <v>مخازن قير اصفهان</v>
      </c>
      <c r="N492" s="1">
        <v>11248</v>
      </c>
      <c r="O492" s="1">
        <v>50033816</v>
      </c>
      <c r="P492" s="1" t="str">
        <f>"  فيدار راه ماهان"</f>
        <v xml:space="preserve">  فيدار راه ماهان</v>
      </c>
      <c r="Q492" s="1">
        <v>62</v>
      </c>
      <c r="R492" s="1" t="str">
        <f t="shared" si="108"/>
        <v>فروش داخلي - سازمان بنيادمسكن انقلاب اسلامي</v>
      </c>
      <c r="S492" s="1" t="str">
        <f t="shared" si="102"/>
        <v>قرارداد فروش</v>
      </c>
      <c r="T492" s="1" t="str">
        <f t="shared" si="103"/>
        <v>ندارد</v>
      </c>
      <c r="U492" s="1" t="str">
        <f>"ساربانها كريم(1841017)"</f>
        <v>ساربانها كريم(1841017)</v>
      </c>
      <c r="V492" s="1">
        <v>956200260</v>
      </c>
      <c r="W492" s="1">
        <v>956200260</v>
      </c>
      <c r="X492" s="1" t="str">
        <f>"1395466581"</f>
        <v>1395466581</v>
      </c>
      <c r="Y492" s="1" t="str">
        <f>"95/12/03"</f>
        <v>95/12/03</v>
      </c>
      <c r="Z492" s="1" t="str">
        <f>"52758/د"</f>
        <v>52758/د</v>
      </c>
      <c r="AA492" s="1" t="str">
        <f t="shared" si="109"/>
        <v>بنيادمسكن انقلاب اسلامي</v>
      </c>
      <c r="AB492" s="1" t="str">
        <f>"95/12/02"</f>
        <v>95/12/02</v>
      </c>
      <c r="AC492" s="1" t="str">
        <f>"استان تهران"</f>
        <v>استان تهران</v>
      </c>
      <c r="AD492" s="1" t="str">
        <f>"95/12/03"</f>
        <v>95/12/03</v>
      </c>
      <c r="AE492" s="1" t="str">
        <f t="shared" si="107"/>
        <v>اختتام</v>
      </c>
      <c r="AF492" s="1" t="str">
        <f>""</f>
        <v/>
      </c>
      <c r="AG492" s="1" t="str">
        <f>""</f>
        <v/>
      </c>
      <c r="AH492" s="1" t="str">
        <f>""</f>
        <v/>
      </c>
      <c r="AI492" s="1" t="str">
        <f>""</f>
        <v/>
      </c>
      <c r="AJ492" s="1" t="str">
        <f>""</f>
        <v/>
      </c>
      <c r="AK492" s="1" t="str">
        <f>""</f>
        <v/>
      </c>
    </row>
    <row r="493" spans="1:37" x14ac:dyDescent="0.2">
      <c r="A493" s="1">
        <v>160000</v>
      </c>
      <c r="B493" s="1">
        <v>956200423</v>
      </c>
      <c r="C493" s="1" t="str">
        <f>"تخليه-گچساران-روستاي ناصرآباد -کارخانه آسفالت روانگرد"</f>
        <v>تخليه-گچساران-روستاي ناصرآباد -کارخانه آسفالت روانگرد</v>
      </c>
      <c r="D493" s="1">
        <v>8848</v>
      </c>
      <c r="E493" s="1">
        <v>159600</v>
      </c>
      <c r="F493" s="1">
        <v>95</v>
      </c>
      <c r="G493" s="1">
        <v>400</v>
      </c>
      <c r="H493" s="1" t="str">
        <f>"95/12/28"</f>
        <v>95/12/28</v>
      </c>
      <c r="I493" s="1" t="str">
        <f t="shared" si="100"/>
        <v>كيلوگرم</v>
      </c>
      <c r="J493" s="1" t="str">
        <f t="shared" si="97"/>
        <v>0000000076</v>
      </c>
      <c r="K493" s="1" t="str">
        <f t="shared" si="98"/>
        <v>قير 60/70 - فله</v>
      </c>
      <c r="L493" s="1">
        <v>100</v>
      </c>
      <c r="M493" s="1" t="str">
        <f t="shared" si="101"/>
        <v>مخازن قير اصفهان</v>
      </c>
      <c r="N493" s="1">
        <v>11049</v>
      </c>
      <c r="O493" s="1">
        <v>50034312</v>
      </c>
      <c r="P493" s="1" t="str">
        <f>"  آرمان احداث کوهسار"</f>
        <v xml:space="preserve">  آرمان احداث کوهسار</v>
      </c>
      <c r="Q493" s="1">
        <v>62</v>
      </c>
      <c r="R493" s="1" t="str">
        <f t="shared" si="108"/>
        <v>فروش داخلي - سازمان بنيادمسكن انقلاب اسلامي</v>
      </c>
      <c r="S493" s="1" t="str">
        <f t="shared" si="102"/>
        <v>قرارداد فروش</v>
      </c>
      <c r="T493" s="1" t="str">
        <f t="shared" si="103"/>
        <v>ندارد</v>
      </c>
      <c r="U493" s="1" t="str">
        <f>"غلام نجفي سيامك‌‌‌‌‌‌(1881082)"</f>
        <v>غلام نجفي سيامك‌‌‌‌‌‌(1881082)</v>
      </c>
      <c r="V493" s="1">
        <v>956200423</v>
      </c>
      <c r="W493" s="1">
        <v>956200423</v>
      </c>
      <c r="X493" s="1" t="str">
        <f>"1395470977"</f>
        <v>1395470977</v>
      </c>
      <c r="Y493" s="1" t="str">
        <f>"95/12/28"</f>
        <v>95/12/28</v>
      </c>
      <c r="Z493" s="1" t="str">
        <f>"57180/د"</f>
        <v>57180/د</v>
      </c>
      <c r="AA493" s="1" t="str">
        <f t="shared" si="109"/>
        <v>بنيادمسكن انقلاب اسلامي</v>
      </c>
      <c r="AB493" s="1" t="str">
        <f>"95/12/22"</f>
        <v>95/12/22</v>
      </c>
      <c r="AC493" s="1" t="str">
        <f>"كهكيلويه و بوير احمد"</f>
        <v>كهكيلويه و بوير احمد</v>
      </c>
      <c r="AD493" s="1" t="str">
        <f>"95/12/24"</f>
        <v>95/12/24</v>
      </c>
      <c r="AE493" s="1" t="str">
        <f t="shared" si="107"/>
        <v>اختتام</v>
      </c>
      <c r="AF493" s="1" t="str">
        <f>""</f>
        <v/>
      </c>
      <c r="AG493" s="1" t="str">
        <f>""</f>
        <v/>
      </c>
      <c r="AH493" s="1" t="str">
        <f>""</f>
        <v/>
      </c>
      <c r="AI493" s="1" t="str">
        <f>""</f>
        <v/>
      </c>
      <c r="AJ493" s="1" t="str">
        <f>""</f>
        <v/>
      </c>
      <c r="AK493" s="1" t="str">
        <f>""</f>
        <v/>
      </c>
    </row>
    <row r="494" spans="1:37" x14ac:dyDescent="0.2">
      <c r="A494" s="1">
        <v>703000</v>
      </c>
      <c r="B494" s="1">
        <v>956200122</v>
      </c>
      <c r="C494" s="1" t="str">
        <f>"تخليه - خراسان جنوبي -آرين شهر-کارخانه  شرکت آب شن راه طوس"</f>
        <v>تخليه - خراسان جنوبي -آرين شهر-کارخانه  شرکت آب شن راه طوس</v>
      </c>
      <c r="D494" s="1">
        <v>8861</v>
      </c>
      <c r="E494" s="1">
        <v>702720</v>
      </c>
      <c r="F494" s="1">
        <v>95</v>
      </c>
      <c r="G494" s="1">
        <v>280</v>
      </c>
      <c r="H494" s="1" t="str">
        <f>"95/10/06"</f>
        <v>95/10/06</v>
      </c>
      <c r="I494" s="1" t="str">
        <f t="shared" si="100"/>
        <v>كيلوگرم</v>
      </c>
      <c r="J494" s="1" t="str">
        <f t="shared" si="97"/>
        <v>0000000076</v>
      </c>
      <c r="K494" s="1" t="str">
        <f t="shared" si="98"/>
        <v>قير 60/70 - فله</v>
      </c>
      <c r="L494" s="1">
        <v>100</v>
      </c>
      <c r="M494" s="1" t="str">
        <f t="shared" si="101"/>
        <v>مخازن قير اصفهان</v>
      </c>
      <c r="N494" s="1">
        <v>11053</v>
      </c>
      <c r="O494" s="1">
        <v>50033180</v>
      </c>
      <c r="P494" s="1" t="str">
        <f>"  آوارادين شرق"</f>
        <v xml:space="preserve">  آوارادين شرق</v>
      </c>
      <c r="Q494" s="1">
        <v>62</v>
      </c>
      <c r="R494" s="1" t="str">
        <f t="shared" si="108"/>
        <v>فروش داخلي - سازمان بنيادمسكن انقلاب اسلامي</v>
      </c>
      <c r="S494" s="1" t="str">
        <f t="shared" si="102"/>
        <v>قرارداد فروش</v>
      </c>
      <c r="T494" s="1" t="str">
        <f t="shared" si="103"/>
        <v>ندارد</v>
      </c>
      <c r="U494" s="1" t="str">
        <f>"كاردان اسپادان راه مصطفي  (1911100)"</f>
        <v>كاردان اسپادان راه مصطفي  (1911100)</v>
      </c>
      <c r="V494" s="1">
        <v>956200122</v>
      </c>
      <c r="W494" s="1">
        <v>956200122</v>
      </c>
      <c r="X494" s="1" t="str">
        <f>"1395454527"</f>
        <v>1395454527</v>
      </c>
      <c r="Y494" s="1" t="str">
        <f>"95/10/06"</f>
        <v>95/10/06</v>
      </c>
      <c r="Z494" s="1" t="str">
        <f>"41439/د"</f>
        <v>41439/د</v>
      </c>
      <c r="AA494" s="1" t="str">
        <f t="shared" si="109"/>
        <v>بنيادمسكن انقلاب اسلامي</v>
      </c>
      <c r="AB494" s="1" t="str">
        <f>"95/10/01"</f>
        <v>95/10/01</v>
      </c>
      <c r="AC494" s="1" t="str">
        <f>"خراسان جنوبي"</f>
        <v>خراسان جنوبي</v>
      </c>
      <c r="AD494" s="1" t="str">
        <f>"95/10/05"</f>
        <v>95/10/05</v>
      </c>
      <c r="AE494" s="1" t="str">
        <f t="shared" si="107"/>
        <v>اختتام</v>
      </c>
      <c r="AF494" s="1" t="str">
        <f>""</f>
        <v/>
      </c>
      <c r="AG494" s="1" t="str">
        <f>""</f>
        <v/>
      </c>
      <c r="AH494" s="1" t="str">
        <f>""</f>
        <v/>
      </c>
      <c r="AI494" s="1" t="str">
        <f>""</f>
        <v/>
      </c>
      <c r="AJ494" s="1" t="str">
        <f>""</f>
        <v/>
      </c>
      <c r="AK494" s="1" t="str">
        <f>""</f>
        <v/>
      </c>
    </row>
    <row r="495" spans="1:37" x14ac:dyDescent="0.2">
      <c r="A495" s="1">
        <v>197000</v>
      </c>
      <c r="B495" s="1">
        <v>956200254</v>
      </c>
      <c r="C495" s="1" t="str">
        <f>"تخليه - خراسان رضوي -مشهد-جاده کلات -بعداز شهرک صنعتي کلات-کوچه آسانسور سازي -شرکت بام گستر زرين شرق"</f>
        <v>تخليه - خراسان رضوي -مشهد-جاده کلات -بعداز شهرک صنعتي کلات-کوچه آسانسور سازي -شرکت بام گستر زرين شرق</v>
      </c>
      <c r="D495" s="1">
        <v>9361</v>
      </c>
      <c r="E495" s="1">
        <v>196900</v>
      </c>
      <c r="F495" s="1">
        <v>95</v>
      </c>
      <c r="G495" s="1">
        <v>100</v>
      </c>
      <c r="H495" s="1" t="str">
        <f>"95/11/27"</f>
        <v>95/11/27</v>
      </c>
      <c r="I495" s="1" t="str">
        <f t="shared" si="100"/>
        <v>كيلوگرم</v>
      </c>
      <c r="J495" s="1" t="str">
        <f t="shared" si="97"/>
        <v>0000000076</v>
      </c>
      <c r="K495" s="1" t="str">
        <f t="shared" si="98"/>
        <v>قير 60/70 - فله</v>
      </c>
      <c r="L495" s="1">
        <v>100</v>
      </c>
      <c r="M495" s="1" t="str">
        <f t="shared" si="101"/>
        <v>مخازن قير اصفهان</v>
      </c>
      <c r="N495" s="1">
        <v>11260</v>
      </c>
      <c r="O495" s="1">
        <v>50033791</v>
      </c>
      <c r="P495" s="1" t="str">
        <f>"  سامان گستر ايمن توس"</f>
        <v xml:space="preserve">  سامان گستر ايمن توس</v>
      </c>
      <c r="Q495" s="1">
        <v>62</v>
      </c>
      <c r="R495" s="1" t="str">
        <f t="shared" si="108"/>
        <v>فروش داخلي - سازمان بنيادمسكن انقلاب اسلامي</v>
      </c>
      <c r="S495" s="1" t="str">
        <f t="shared" si="102"/>
        <v>قرارداد فروش</v>
      </c>
      <c r="T495" s="1" t="str">
        <f t="shared" si="103"/>
        <v>ندارد</v>
      </c>
      <c r="U495" s="1" t="str">
        <f>"قره باغي مجيد(1871065)"</f>
        <v>قره باغي مجيد(1871065)</v>
      </c>
      <c r="V495" s="1">
        <v>956200254</v>
      </c>
      <c r="W495" s="1">
        <v>956200254</v>
      </c>
      <c r="X495" s="1" t="str">
        <f>"1395465843"</f>
        <v>1395465843</v>
      </c>
      <c r="Y495" s="1" t="str">
        <f>"95/11/27"</f>
        <v>95/11/27</v>
      </c>
      <c r="Z495" s="1" t="str">
        <f>"51503/د"</f>
        <v>51503/د</v>
      </c>
      <c r="AA495" s="1" t="str">
        <f t="shared" si="109"/>
        <v>بنيادمسكن انقلاب اسلامي</v>
      </c>
      <c r="AB495" s="1" t="str">
        <f>"95/11/26"</f>
        <v>95/11/26</v>
      </c>
      <c r="AC495" s="1" t="str">
        <f>"خراسان رضوي"</f>
        <v>خراسان رضوي</v>
      </c>
      <c r="AD495" s="1" t="str">
        <f>"95/11/27"</f>
        <v>95/11/27</v>
      </c>
      <c r="AE495" s="1" t="str">
        <f t="shared" si="107"/>
        <v>اختتام</v>
      </c>
      <c r="AF495" s="1" t="str">
        <f>""</f>
        <v/>
      </c>
      <c r="AG495" s="1" t="str">
        <f>""</f>
        <v/>
      </c>
      <c r="AH495" s="1" t="str">
        <f>""</f>
        <v/>
      </c>
      <c r="AI495" s="1" t="str">
        <f>""</f>
        <v/>
      </c>
      <c r="AJ495" s="1" t="str">
        <f>""</f>
        <v/>
      </c>
      <c r="AK495" s="1" t="str">
        <f>""</f>
        <v/>
      </c>
    </row>
    <row r="496" spans="1:37" x14ac:dyDescent="0.2">
      <c r="A496" s="1">
        <v>130000</v>
      </c>
      <c r="B496" s="1">
        <v>956200251</v>
      </c>
      <c r="C496" s="1" t="str">
        <f>"تخليه - گلستان- مينودشت -کيلومتر 5 جاده مينودشت به گنبد-روبروي کارخانه نورد-شرکت راه گستران مينو"</f>
        <v>تخليه - گلستان- مينودشت -کيلومتر 5 جاده مينودشت به گنبد-روبروي کارخانه نورد-شرکت راه گستران مينو</v>
      </c>
      <c r="D496" s="1">
        <v>9361</v>
      </c>
      <c r="E496" s="1">
        <v>128560</v>
      </c>
      <c r="F496" s="1">
        <v>95</v>
      </c>
      <c r="G496" s="1">
        <v>1440</v>
      </c>
      <c r="H496" s="1" t="str">
        <f>"95/11/27"</f>
        <v>95/11/27</v>
      </c>
      <c r="I496" s="1" t="str">
        <f t="shared" si="100"/>
        <v>كيلوگرم</v>
      </c>
      <c r="J496" s="1" t="str">
        <f t="shared" si="97"/>
        <v>0000000076</v>
      </c>
      <c r="K496" s="1" t="str">
        <f t="shared" si="98"/>
        <v>قير 60/70 - فله</v>
      </c>
      <c r="L496" s="1">
        <v>100</v>
      </c>
      <c r="M496" s="1" t="str">
        <f t="shared" si="101"/>
        <v>مخازن قير اصفهان</v>
      </c>
      <c r="N496" s="1">
        <v>11263</v>
      </c>
      <c r="O496" s="1">
        <v>50033784</v>
      </c>
      <c r="P496" s="1" t="str">
        <f>"  راه گستران مينو"</f>
        <v xml:space="preserve">  راه گستران مينو</v>
      </c>
      <c r="Q496" s="1">
        <v>62</v>
      </c>
      <c r="R496" s="1" t="str">
        <f t="shared" si="108"/>
        <v>فروش داخلي - سازمان بنيادمسكن انقلاب اسلامي</v>
      </c>
      <c r="S496" s="1" t="str">
        <f t="shared" si="102"/>
        <v>قرارداد فروش</v>
      </c>
      <c r="T496" s="1" t="str">
        <f t="shared" si="103"/>
        <v>ندارد</v>
      </c>
      <c r="U496" s="1" t="str">
        <f>"عليزاده فيض اله(1841035)"</f>
        <v>عليزاده فيض اله(1841035)</v>
      </c>
      <c r="V496" s="1">
        <v>956200251</v>
      </c>
      <c r="W496" s="1">
        <v>956200251</v>
      </c>
      <c r="X496" s="1" t="str">
        <f>"1395465843"</f>
        <v>1395465843</v>
      </c>
      <c r="Y496" s="1" t="str">
        <f>"95/11/27"</f>
        <v>95/11/27</v>
      </c>
      <c r="Z496" s="1" t="str">
        <f>"51501/د"</f>
        <v>51501/د</v>
      </c>
      <c r="AA496" s="1" t="str">
        <f t="shared" si="109"/>
        <v>بنيادمسكن انقلاب اسلامي</v>
      </c>
      <c r="AB496" s="1" t="str">
        <f>"95/11/26"</f>
        <v>95/11/26</v>
      </c>
      <c r="AC496" s="1" t="str">
        <f>"استان گلستان"</f>
        <v>استان گلستان</v>
      </c>
      <c r="AD496" s="1" t="str">
        <f>"95/11/27"</f>
        <v>95/11/27</v>
      </c>
      <c r="AE496" s="1" t="str">
        <f t="shared" si="107"/>
        <v>اختتام</v>
      </c>
      <c r="AF496" s="1" t="str">
        <f>""</f>
        <v/>
      </c>
      <c r="AG496" s="1" t="str">
        <f>""</f>
        <v/>
      </c>
      <c r="AH496" s="1" t="str">
        <f>""</f>
        <v/>
      </c>
      <c r="AI496" s="1" t="str">
        <f>""</f>
        <v/>
      </c>
      <c r="AJ496" s="1" t="str">
        <f>""</f>
        <v/>
      </c>
      <c r="AK496" s="1" t="str">
        <f>""</f>
        <v/>
      </c>
    </row>
    <row r="497" spans="1:37" x14ac:dyDescent="0.2">
      <c r="A497" s="1">
        <v>81000</v>
      </c>
      <c r="B497" s="1">
        <v>956200296</v>
      </c>
      <c r="C497" s="1" t="str">
        <f>"تخليه - تهران-جاده شهريار -ميدان معادن-خيابان روشن صنعت-کارخانه ابرراه گلستان"</f>
        <v>تخليه - تهران-جاده شهريار -ميدان معادن-خيابان روشن صنعت-کارخانه ابرراه گلستان</v>
      </c>
      <c r="D497" s="1">
        <v>8848</v>
      </c>
      <c r="E497" s="1">
        <v>79360</v>
      </c>
      <c r="F497" s="1">
        <v>95</v>
      </c>
      <c r="G497" s="1">
        <v>1640</v>
      </c>
      <c r="H497" s="1" t="str">
        <f>"95/12/07"</f>
        <v>95/12/07</v>
      </c>
      <c r="I497" s="1" t="str">
        <f t="shared" si="100"/>
        <v>كيلوگرم</v>
      </c>
      <c r="J497" s="1" t="str">
        <f t="shared" si="97"/>
        <v>0000000076</v>
      </c>
      <c r="K497" s="1" t="str">
        <f t="shared" si="98"/>
        <v>قير 60/70 - فله</v>
      </c>
      <c r="L497" s="1">
        <v>100</v>
      </c>
      <c r="M497" s="1" t="str">
        <f t="shared" si="101"/>
        <v>مخازن قير اصفهان</v>
      </c>
      <c r="N497" s="1">
        <v>11277</v>
      </c>
      <c r="O497" s="1">
        <v>50033891</v>
      </c>
      <c r="P497" s="1" t="str">
        <f>"  راه گستران شتاب نوين"</f>
        <v xml:space="preserve">  راه گستران شتاب نوين</v>
      </c>
      <c r="Q497" s="1">
        <v>62</v>
      </c>
      <c r="R497" s="1" t="str">
        <f t="shared" si="108"/>
        <v>فروش داخلي - سازمان بنيادمسكن انقلاب اسلامي</v>
      </c>
      <c r="S497" s="1" t="str">
        <f t="shared" si="102"/>
        <v>قرارداد فروش</v>
      </c>
      <c r="T497" s="1" t="str">
        <f t="shared" si="103"/>
        <v>ندارد</v>
      </c>
      <c r="U497" s="1" t="str">
        <f>"قراباغي علي اشرف(1901091)"</f>
        <v>قراباغي علي اشرف(1901091)</v>
      </c>
      <c r="V497" s="1">
        <v>956200296</v>
      </c>
      <c r="W497" s="1">
        <v>956200296</v>
      </c>
      <c r="X497" s="1" t="str">
        <f>"1395467571"</f>
        <v>1395467571</v>
      </c>
      <c r="Y497" s="1" t="str">
        <f>"95/12/07"</f>
        <v>95/12/07</v>
      </c>
      <c r="Z497" s="1" t="str">
        <f>"53619/د"</f>
        <v>53619/د</v>
      </c>
      <c r="AA497" s="1" t="str">
        <f t="shared" si="109"/>
        <v>بنيادمسكن انقلاب اسلامي</v>
      </c>
      <c r="AB497" s="1" t="str">
        <f>"95/12/07"</f>
        <v>95/12/07</v>
      </c>
      <c r="AC497" s="1" t="str">
        <f>"استان تهران"</f>
        <v>استان تهران</v>
      </c>
      <c r="AD497" s="1" t="str">
        <f>"95/12/07"</f>
        <v>95/12/07</v>
      </c>
      <c r="AE497" s="1" t="str">
        <f t="shared" si="107"/>
        <v>اختتام</v>
      </c>
      <c r="AF497" s="1" t="str">
        <f>""</f>
        <v/>
      </c>
      <c r="AG497" s="1" t="str">
        <f>""</f>
        <v/>
      </c>
      <c r="AH497" s="1" t="str">
        <f>""</f>
        <v/>
      </c>
      <c r="AI497" s="1" t="str">
        <f>""</f>
        <v/>
      </c>
      <c r="AJ497" s="1" t="str">
        <f>""</f>
        <v/>
      </c>
      <c r="AK497" s="1" t="str">
        <f>""</f>
        <v/>
      </c>
    </row>
    <row r="498" spans="1:37" x14ac:dyDescent="0.2">
      <c r="A498" s="1">
        <v>142000</v>
      </c>
      <c r="B498" s="1">
        <v>956200292</v>
      </c>
      <c r="C498" s="1" t="str">
        <f>"تخليه - کرمانشاه -صحنه - کيلومتر 7 کرمانشاه صحنه - روستاي هاشم آباد شرکت زاگرس راه نصر"</f>
        <v>تخليه - کرمانشاه -صحنه - کيلومتر 7 کرمانشاه صحنه - روستاي هاشم آباد شرکت زاگرس راه نصر</v>
      </c>
      <c r="D498" s="1">
        <v>8848</v>
      </c>
      <c r="E498" s="1">
        <v>141860</v>
      </c>
      <c r="F498" s="1">
        <v>95</v>
      </c>
      <c r="G498" s="1">
        <v>140</v>
      </c>
      <c r="H498" s="1" t="str">
        <f>"95/12/07"</f>
        <v>95/12/07</v>
      </c>
      <c r="I498" s="1" t="str">
        <f t="shared" si="100"/>
        <v>كيلوگرم</v>
      </c>
      <c r="J498" s="1" t="str">
        <f t="shared" si="97"/>
        <v>0000000076</v>
      </c>
      <c r="K498" s="1" t="str">
        <f t="shared" si="98"/>
        <v>قير 60/70 - فله</v>
      </c>
      <c r="L498" s="1">
        <v>100</v>
      </c>
      <c r="M498" s="1" t="str">
        <f t="shared" si="101"/>
        <v>مخازن قير اصفهان</v>
      </c>
      <c r="N498" s="1">
        <v>11279</v>
      </c>
      <c r="O498" s="1">
        <v>50033884</v>
      </c>
      <c r="P498" s="1" t="str">
        <f>"  ترسيم راه پارس"</f>
        <v xml:space="preserve">  ترسيم راه پارس</v>
      </c>
      <c r="Q498" s="1">
        <v>62</v>
      </c>
      <c r="R498" s="1" t="str">
        <f t="shared" si="108"/>
        <v>فروش داخلي - سازمان بنيادمسكن انقلاب اسلامي</v>
      </c>
      <c r="S498" s="1" t="str">
        <f t="shared" si="102"/>
        <v>قرارداد فروش</v>
      </c>
      <c r="T498" s="1" t="str">
        <f t="shared" si="103"/>
        <v>ندارد</v>
      </c>
      <c r="U498" s="1" t="str">
        <f>"عظيمي محمد(2842015)"</f>
        <v>عظيمي محمد(2842015)</v>
      </c>
      <c r="V498" s="1">
        <v>956200292</v>
      </c>
      <c r="W498" s="1">
        <v>956200292</v>
      </c>
      <c r="X498" s="1" t="str">
        <f>"1395467571"</f>
        <v>1395467571</v>
      </c>
      <c r="Y498" s="1" t="str">
        <f>"95/12/07"</f>
        <v>95/12/07</v>
      </c>
      <c r="Z498" s="1" t="str">
        <f>"53599/د"</f>
        <v>53599/د</v>
      </c>
      <c r="AA498" s="1" t="str">
        <f t="shared" si="109"/>
        <v>بنيادمسكن انقلاب اسلامي</v>
      </c>
      <c r="AB498" s="1" t="str">
        <f>"95/12/07"</f>
        <v>95/12/07</v>
      </c>
      <c r="AC498" s="1" t="str">
        <f>"استان كرمانشاه"</f>
        <v>استان كرمانشاه</v>
      </c>
      <c r="AD498" s="1" t="str">
        <f>"95/12/07"</f>
        <v>95/12/07</v>
      </c>
      <c r="AE498" s="1" t="str">
        <f t="shared" si="107"/>
        <v>اختتام</v>
      </c>
      <c r="AF498" s="1" t="str">
        <f>""</f>
        <v/>
      </c>
      <c r="AG498" s="1" t="str">
        <f>""</f>
        <v/>
      </c>
      <c r="AH498" s="1" t="str">
        <f>""</f>
        <v/>
      </c>
      <c r="AI498" s="1" t="str">
        <f>""</f>
        <v/>
      </c>
      <c r="AJ498" s="1" t="str">
        <f>""</f>
        <v/>
      </c>
      <c r="AK498" s="1" t="str">
        <f>""</f>
        <v/>
      </c>
    </row>
    <row r="499" spans="1:37" x14ac:dyDescent="0.2">
      <c r="A499" s="1">
        <v>68000</v>
      </c>
      <c r="B499" s="1">
        <v>956200355</v>
      </c>
      <c r="C499" s="1" t="str">
        <f>"تخليه-کرمانشاه-کيلومتر 13 جاده سراب نيلوفر تقاطع سه راهي شاهيني-کارخانه آسفالت شرکت سازه آفرين کردستان"</f>
        <v>تخليه-کرمانشاه-کيلومتر 13 جاده سراب نيلوفر تقاطع سه راهي شاهيني-کارخانه آسفالت شرکت سازه آفرين کردستان</v>
      </c>
      <c r="D499" s="1">
        <v>8848</v>
      </c>
      <c r="E499" s="1">
        <v>68000</v>
      </c>
      <c r="F499" s="1">
        <v>95</v>
      </c>
      <c r="G499" s="1">
        <v>0</v>
      </c>
      <c r="H499" s="1" t="str">
        <f>"95/12/23"</f>
        <v>95/12/23</v>
      </c>
      <c r="I499" s="1" t="str">
        <f t="shared" si="100"/>
        <v>كيلوگرم</v>
      </c>
      <c r="J499" s="1" t="str">
        <f t="shared" si="97"/>
        <v>0000000076</v>
      </c>
      <c r="K499" s="1" t="str">
        <f t="shared" si="98"/>
        <v>قير 60/70 - فله</v>
      </c>
      <c r="L499" s="1">
        <v>100</v>
      </c>
      <c r="M499" s="1" t="str">
        <f t="shared" si="101"/>
        <v>مخازن قير اصفهان</v>
      </c>
      <c r="N499" s="1">
        <v>11297</v>
      </c>
      <c r="O499" s="1">
        <v>50034230</v>
      </c>
      <c r="P499" s="1" t="str">
        <f>"  عمران تابش غرب"</f>
        <v xml:space="preserve">  عمران تابش غرب</v>
      </c>
      <c r="Q499" s="1">
        <v>62</v>
      </c>
      <c r="R499" s="1" t="str">
        <f t="shared" si="108"/>
        <v>فروش داخلي - سازمان بنيادمسكن انقلاب اسلامي</v>
      </c>
      <c r="S499" s="1" t="str">
        <f t="shared" si="102"/>
        <v>قرارداد فروش</v>
      </c>
      <c r="T499" s="1" t="str">
        <f t="shared" si="103"/>
        <v>ندارد</v>
      </c>
      <c r="U499" s="1" t="str">
        <f>"ميهن دوست عبداله(2842010)"</f>
        <v>ميهن دوست عبداله(2842010)</v>
      </c>
      <c r="V499" s="1">
        <v>956200355</v>
      </c>
      <c r="W499" s="1">
        <v>956200355</v>
      </c>
      <c r="X499" s="1" t="str">
        <f>"1395470711"</f>
        <v>1395470711</v>
      </c>
      <c r="Y499" s="1" t="str">
        <f>"95/12/23"</f>
        <v>95/12/23</v>
      </c>
      <c r="Z499" s="1" t="str">
        <f>"56547/د"</f>
        <v>56547/د</v>
      </c>
      <c r="AA499" s="1" t="str">
        <f t="shared" si="109"/>
        <v>بنيادمسكن انقلاب اسلامي</v>
      </c>
      <c r="AB499" s="1" t="str">
        <f>"95/12/21"</f>
        <v>95/12/21</v>
      </c>
      <c r="AC499" s="1" t="str">
        <f>"استان كرمانشاه"</f>
        <v>استان كرمانشاه</v>
      </c>
      <c r="AD499" s="1" t="str">
        <f>"95/12/22"</f>
        <v>95/12/22</v>
      </c>
      <c r="AE499" s="1" t="str">
        <f t="shared" si="107"/>
        <v>اختتام</v>
      </c>
      <c r="AF499" s="1" t="str">
        <f>""</f>
        <v/>
      </c>
      <c r="AG499" s="1" t="str">
        <f>""</f>
        <v/>
      </c>
      <c r="AH499" s="1" t="str">
        <f>""</f>
        <v/>
      </c>
      <c r="AI499" s="1" t="str">
        <f>""</f>
        <v/>
      </c>
      <c r="AJ499" s="1" t="str">
        <f>""</f>
        <v/>
      </c>
      <c r="AK499" s="1" t="str">
        <f>""</f>
        <v/>
      </c>
    </row>
    <row r="500" spans="1:37" x14ac:dyDescent="0.2">
      <c r="A500" s="1">
        <v>134000</v>
      </c>
      <c r="B500" s="1">
        <v>956200357</v>
      </c>
      <c r="C500" s="1" t="str">
        <f>"تخليه-کرمانشاه-کيلومتر 13 جاده سراب نيلوفر تقاطع سه راهي شاهيني-کارخانه آسفالت شرکت سازه آفرين کردستان"</f>
        <v>تخليه-کرمانشاه-کيلومتر 13 جاده سراب نيلوفر تقاطع سه راهي شاهيني-کارخانه آسفالت شرکت سازه آفرين کردستان</v>
      </c>
      <c r="D500" s="1">
        <v>8848</v>
      </c>
      <c r="E500" s="1">
        <v>132980</v>
      </c>
      <c r="F500" s="1">
        <v>95</v>
      </c>
      <c r="G500" s="1">
        <v>1020</v>
      </c>
      <c r="H500" s="1" t="str">
        <f>"95/12/23"</f>
        <v>95/12/23</v>
      </c>
      <c r="I500" s="1" t="str">
        <f t="shared" si="100"/>
        <v>كيلوگرم</v>
      </c>
      <c r="J500" s="1" t="str">
        <f t="shared" ref="J500:J519" si="110">"0000000076"</f>
        <v>0000000076</v>
      </c>
      <c r="K500" s="1" t="str">
        <f t="shared" ref="K500:K519" si="111">"قير 60/70 - فله"</f>
        <v>قير 60/70 - فله</v>
      </c>
      <c r="L500" s="1">
        <v>100</v>
      </c>
      <c r="M500" s="1" t="str">
        <f t="shared" si="101"/>
        <v>مخازن قير اصفهان</v>
      </c>
      <c r="N500" s="1">
        <v>11297</v>
      </c>
      <c r="O500" s="1">
        <v>50034235</v>
      </c>
      <c r="P500" s="1" t="str">
        <f>"  عمران تابش غرب"</f>
        <v xml:space="preserve">  عمران تابش غرب</v>
      </c>
      <c r="Q500" s="1">
        <v>62</v>
      </c>
      <c r="R500" s="1" t="str">
        <f t="shared" si="108"/>
        <v>فروش داخلي - سازمان بنيادمسكن انقلاب اسلامي</v>
      </c>
      <c r="S500" s="1" t="str">
        <f t="shared" si="102"/>
        <v>قرارداد فروش</v>
      </c>
      <c r="T500" s="1" t="str">
        <f t="shared" si="103"/>
        <v>ندارد</v>
      </c>
      <c r="U500" s="1" t="str">
        <f>"ميهن دوست عبداله(2842010)"</f>
        <v>ميهن دوست عبداله(2842010)</v>
      </c>
      <c r="V500" s="1">
        <v>956200357</v>
      </c>
      <c r="W500" s="1">
        <v>956200357</v>
      </c>
      <c r="X500" s="1" t="str">
        <f>"1395470711"</f>
        <v>1395470711</v>
      </c>
      <c r="Y500" s="1" t="str">
        <f>"95/12/23"</f>
        <v>95/12/23</v>
      </c>
      <c r="Z500" s="1" t="str">
        <f>"56549/د"</f>
        <v>56549/د</v>
      </c>
      <c r="AA500" s="1" t="str">
        <f t="shared" si="109"/>
        <v>بنيادمسكن انقلاب اسلامي</v>
      </c>
      <c r="AB500" s="1" t="str">
        <f>"95/12/21"</f>
        <v>95/12/21</v>
      </c>
      <c r="AC500" s="1" t="str">
        <f>"استان كرمانشاه"</f>
        <v>استان كرمانشاه</v>
      </c>
      <c r="AD500" s="1" t="str">
        <f>"95/12/22"</f>
        <v>95/12/22</v>
      </c>
      <c r="AE500" s="1" t="str">
        <f t="shared" si="107"/>
        <v>اختتام</v>
      </c>
      <c r="AF500" s="1" t="str">
        <f>""</f>
        <v/>
      </c>
      <c r="AG500" s="1" t="str">
        <f>""</f>
        <v/>
      </c>
      <c r="AH500" s="1" t="str">
        <f>""</f>
        <v/>
      </c>
      <c r="AI500" s="1" t="str">
        <f>""</f>
        <v/>
      </c>
      <c r="AJ500" s="1" t="str">
        <f>""</f>
        <v/>
      </c>
      <c r="AK500" s="1" t="str">
        <f>""</f>
        <v/>
      </c>
    </row>
    <row r="501" spans="1:37" x14ac:dyDescent="0.2">
      <c r="A501" s="1">
        <v>300000</v>
      </c>
      <c r="B501" s="1">
        <v>956200364</v>
      </c>
      <c r="C501" s="1" t="str">
        <f>"تخليه - کهگيلويه-دهدشت-روستاي خيرآباد-کارخانه آسفالت مظفر"</f>
        <v>تخليه - کهگيلويه-دهدشت-روستاي خيرآباد-کارخانه آسفالت مظفر</v>
      </c>
      <c r="D501" s="1">
        <v>8848</v>
      </c>
      <c r="E501" s="1">
        <v>298760</v>
      </c>
      <c r="F501" s="1">
        <v>95</v>
      </c>
      <c r="G501" s="1">
        <v>1240</v>
      </c>
      <c r="H501" s="1" t="str">
        <f>"95/12/23"</f>
        <v>95/12/23</v>
      </c>
      <c r="I501" s="1" t="str">
        <f t="shared" si="100"/>
        <v>كيلوگرم</v>
      </c>
      <c r="J501" s="1" t="str">
        <f t="shared" si="110"/>
        <v>0000000076</v>
      </c>
      <c r="K501" s="1" t="str">
        <f t="shared" si="111"/>
        <v>قير 60/70 - فله</v>
      </c>
      <c r="L501" s="1">
        <v>100</v>
      </c>
      <c r="M501" s="1" t="str">
        <f t="shared" si="101"/>
        <v>مخازن قير اصفهان</v>
      </c>
      <c r="N501" s="1">
        <v>11302</v>
      </c>
      <c r="O501" s="1">
        <v>50034153</v>
      </c>
      <c r="P501" s="1" t="str">
        <f>"  باربد کاژه"</f>
        <v xml:space="preserve">  باربد کاژه</v>
      </c>
      <c r="Q501" s="1">
        <v>62</v>
      </c>
      <c r="R501" s="1" t="str">
        <f t="shared" si="108"/>
        <v>فروش داخلي - سازمان بنيادمسكن انقلاب اسلامي</v>
      </c>
      <c r="S501" s="1" t="str">
        <f t="shared" si="102"/>
        <v>قرارداد فروش</v>
      </c>
      <c r="T501" s="1" t="str">
        <f t="shared" si="103"/>
        <v>ندارد</v>
      </c>
      <c r="U501" s="1" t="str">
        <f>"غلام نجفي سيامك‌‌‌‌‌‌(1881082)"</f>
        <v>غلام نجفي سيامك‌‌‌‌‌‌(1881082)</v>
      </c>
      <c r="V501" s="1">
        <v>956200364</v>
      </c>
      <c r="W501" s="1">
        <v>956200364</v>
      </c>
      <c r="X501" s="1" t="str">
        <f>"1395470439"</f>
        <v>1395470439</v>
      </c>
      <c r="Y501" s="1" t="str">
        <f>"95/12/23"</f>
        <v>95/12/23</v>
      </c>
      <c r="Z501" s="1" t="str">
        <f>"56767/د"</f>
        <v>56767/د</v>
      </c>
      <c r="AA501" s="1" t="str">
        <f t="shared" si="109"/>
        <v>بنيادمسكن انقلاب اسلامي</v>
      </c>
      <c r="AB501" s="1" t="str">
        <f>"95/12/21"</f>
        <v>95/12/21</v>
      </c>
      <c r="AC501" s="1" t="str">
        <f>"كهكيلويه و بوير احمد"</f>
        <v>كهكيلويه و بوير احمد</v>
      </c>
      <c r="AD501" s="1" t="str">
        <f>"95/12/22"</f>
        <v>95/12/22</v>
      </c>
      <c r="AE501" s="1" t="str">
        <f t="shared" si="107"/>
        <v>اختتام</v>
      </c>
      <c r="AF501" s="1" t="str">
        <f>""</f>
        <v/>
      </c>
      <c r="AG501" s="1" t="str">
        <f>""</f>
        <v/>
      </c>
      <c r="AH501" s="1" t="str">
        <f>""</f>
        <v/>
      </c>
      <c r="AI501" s="1" t="str">
        <f>""</f>
        <v/>
      </c>
      <c r="AJ501" s="1" t="str">
        <f>""</f>
        <v/>
      </c>
      <c r="AK501" s="1" t="str">
        <f>""</f>
        <v/>
      </c>
    </row>
    <row r="502" spans="1:37" x14ac:dyDescent="0.2">
      <c r="A502" s="1">
        <v>218000</v>
      </c>
      <c r="B502" s="1">
        <v>956200359</v>
      </c>
      <c r="C502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502" s="1">
        <v>8848</v>
      </c>
      <c r="E502" s="1">
        <v>218000</v>
      </c>
      <c r="F502" s="1">
        <v>95</v>
      </c>
      <c r="G502" s="1">
        <v>0</v>
      </c>
      <c r="H502" s="1" t="str">
        <f>"95/12/23"</f>
        <v>95/12/23</v>
      </c>
      <c r="I502" s="1" t="str">
        <f t="shared" si="100"/>
        <v>كيلوگرم</v>
      </c>
      <c r="J502" s="1" t="str">
        <f t="shared" si="110"/>
        <v>0000000076</v>
      </c>
      <c r="K502" s="1" t="str">
        <f t="shared" si="111"/>
        <v>قير 60/70 - فله</v>
      </c>
      <c r="L502" s="1">
        <v>100</v>
      </c>
      <c r="M502" s="1" t="str">
        <f t="shared" si="101"/>
        <v>مخازن قير اصفهان</v>
      </c>
      <c r="N502" s="1">
        <v>11303</v>
      </c>
      <c r="O502" s="1">
        <v>50034145</v>
      </c>
      <c r="P502" s="1" t="str">
        <f>"  برج و پل کيميا"</f>
        <v xml:space="preserve">  برج و پل کيميا</v>
      </c>
      <c r="Q502" s="1">
        <v>62</v>
      </c>
      <c r="R502" s="1" t="str">
        <f t="shared" si="108"/>
        <v>فروش داخلي - سازمان بنيادمسكن انقلاب اسلامي</v>
      </c>
      <c r="S502" s="1" t="str">
        <f t="shared" si="102"/>
        <v>قرارداد فروش</v>
      </c>
      <c r="T502" s="1" t="str">
        <f t="shared" si="103"/>
        <v>ندارد</v>
      </c>
      <c r="U502" s="1" t="str">
        <f>"ميهن دوست عبداله(2842010)"</f>
        <v>ميهن دوست عبداله(2842010)</v>
      </c>
      <c r="V502" s="1">
        <v>956200359</v>
      </c>
      <c r="W502" s="1">
        <v>956200359</v>
      </c>
      <c r="X502" s="1" t="str">
        <f>"1395470439"</f>
        <v>1395470439</v>
      </c>
      <c r="Y502" s="1" t="str">
        <f>"95/12/23"</f>
        <v>95/12/23</v>
      </c>
      <c r="Z502" s="1" t="str">
        <f>"56787/د"</f>
        <v>56787/د</v>
      </c>
      <c r="AA502" s="1" t="str">
        <f t="shared" si="109"/>
        <v>بنيادمسكن انقلاب اسلامي</v>
      </c>
      <c r="AB502" s="1" t="str">
        <f>"95/12/22"</f>
        <v>95/12/22</v>
      </c>
      <c r="AC502" s="1" t="str">
        <f>"استان كرمانشاه"</f>
        <v>استان كرمانشاه</v>
      </c>
      <c r="AD502" s="1" t="str">
        <f>"95/12/22"</f>
        <v>95/12/22</v>
      </c>
      <c r="AE502" s="1" t="str">
        <f t="shared" si="107"/>
        <v>اختتام</v>
      </c>
      <c r="AF502" s="1" t="str">
        <f>""</f>
        <v/>
      </c>
      <c r="AG502" s="1" t="str">
        <f>""</f>
        <v/>
      </c>
      <c r="AH502" s="1" t="str">
        <f>""</f>
        <v/>
      </c>
      <c r="AI502" s="1" t="str">
        <f>""</f>
        <v/>
      </c>
      <c r="AJ502" s="1" t="str">
        <f>""</f>
        <v/>
      </c>
      <c r="AK502" s="1" t="str">
        <f>""</f>
        <v/>
      </c>
    </row>
    <row r="503" spans="1:37" x14ac:dyDescent="0.2">
      <c r="A503" s="1">
        <v>41000</v>
      </c>
      <c r="B503" s="1">
        <v>956200387</v>
      </c>
      <c r="C503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503" s="1">
        <v>8848</v>
      </c>
      <c r="E503" s="1">
        <v>41000</v>
      </c>
      <c r="F503" s="1">
        <v>95</v>
      </c>
      <c r="G503" s="1">
        <v>0</v>
      </c>
      <c r="H503" s="1" t="str">
        <f>"95/12/24"</f>
        <v>95/12/24</v>
      </c>
      <c r="I503" s="1" t="str">
        <f t="shared" si="100"/>
        <v>كيلوگرم</v>
      </c>
      <c r="J503" s="1" t="str">
        <f t="shared" si="110"/>
        <v>0000000076</v>
      </c>
      <c r="K503" s="1" t="str">
        <f t="shared" si="111"/>
        <v>قير 60/70 - فله</v>
      </c>
      <c r="L503" s="1">
        <v>100</v>
      </c>
      <c r="M503" s="1" t="str">
        <f t="shared" si="101"/>
        <v>مخازن قير اصفهان</v>
      </c>
      <c r="N503" s="1">
        <v>11306</v>
      </c>
      <c r="O503" s="1">
        <v>50034208</v>
      </c>
      <c r="P503" s="1" t="str">
        <f>"  رابين راه امير"</f>
        <v xml:space="preserve">  رابين راه امير</v>
      </c>
      <c r="Q503" s="1">
        <v>62</v>
      </c>
      <c r="R503" s="1" t="str">
        <f t="shared" si="108"/>
        <v>فروش داخلي - سازمان بنيادمسكن انقلاب اسلامي</v>
      </c>
      <c r="S503" s="1" t="str">
        <f t="shared" si="102"/>
        <v>قرارداد فروش</v>
      </c>
      <c r="T503" s="1" t="str">
        <f t="shared" si="103"/>
        <v>ندارد</v>
      </c>
      <c r="U503" s="1" t="str">
        <f>"حاجيلوئي علي اصغر(2842019)"</f>
        <v>حاجيلوئي علي اصغر(2842019)</v>
      </c>
      <c r="V503" s="1">
        <v>956200387</v>
      </c>
      <c r="W503" s="1">
        <v>956200387</v>
      </c>
      <c r="X503" s="1" t="str">
        <f>"1395470885"</f>
        <v>1395470885</v>
      </c>
      <c r="Y503" s="1" t="str">
        <f>"95/12/24"</f>
        <v>95/12/24</v>
      </c>
      <c r="Z503" s="1" t="str">
        <f>"57106/د"</f>
        <v>57106/د</v>
      </c>
      <c r="AA503" s="1" t="str">
        <f t="shared" si="109"/>
        <v>بنيادمسكن انقلاب اسلامي</v>
      </c>
      <c r="AB503" s="1" t="str">
        <f>"95/12/22"</f>
        <v>95/12/22</v>
      </c>
      <c r="AC503" s="1" t="str">
        <f>"استان كرمانشاه"</f>
        <v>استان كرمانشاه</v>
      </c>
      <c r="AD503" s="1" t="str">
        <f>"95/12/23"</f>
        <v>95/12/23</v>
      </c>
      <c r="AE503" s="1" t="str">
        <f t="shared" si="107"/>
        <v>اختتام</v>
      </c>
      <c r="AF503" s="1" t="str">
        <f>""</f>
        <v/>
      </c>
      <c r="AG503" s="1" t="str">
        <f>""</f>
        <v/>
      </c>
      <c r="AH503" s="1" t="str">
        <f>""</f>
        <v/>
      </c>
      <c r="AI503" s="1" t="str">
        <f>""</f>
        <v/>
      </c>
      <c r="AJ503" s="1" t="str">
        <f>""</f>
        <v/>
      </c>
      <c r="AK503" s="1" t="str">
        <f>""</f>
        <v/>
      </c>
    </row>
    <row r="504" spans="1:37" x14ac:dyDescent="0.2">
      <c r="A504" s="1">
        <v>120000</v>
      </c>
      <c r="B504" s="1">
        <v>956200074</v>
      </c>
      <c r="C504" s="1" t="str">
        <f>"تخليه-ياسوج-کمربندي ياسوج-کارخانه آسفالت جوکار"</f>
        <v>تخليه-ياسوج-کمربندي ياسوج-کارخانه آسفالت جوکار</v>
      </c>
      <c r="D504" s="1">
        <v>6876</v>
      </c>
      <c r="E504" s="1">
        <v>119420</v>
      </c>
      <c r="F504" s="1">
        <v>95</v>
      </c>
      <c r="G504" s="1">
        <v>580</v>
      </c>
      <c r="H504" s="1" t="str">
        <f>"95/06/24"</f>
        <v>95/06/24</v>
      </c>
      <c r="I504" s="1" t="str">
        <f t="shared" si="100"/>
        <v>كيلوگرم</v>
      </c>
      <c r="J504" s="1" t="str">
        <f t="shared" si="110"/>
        <v>0000000076</v>
      </c>
      <c r="K504" s="1" t="str">
        <f t="shared" si="111"/>
        <v>قير 60/70 - فله</v>
      </c>
      <c r="L504" s="1">
        <v>100</v>
      </c>
      <c r="M504" s="1" t="str">
        <f t="shared" si="101"/>
        <v>مخازن قير اصفهان</v>
      </c>
      <c r="N504" s="1">
        <v>11063</v>
      </c>
      <c r="O504" s="1">
        <v>50031871</v>
      </c>
      <c r="P504" s="1" t="str">
        <f>"  مشاهير راه و پل"</f>
        <v xml:space="preserve">  مشاهير راه و پل</v>
      </c>
      <c r="Q504" s="1">
        <v>62</v>
      </c>
      <c r="R504" s="1" t="str">
        <f t="shared" si="108"/>
        <v>فروش داخلي - سازمان بنيادمسكن انقلاب اسلامي</v>
      </c>
      <c r="S504" s="1" t="str">
        <f t="shared" si="102"/>
        <v>قرارداد فروش</v>
      </c>
      <c r="T504" s="1" t="str">
        <f t="shared" si="103"/>
        <v>ندارد</v>
      </c>
      <c r="U504" s="1" t="str">
        <f>"غلام نجفي سيامك‌‌‌‌‌‌(1881082)"</f>
        <v>غلام نجفي سيامك‌‌‌‌‌‌(1881082)</v>
      </c>
      <c r="V504" s="1">
        <v>956200074</v>
      </c>
      <c r="W504" s="1">
        <v>956200074</v>
      </c>
      <c r="X504" s="1" t="str">
        <f>"1395431907"</f>
        <v>1395431907</v>
      </c>
      <c r="Y504" s="1" t="str">
        <f>"95/06/24"</f>
        <v>95/06/24</v>
      </c>
      <c r="Z504" s="1" t="str">
        <f>"26098/د"</f>
        <v>26098/د</v>
      </c>
      <c r="AA504" s="1" t="str">
        <f t="shared" si="109"/>
        <v>بنيادمسكن انقلاب اسلامي</v>
      </c>
      <c r="AB504" s="1" t="str">
        <f>"95/06/24"</f>
        <v>95/06/24</v>
      </c>
      <c r="AC504" s="1" t="str">
        <f>"كهكيلويه و بوير احمد"</f>
        <v>كهكيلويه و بوير احمد</v>
      </c>
      <c r="AD504" s="1" t="str">
        <f>"95/06/24"</f>
        <v>95/06/24</v>
      </c>
      <c r="AE504" s="1" t="str">
        <f t="shared" si="107"/>
        <v>اختتام</v>
      </c>
      <c r="AF504" s="1" t="str">
        <f>""</f>
        <v/>
      </c>
      <c r="AG504" s="1" t="str">
        <f>""</f>
        <v/>
      </c>
      <c r="AH504" s="1" t="str">
        <f>""</f>
        <v/>
      </c>
      <c r="AI504" s="1" t="str">
        <f>""</f>
        <v/>
      </c>
      <c r="AJ504" s="1" t="str">
        <f>""</f>
        <v/>
      </c>
      <c r="AK504" s="1" t="str">
        <f>""</f>
        <v/>
      </c>
    </row>
    <row r="505" spans="1:37" x14ac:dyDescent="0.2">
      <c r="A505" s="1">
        <v>155000</v>
      </c>
      <c r="B505" s="1">
        <v>956200435</v>
      </c>
      <c r="C505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505" s="1">
        <v>8848</v>
      </c>
      <c r="E505" s="1">
        <v>153440</v>
      </c>
      <c r="F505" s="1">
        <v>95</v>
      </c>
      <c r="G505" s="1">
        <v>1560</v>
      </c>
      <c r="H505" s="1" t="str">
        <f>"95/12/28"</f>
        <v>95/12/28</v>
      </c>
      <c r="I505" s="1" t="str">
        <f t="shared" si="100"/>
        <v>كيلوگرم</v>
      </c>
      <c r="J505" s="1" t="str">
        <f t="shared" si="110"/>
        <v>0000000076</v>
      </c>
      <c r="K505" s="1" t="str">
        <f t="shared" si="111"/>
        <v>قير 60/70 - فله</v>
      </c>
      <c r="L505" s="1">
        <v>100</v>
      </c>
      <c r="M505" s="1" t="str">
        <f t="shared" si="101"/>
        <v>مخازن قير اصفهان</v>
      </c>
      <c r="N505" s="1">
        <v>11318</v>
      </c>
      <c r="O505" s="1">
        <v>50034324</v>
      </c>
      <c r="P505" s="1" t="str">
        <f>"  زاويه سازان کوير"</f>
        <v xml:space="preserve">  زاويه سازان کوير</v>
      </c>
      <c r="Q505" s="1">
        <v>62</v>
      </c>
      <c r="R505" s="1" t="str">
        <f t="shared" si="108"/>
        <v>فروش داخلي - سازمان بنيادمسكن انقلاب اسلامي</v>
      </c>
      <c r="S505" s="1" t="str">
        <f t="shared" si="102"/>
        <v>قرارداد فروش</v>
      </c>
      <c r="T505" s="1" t="str">
        <f t="shared" si="103"/>
        <v>ندارد</v>
      </c>
      <c r="U505" s="1" t="str">
        <f>"قانعي محمدرضا(1011ج89)"</f>
        <v>قانعي محمدرضا(1011ج89)</v>
      </c>
      <c r="V505" s="1">
        <v>956200435</v>
      </c>
      <c r="W505" s="1">
        <v>956200435</v>
      </c>
      <c r="X505" s="1" t="str">
        <f>"1395470977"</f>
        <v>1395470977</v>
      </c>
      <c r="Y505" s="1" t="str">
        <f>"95/12/28"</f>
        <v>95/12/28</v>
      </c>
      <c r="Z505" s="1" t="str">
        <f>"57181/د"</f>
        <v>57181/د</v>
      </c>
      <c r="AA505" s="1" t="str">
        <f t="shared" si="109"/>
        <v>بنيادمسكن انقلاب اسلامي</v>
      </c>
      <c r="AB505" s="1" t="str">
        <f>"95/12/22"</f>
        <v>95/12/22</v>
      </c>
      <c r="AC505" s="1" t="str">
        <f>"استان كرمان"</f>
        <v>استان كرمان</v>
      </c>
      <c r="AD505" s="1" t="str">
        <f>"95/12/24"</f>
        <v>95/12/24</v>
      </c>
      <c r="AE505" s="1" t="str">
        <f t="shared" si="107"/>
        <v>اختتام</v>
      </c>
      <c r="AF505" s="1" t="str">
        <f>""</f>
        <v/>
      </c>
      <c r="AG505" s="1" t="str">
        <f>""</f>
        <v/>
      </c>
      <c r="AH505" s="1" t="str">
        <f>""</f>
        <v/>
      </c>
      <c r="AI505" s="1" t="str">
        <f>""</f>
        <v/>
      </c>
      <c r="AJ505" s="1" t="str">
        <f>""</f>
        <v/>
      </c>
      <c r="AK505" s="1" t="str">
        <f>""</f>
        <v/>
      </c>
    </row>
    <row r="506" spans="1:37" x14ac:dyDescent="0.2">
      <c r="A506" s="1">
        <v>75000</v>
      </c>
      <c r="B506" s="1">
        <v>956200041</v>
      </c>
      <c r="C506" s="1" t="str">
        <f>"تخليه-يزد-اردکان-کيلوتر 15جاده چک چک کارخانه ميثاق اردکان"</f>
        <v>تخليه-يزد-اردکان-کيلوتر 15جاده چک چک کارخانه ميثاق اردکان</v>
      </c>
      <c r="D506" s="1">
        <v>5950</v>
      </c>
      <c r="E506" s="1">
        <v>74580</v>
      </c>
      <c r="F506" s="1">
        <v>95</v>
      </c>
      <c r="G506" s="1">
        <v>420</v>
      </c>
      <c r="H506" s="1" t="str">
        <f>"95/04/05"</f>
        <v>95/04/05</v>
      </c>
      <c r="I506" s="1" t="str">
        <f t="shared" si="100"/>
        <v>كيلوگرم</v>
      </c>
      <c r="J506" s="1" t="str">
        <f t="shared" si="110"/>
        <v>0000000076</v>
      </c>
      <c r="K506" s="1" t="str">
        <f t="shared" si="111"/>
        <v>قير 60/70 - فله</v>
      </c>
      <c r="L506" s="1">
        <v>100</v>
      </c>
      <c r="M506" s="1" t="str">
        <f t="shared" si="101"/>
        <v>مخازن قير اصفهان</v>
      </c>
      <c r="N506" s="1">
        <v>11125</v>
      </c>
      <c r="O506" s="1">
        <v>50031101</v>
      </c>
      <c r="P506" s="1" t="str">
        <f>"  اهورا کلبه جهان نما"</f>
        <v xml:space="preserve">  اهورا کلبه جهان نما</v>
      </c>
      <c r="Q506" s="1">
        <v>62</v>
      </c>
      <c r="R506" s="1" t="str">
        <f t="shared" si="108"/>
        <v>فروش داخلي - سازمان بنيادمسكن انقلاب اسلامي</v>
      </c>
      <c r="S506" s="1" t="str">
        <f t="shared" si="102"/>
        <v>قرارداد فروش</v>
      </c>
      <c r="T506" s="1" t="str">
        <f t="shared" si="103"/>
        <v>ندارد</v>
      </c>
      <c r="U506" s="1" t="str">
        <f>"عزيزي صفر(1006ج 89)"</f>
        <v>عزيزي صفر(1006ج 89)</v>
      </c>
      <c r="V506" s="1">
        <v>956200041</v>
      </c>
      <c r="W506" s="1">
        <v>956200041</v>
      </c>
      <c r="X506" s="1" t="str">
        <f>"1395411205"</f>
        <v>1395411205</v>
      </c>
      <c r="Y506" s="1" t="str">
        <f>"95/04/05"</f>
        <v>95/04/05</v>
      </c>
      <c r="Z506" s="1" t="str">
        <f>"13159/د"</f>
        <v>13159/د</v>
      </c>
      <c r="AA506" s="1" t="str">
        <f t="shared" si="109"/>
        <v>بنيادمسكن انقلاب اسلامي</v>
      </c>
      <c r="AB506" s="1" t="str">
        <f>"95/04/02"</f>
        <v>95/04/02</v>
      </c>
      <c r="AC506" s="1" t="str">
        <f>"استان يزد"</f>
        <v>استان يزد</v>
      </c>
      <c r="AD506" s="1" t="str">
        <f>"95/04/05"</f>
        <v>95/04/05</v>
      </c>
      <c r="AE506" s="1" t="str">
        <f t="shared" si="107"/>
        <v>اختتام</v>
      </c>
      <c r="AF506" s="1" t="str">
        <f>""</f>
        <v/>
      </c>
      <c r="AG506" s="1" t="str">
        <f>""</f>
        <v/>
      </c>
      <c r="AH506" s="1" t="str">
        <f>""</f>
        <v/>
      </c>
      <c r="AI506" s="1" t="str">
        <f>""</f>
        <v/>
      </c>
      <c r="AJ506" s="1" t="str">
        <f>""</f>
        <v/>
      </c>
      <c r="AK506" s="1" t="str">
        <f>""</f>
        <v/>
      </c>
    </row>
    <row r="507" spans="1:37" x14ac:dyDescent="0.2">
      <c r="A507" s="1">
        <v>64000</v>
      </c>
      <c r="B507" s="1">
        <v>952000069</v>
      </c>
      <c r="C507" s="1" t="str">
        <f>"تخليه لرستان شهرستان دلفان شهرهفت چشمه روستاي تنگ پري كارخانه آسفالت ايمن كارسمير"</f>
        <v>تخليه لرستان شهرستان دلفان شهرهفت چشمه روستاي تنگ پري كارخانه آسفالت ايمن كارسمير</v>
      </c>
      <c r="D507" s="1">
        <v>6876</v>
      </c>
      <c r="E507" s="1">
        <v>63920</v>
      </c>
      <c r="F507" s="1">
        <v>95</v>
      </c>
      <c r="G507" s="1">
        <v>80</v>
      </c>
      <c r="H507" s="1" t="str">
        <f>"95/06/15"</f>
        <v>95/06/15</v>
      </c>
      <c r="I507" s="1" t="str">
        <f t="shared" si="100"/>
        <v>كيلوگرم</v>
      </c>
      <c r="J507" s="1" t="str">
        <f t="shared" si="110"/>
        <v>0000000076</v>
      </c>
      <c r="K507" s="1" t="str">
        <f t="shared" si="111"/>
        <v>قير 60/70 - فله</v>
      </c>
      <c r="L507" s="1">
        <v>100</v>
      </c>
      <c r="M507" s="1" t="str">
        <f t="shared" si="101"/>
        <v>مخازن قير اصفهان</v>
      </c>
      <c r="N507" s="1">
        <v>11175</v>
      </c>
      <c r="O507" s="1">
        <v>50031785</v>
      </c>
      <c r="P507" s="1" t="str">
        <f>"  شهرداري هفت چشمه"</f>
        <v xml:space="preserve">  شهرداري هفت چشمه</v>
      </c>
      <c r="Q507" s="1">
        <v>20</v>
      </c>
      <c r="R507" s="1" t="str">
        <f>"فروش داخلي - سازمان شهرداري ها و دهياري هاي كشور"</f>
        <v>فروش داخلي - سازمان شهرداري ها و دهياري هاي كشور</v>
      </c>
      <c r="S507" s="1" t="str">
        <f t="shared" si="102"/>
        <v>قرارداد فروش</v>
      </c>
      <c r="T507" s="1" t="str">
        <f t="shared" si="103"/>
        <v>ندارد</v>
      </c>
      <c r="U507" s="1" t="str">
        <f>"ريسماني حسن(1007ج89)"</f>
        <v>ريسماني حسن(1007ج89)</v>
      </c>
      <c r="V507" s="1">
        <v>952000069</v>
      </c>
      <c r="W507" s="1">
        <v>952000069</v>
      </c>
      <c r="X507" s="1" t="str">
        <f>"1395428997"</f>
        <v>1395428997</v>
      </c>
      <c r="Y507" s="1" t="str">
        <f>"95/06/15"</f>
        <v>95/06/15</v>
      </c>
      <c r="Z507" s="1" t="str">
        <f>"27681"</f>
        <v>27681</v>
      </c>
      <c r="AA507" s="1" t="str">
        <f>"شهرداريها"</f>
        <v>شهرداريها</v>
      </c>
      <c r="AB507" s="1" t="str">
        <f>"95/06/10"</f>
        <v>95/06/10</v>
      </c>
      <c r="AC507" s="1" t="str">
        <f>"لرستان"</f>
        <v>لرستان</v>
      </c>
      <c r="AD507" s="1" t="str">
        <f>"95/06/14"</f>
        <v>95/06/14</v>
      </c>
      <c r="AE507" s="1" t="str">
        <f t="shared" si="107"/>
        <v>اختتام</v>
      </c>
      <c r="AF507" s="1" t="str">
        <f>""</f>
        <v/>
      </c>
      <c r="AG507" s="1" t="str">
        <f>""</f>
        <v/>
      </c>
      <c r="AH507" s="1" t="str">
        <f>""</f>
        <v/>
      </c>
      <c r="AI507" s="1" t="str">
        <f>""</f>
        <v/>
      </c>
      <c r="AJ507" s="1" t="str">
        <f>""</f>
        <v/>
      </c>
      <c r="AK507" s="1" t="str">
        <f>""</f>
        <v/>
      </c>
    </row>
    <row r="508" spans="1:37" x14ac:dyDescent="0.2">
      <c r="A508" s="1">
        <v>66000</v>
      </c>
      <c r="B508" s="1">
        <v>952000195</v>
      </c>
      <c r="C508" s="1" t="str">
        <f>"تخليه لرستان -شهرستان شول آباد-شهرداري شول آباد"</f>
        <v>تخليه لرستان -شهرستان شول آباد-شهرداري شول آباد</v>
      </c>
      <c r="D508" s="1">
        <v>8023</v>
      </c>
      <c r="E508" s="1">
        <v>65660</v>
      </c>
      <c r="F508" s="1">
        <v>95</v>
      </c>
      <c r="G508" s="1">
        <v>340</v>
      </c>
      <c r="H508" s="1" t="str">
        <f>"95/08/15"</f>
        <v>95/08/15</v>
      </c>
      <c r="I508" s="1" t="str">
        <f t="shared" si="100"/>
        <v>كيلوگرم</v>
      </c>
      <c r="J508" s="1" t="str">
        <f t="shared" si="110"/>
        <v>0000000076</v>
      </c>
      <c r="K508" s="1" t="str">
        <f t="shared" si="111"/>
        <v>قير 60/70 - فله</v>
      </c>
      <c r="L508" s="1">
        <v>100</v>
      </c>
      <c r="M508" s="1" t="str">
        <f t="shared" si="101"/>
        <v>مخازن قير اصفهان</v>
      </c>
      <c r="N508" s="1">
        <v>11178</v>
      </c>
      <c r="O508" s="1">
        <v>50032495</v>
      </c>
      <c r="P508" s="1" t="str">
        <f>"  شهرداري شول آباد"</f>
        <v xml:space="preserve">  شهرداري شول آباد</v>
      </c>
      <c r="Q508" s="1">
        <v>20</v>
      </c>
      <c r="R508" s="1" t="str">
        <f>"فروش داخلي - سازمان شهرداري ها و دهياري هاي كشور"</f>
        <v>فروش داخلي - سازمان شهرداري ها و دهياري هاي كشور</v>
      </c>
      <c r="S508" s="1" t="str">
        <f t="shared" si="102"/>
        <v>قرارداد فروش</v>
      </c>
      <c r="T508" s="1" t="str">
        <f t="shared" si="103"/>
        <v>ندارد</v>
      </c>
      <c r="U508" s="1" t="str">
        <f>"رضائي كلهر حسن (1901099)"</f>
        <v>رضائي كلهر حسن (1901099)</v>
      </c>
      <c r="V508" s="1">
        <v>952000195</v>
      </c>
      <c r="W508" s="1">
        <v>952000195</v>
      </c>
      <c r="X508" s="1" t="str">
        <f>"1395443199"</f>
        <v>1395443199</v>
      </c>
      <c r="Y508" s="1" t="str">
        <f>"95/08/15"</f>
        <v>95/08/15</v>
      </c>
      <c r="Z508" s="1" t="str">
        <f>"39496"</f>
        <v>39496</v>
      </c>
      <c r="AA508" s="1" t="str">
        <f>"شهرداريها"</f>
        <v>شهرداريها</v>
      </c>
      <c r="AB508" s="1" t="str">
        <f>"95/08/11"</f>
        <v>95/08/11</v>
      </c>
      <c r="AC508" s="1" t="str">
        <f>"لرستان"</f>
        <v>لرستان</v>
      </c>
      <c r="AD508" s="1" t="str">
        <f>"95/08/15"</f>
        <v>95/08/15</v>
      </c>
      <c r="AE508" s="1" t="str">
        <f t="shared" si="107"/>
        <v>اختتام</v>
      </c>
      <c r="AF508" s="1" t="str">
        <f>""</f>
        <v/>
      </c>
      <c r="AG508" s="1" t="str">
        <f>""</f>
        <v/>
      </c>
      <c r="AH508" s="1" t="str">
        <f>""</f>
        <v/>
      </c>
      <c r="AI508" s="1" t="str">
        <f>""</f>
        <v/>
      </c>
      <c r="AJ508" s="1" t="str">
        <f>""</f>
        <v/>
      </c>
      <c r="AK508" s="1" t="str">
        <f>""</f>
        <v/>
      </c>
    </row>
    <row r="509" spans="1:37" x14ac:dyDescent="0.2">
      <c r="A509" s="1">
        <v>76000</v>
      </c>
      <c r="B509" s="1">
        <v>952000136</v>
      </c>
      <c r="C509" s="1" t="str">
        <f>"تخليه اصفهان -جاده سيمان سپاهان شهرك صنعتي اشترجان انتهاي خيابان يازده شركت ماژين سازه"</f>
        <v>تخليه اصفهان -جاده سيمان سپاهان شهرك صنعتي اشترجان انتهاي خيابان يازده شركت ماژين سازه</v>
      </c>
      <c r="D509" s="1">
        <v>6976</v>
      </c>
      <c r="E509" s="1">
        <v>75220</v>
      </c>
      <c r="F509" s="1">
        <v>95</v>
      </c>
      <c r="G509" s="1">
        <v>780</v>
      </c>
      <c r="H509" s="1" t="str">
        <f>"95/07/12"</f>
        <v>95/07/12</v>
      </c>
      <c r="I509" s="1" t="str">
        <f t="shared" si="100"/>
        <v>كيلوگرم</v>
      </c>
      <c r="J509" s="1" t="str">
        <f t="shared" si="110"/>
        <v>0000000076</v>
      </c>
      <c r="K509" s="1" t="str">
        <f t="shared" si="111"/>
        <v>قير 60/70 - فله</v>
      </c>
      <c r="L509" s="1">
        <v>100</v>
      </c>
      <c r="M509" s="1" t="str">
        <f t="shared" si="101"/>
        <v>مخازن قير اصفهان</v>
      </c>
      <c r="N509" s="1">
        <v>11195</v>
      </c>
      <c r="O509" s="1">
        <v>50032070</v>
      </c>
      <c r="P509" s="1" t="str">
        <f>"  شهرداري زازران"</f>
        <v xml:space="preserve">  شهرداري زازران</v>
      </c>
      <c r="Q509" s="1">
        <v>20</v>
      </c>
      <c r="R509" s="1" t="str">
        <f>"فروش داخلي - سازمان شهرداري ها و دهياري هاي كشور"</f>
        <v>فروش داخلي - سازمان شهرداري ها و دهياري هاي كشور</v>
      </c>
      <c r="S509" s="1" t="str">
        <f t="shared" si="102"/>
        <v>قرارداد فروش</v>
      </c>
      <c r="T509" s="1" t="str">
        <f t="shared" si="103"/>
        <v>ندارد</v>
      </c>
      <c r="U509" s="1" t="str">
        <f>"سيفي پور عبدالمجيد(1009ج89)"</f>
        <v>سيفي پور عبدالمجيد(1009ج89)</v>
      </c>
      <c r="V509" s="1">
        <v>952000136</v>
      </c>
      <c r="W509" s="1">
        <v>952000136</v>
      </c>
      <c r="X509" s="1" t="str">
        <f>"1395435390"</f>
        <v>1395435390</v>
      </c>
      <c r="Y509" s="1" t="str">
        <f>"95/07/12"</f>
        <v>95/07/12</v>
      </c>
      <c r="Z509" s="1" t="str">
        <f>"27815"</f>
        <v>27815</v>
      </c>
      <c r="AA509" s="1" t="str">
        <f>"شهرداريها"</f>
        <v>شهرداريها</v>
      </c>
      <c r="AB509" s="1" t="str">
        <f>"95/06/10"</f>
        <v>95/06/10</v>
      </c>
      <c r="AC509" s="1" t="str">
        <f>"استان اصفهان"</f>
        <v>استان اصفهان</v>
      </c>
      <c r="AD509" s="1" t="str">
        <f>"95/07/12"</f>
        <v>95/07/12</v>
      </c>
      <c r="AE509" s="1" t="str">
        <f t="shared" si="107"/>
        <v>اختتام</v>
      </c>
      <c r="AF509" s="1" t="str">
        <f>""</f>
        <v/>
      </c>
      <c r="AG509" s="1" t="str">
        <f>""</f>
        <v/>
      </c>
      <c r="AH509" s="1" t="str">
        <f>""</f>
        <v/>
      </c>
      <c r="AI509" s="1" t="str">
        <f>""</f>
        <v/>
      </c>
      <c r="AJ509" s="1" t="str">
        <f>""</f>
        <v/>
      </c>
      <c r="AK509" s="1" t="str">
        <f>""</f>
        <v/>
      </c>
    </row>
    <row r="510" spans="1:37" x14ac:dyDescent="0.2">
      <c r="A510" s="1">
        <v>75000</v>
      </c>
      <c r="B510" s="1">
        <v>952000138</v>
      </c>
      <c r="C510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510" s="1">
        <v>6976</v>
      </c>
      <c r="E510" s="1">
        <v>73200</v>
      </c>
      <c r="F510" s="1">
        <v>95</v>
      </c>
      <c r="G510" s="1">
        <v>1800</v>
      </c>
      <c r="H510" s="1" t="str">
        <f>"95/07/13"</f>
        <v>95/07/13</v>
      </c>
      <c r="I510" s="1" t="str">
        <f t="shared" si="100"/>
        <v>كيلوگرم</v>
      </c>
      <c r="J510" s="1" t="str">
        <f t="shared" si="110"/>
        <v>0000000076</v>
      </c>
      <c r="K510" s="1" t="str">
        <f t="shared" si="111"/>
        <v>قير 60/70 - فله</v>
      </c>
      <c r="L510" s="1">
        <v>100</v>
      </c>
      <c r="M510" s="1" t="str">
        <f t="shared" si="101"/>
        <v>مخازن قير اصفهان</v>
      </c>
      <c r="N510" s="1">
        <v>11197</v>
      </c>
      <c r="O510" s="1">
        <v>50032085</v>
      </c>
      <c r="P510" s="1" t="str">
        <f>"  شهرداري باغبادران"</f>
        <v xml:space="preserve">  شهرداري باغبادران</v>
      </c>
      <c r="Q510" s="1">
        <v>20</v>
      </c>
      <c r="R510" s="1" t="str">
        <f>"فروش داخلي - سازمان شهرداري ها و دهياري هاي كشور"</f>
        <v>فروش داخلي - سازمان شهرداري ها و دهياري هاي كشور</v>
      </c>
      <c r="S510" s="1" t="str">
        <f t="shared" si="102"/>
        <v>قرارداد فروش</v>
      </c>
      <c r="T510" s="1" t="str">
        <f t="shared" si="103"/>
        <v>ندارد</v>
      </c>
      <c r="U510" s="1" t="str">
        <f>"مرادي نجاتعلي(1020ج89)"</f>
        <v>مرادي نجاتعلي(1020ج89)</v>
      </c>
      <c r="V510" s="1">
        <v>952000138</v>
      </c>
      <c r="W510" s="1">
        <v>952000138</v>
      </c>
      <c r="X510" s="1" t="str">
        <f>"1395435602"</f>
        <v>1395435602</v>
      </c>
      <c r="Y510" s="1" t="str">
        <f>"95/07/13"</f>
        <v>95/07/13</v>
      </c>
      <c r="Z510" s="1" t="str">
        <f>"27780"</f>
        <v>27780</v>
      </c>
      <c r="AA510" s="1" t="str">
        <f>"شهرداريها"</f>
        <v>شهرداريها</v>
      </c>
      <c r="AB510" s="1" t="str">
        <f>"95/06/10"</f>
        <v>95/06/10</v>
      </c>
      <c r="AC510" s="1" t="str">
        <f>"استان اصفهان"</f>
        <v>استان اصفهان</v>
      </c>
      <c r="AD510" s="1" t="str">
        <f>"95/07/13"</f>
        <v>95/07/13</v>
      </c>
      <c r="AE510" s="1" t="str">
        <f t="shared" si="107"/>
        <v>اختتام</v>
      </c>
      <c r="AF510" s="1" t="str">
        <f>""</f>
        <v/>
      </c>
      <c r="AG510" s="1" t="str">
        <f>""</f>
        <v/>
      </c>
      <c r="AH510" s="1" t="str">
        <f>""</f>
        <v/>
      </c>
      <c r="AI510" s="1" t="str">
        <f>""</f>
        <v/>
      </c>
      <c r="AJ510" s="1" t="str">
        <f>""</f>
        <v/>
      </c>
      <c r="AK510" s="1" t="str">
        <f>""</f>
        <v/>
      </c>
    </row>
    <row r="511" spans="1:37" x14ac:dyDescent="0.2">
      <c r="A511" s="1">
        <v>69000</v>
      </c>
      <c r="B511" s="1">
        <v>952000166</v>
      </c>
      <c r="C511" s="1" t="str">
        <f>"تخليه -كهگيلويه وبويراحمدياسوج كارخانه آسفالت دارشاهي"</f>
        <v>تخليه -كهگيلويه وبويراحمدياسوج كارخانه آسفالت دارشاهي</v>
      </c>
      <c r="D511" s="1">
        <v>6976</v>
      </c>
      <c r="E511" s="1">
        <v>68200</v>
      </c>
      <c r="F511" s="1">
        <v>95</v>
      </c>
      <c r="G511" s="1">
        <v>800</v>
      </c>
      <c r="H511" s="1" t="str">
        <f>"95/07/19"</f>
        <v>95/07/19</v>
      </c>
      <c r="I511" s="1" t="str">
        <f t="shared" si="100"/>
        <v>كيلوگرم</v>
      </c>
      <c r="J511" s="1" t="str">
        <f t="shared" si="110"/>
        <v>0000000076</v>
      </c>
      <c r="K511" s="1" t="str">
        <f t="shared" si="111"/>
        <v>قير 60/70 - فله</v>
      </c>
      <c r="L511" s="1">
        <v>100</v>
      </c>
      <c r="M511" s="1" t="str">
        <f t="shared" si="101"/>
        <v>مخازن قير اصفهان</v>
      </c>
      <c r="N511" s="1">
        <v>11205</v>
      </c>
      <c r="O511" s="1">
        <v>50032163</v>
      </c>
      <c r="P511" s="1" t="str">
        <f>"  شهرداري مارگون"</f>
        <v xml:space="preserve">  شهرداري مارگون</v>
      </c>
      <c r="Q511" s="1">
        <v>20</v>
      </c>
      <c r="R511" s="1" t="str">
        <f>"فروش داخلي - سازمان شهرداري ها و دهياري هاي كشور"</f>
        <v>فروش داخلي - سازمان شهرداري ها و دهياري هاي كشور</v>
      </c>
      <c r="S511" s="1" t="str">
        <f t="shared" si="102"/>
        <v>قرارداد فروش</v>
      </c>
      <c r="T511" s="1" t="str">
        <f t="shared" si="103"/>
        <v>ندارد</v>
      </c>
      <c r="U511" s="1" t="str">
        <f>"دشت بشي پودنگ وبرادران رضا(4844014)"</f>
        <v>دشت بشي پودنگ وبرادران رضا(4844014)</v>
      </c>
      <c r="V511" s="1">
        <v>952000166</v>
      </c>
      <c r="W511" s="1">
        <v>952000166</v>
      </c>
      <c r="X511" s="1" t="str">
        <f>"1395436852"</f>
        <v>1395436852</v>
      </c>
      <c r="Y511" s="1" t="str">
        <f>"95/07/19"</f>
        <v>95/07/19</v>
      </c>
      <c r="Z511" s="1" t="str">
        <f>"34498"</f>
        <v>34498</v>
      </c>
      <c r="AA511" s="1" t="str">
        <f>"شهرداريها"</f>
        <v>شهرداريها</v>
      </c>
      <c r="AB511" s="1" t="str">
        <f>"95/07/17"</f>
        <v>95/07/17</v>
      </c>
      <c r="AC511" s="1" t="str">
        <f>"كهكيلويه و بوير احمد"</f>
        <v>كهكيلويه و بوير احمد</v>
      </c>
      <c r="AD511" s="1" t="str">
        <f>"95/07/18"</f>
        <v>95/07/18</v>
      </c>
      <c r="AE511" s="1" t="str">
        <f t="shared" si="107"/>
        <v>اختتام</v>
      </c>
      <c r="AF511" s="1" t="str">
        <f>""</f>
        <v/>
      </c>
      <c r="AG511" s="1" t="str">
        <f>""</f>
        <v/>
      </c>
      <c r="AH511" s="1" t="str">
        <f>""</f>
        <v/>
      </c>
      <c r="AI511" s="1" t="str">
        <f>""</f>
        <v/>
      </c>
      <c r="AJ511" s="1" t="str">
        <f>""</f>
        <v/>
      </c>
      <c r="AK511" s="1" t="str">
        <f>""</f>
        <v/>
      </c>
    </row>
    <row r="512" spans="1:37" x14ac:dyDescent="0.2">
      <c r="A512" s="1">
        <v>1145000</v>
      </c>
      <c r="B512" s="1">
        <v>956200109</v>
      </c>
      <c r="C512" s="1" t="str">
        <f>"تخليه - خراسان رضوي-گناباد-کيلومتر 30جاده گناباد -فردوس-کارخانه آسفالت کيهان راه شرق"</f>
        <v>تخليه - خراسان رضوي-گناباد-کيلومتر 30جاده گناباد -فردوس-کارخانه آسفالت کيهان راه شرق</v>
      </c>
      <c r="D512" s="1">
        <v>8861</v>
      </c>
      <c r="E512" s="1">
        <v>1142500</v>
      </c>
      <c r="F512" s="1">
        <v>95</v>
      </c>
      <c r="G512" s="1">
        <v>2500</v>
      </c>
      <c r="H512" s="1" t="str">
        <f>"95/10/05"</f>
        <v>95/10/05</v>
      </c>
      <c r="I512" s="1" t="str">
        <f t="shared" si="100"/>
        <v>كيلوگرم</v>
      </c>
      <c r="J512" s="1" t="str">
        <f t="shared" si="110"/>
        <v>0000000076</v>
      </c>
      <c r="K512" s="1" t="str">
        <f t="shared" si="111"/>
        <v>قير 60/70 - فله</v>
      </c>
      <c r="L512" s="1">
        <v>100</v>
      </c>
      <c r="M512" s="1" t="str">
        <f t="shared" si="101"/>
        <v>مخازن قير اصفهان</v>
      </c>
      <c r="N512" s="1">
        <v>11221</v>
      </c>
      <c r="O512" s="1">
        <v>50033142</v>
      </c>
      <c r="P512" s="1" t="str">
        <f>"  برش کوه آريا پارت"</f>
        <v xml:space="preserve">  برش کوه آريا پارت</v>
      </c>
      <c r="Q512" s="1">
        <v>62</v>
      </c>
      <c r="R512" s="1" t="str">
        <f t="shared" ref="R512:R518" si="112">"فروش داخلي - سازمان بنيادمسكن انقلاب اسلامي"</f>
        <v>فروش داخلي - سازمان بنيادمسكن انقلاب اسلامي</v>
      </c>
      <c r="S512" s="1" t="str">
        <f t="shared" si="102"/>
        <v>قرارداد فروش</v>
      </c>
      <c r="T512" s="1" t="str">
        <f t="shared" si="103"/>
        <v>ندارد</v>
      </c>
      <c r="U512" s="1" t="str">
        <f>"نظام دوست امين (1911102)"</f>
        <v>نظام دوست امين (1911102)</v>
      </c>
      <c r="V512" s="1">
        <v>956200109</v>
      </c>
      <c r="W512" s="1">
        <v>956200109</v>
      </c>
      <c r="X512" s="1" t="str">
        <f>"1395454456"</f>
        <v>1395454456</v>
      </c>
      <c r="Y512" s="1" t="str">
        <f>"95/10/05"</f>
        <v>95/10/05</v>
      </c>
      <c r="Z512" s="1" t="str">
        <f>"40139/د"</f>
        <v>40139/د</v>
      </c>
      <c r="AA512" s="1" t="str">
        <f t="shared" ref="AA512:AA518" si="113">"بنيادمسكن انقلاب اسلامي"</f>
        <v>بنيادمسكن انقلاب اسلامي</v>
      </c>
      <c r="AB512" s="1" t="str">
        <f>"95/09/23"</f>
        <v>95/09/23</v>
      </c>
      <c r="AC512" s="1" t="str">
        <f>"خراسان رضوي"</f>
        <v>خراسان رضوي</v>
      </c>
      <c r="AD512" s="1" t="str">
        <f>"95/10/05"</f>
        <v>95/10/05</v>
      </c>
      <c r="AE512" s="1" t="str">
        <f t="shared" si="107"/>
        <v>اختتام</v>
      </c>
      <c r="AF512" s="1" t="str">
        <f>""</f>
        <v/>
      </c>
      <c r="AG512" s="1" t="str">
        <f>""</f>
        <v/>
      </c>
      <c r="AH512" s="1" t="str">
        <f>""</f>
        <v/>
      </c>
      <c r="AI512" s="1" t="str">
        <f>""</f>
        <v/>
      </c>
      <c r="AJ512" s="1" t="str">
        <f>""</f>
        <v/>
      </c>
      <c r="AK512" s="1" t="str">
        <f>""</f>
        <v/>
      </c>
    </row>
    <row r="513" spans="1:37" x14ac:dyDescent="0.2">
      <c r="A513" s="1">
        <v>144000</v>
      </c>
      <c r="B513" s="1">
        <v>956200313</v>
      </c>
      <c r="C513" s="1" t="str">
        <f>"تخليه - تهران-جاده شهريار-ميدان معادن-خيابان روشن صنعت-کارخانه ابرراه گلستان"</f>
        <v>تخليه - تهران-جاده شهريار-ميدان معادن-خيابان روشن صنعت-کارخانه ابرراه گلستان</v>
      </c>
      <c r="D513" s="1">
        <v>8848</v>
      </c>
      <c r="E513" s="1">
        <v>142680</v>
      </c>
      <c r="F513" s="1">
        <v>95</v>
      </c>
      <c r="G513" s="1">
        <v>1320</v>
      </c>
      <c r="H513" s="1" t="str">
        <f>"95/12/11"</f>
        <v>95/12/11</v>
      </c>
      <c r="I513" s="1" t="str">
        <f t="shared" si="100"/>
        <v>كيلوگرم</v>
      </c>
      <c r="J513" s="1" t="str">
        <f t="shared" si="110"/>
        <v>0000000076</v>
      </c>
      <c r="K513" s="1" t="str">
        <f t="shared" si="111"/>
        <v>قير 60/70 - فله</v>
      </c>
      <c r="L513" s="1">
        <v>100</v>
      </c>
      <c r="M513" s="1" t="str">
        <f t="shared" si="101"/>
        <v>مخازن قير اصفهان</v>
      </c>
      <c r="N513" s="1">
        <v>11258</v>
      </c>
      <c r="O513" s="1">
        <v>50033958</v>
      </c>
      <c r="P513" s="1" t="str">
        <f>"  زرين سازان مستحکم"</f>
        <v xml:space="preserve">  زرين سازان مستحکم</v>
      </c>
      <c r="Q513" s="1">
        <v>62</v>
      </c>
      <c r="R513" s="1" t="str">
        <f t="shared" si="112"/>
        <v>فروش داخلي - سازمان بنيادمسكن انقلاب اسلامي</v>
      </c>
      <c r="S513" s="1" t="str">
        <f t="shared" si="102"/>
        <v>قرارداد فروش</v>
      </c>
      <c r="T513" s="1" t="str">
        <f t="shared" si="103"/>
        <v>ندارد</v>
      </c>
      <c r="U513" s="1" t="str">
        <f>"قراباغي علي اشرف(1901091)"</f>
        <v>قراباغي علي اشرف(1901091)</v>
      </c>
      <c r="V513" s="1">
        <v>956200313</v>
      </c>
      <c r="W513" s="1">
        <v>956200313</v>
      </c>
      <c r="X513" s="1" t="str">
        <f>"1395468778"</f>
        <v>1395468778</v>
      </c>
      <c r="Y513" s="1" t="str">
        <f>"95/12/11"</f>
        <v>95/12/11</v>
      </c>
      <c r="Z513" s="1" t="str">
        <f>"54531/د"</f>
        <v>54531/د</v>
      </c>
      <c r="AA513" s="1" t="str">
        <f t="shared" si="113"/>
        <v>بنيادمسكن انقلاب اسلامي</v>
      </c>
      <c r="AB513" s="1" t="str">
        <f>"95/12/10"</f>
        <v>95/12/10</v>
      </c>
      <c r="AC513" s="1" t="str">
        <f>"استان تهران"</f>
        <v>استان تهران</v>
      </c>
      <c r="AD513" s="1" t="str">
        <f>"95/12/11"</f>
        <v>95/12/11</v>
      </c>
      <c r="AE513" s="1" t="str">
        <f t="shared" si="107"/>
        <v>اختتام</v>
      </c>
      <c r="AF513" s="1" t="str">
        <f>""</f>
        <v/>
      </c>
      <c r="AG513" s="1" t="str">
        <f>""</f>
        <v/>
      </c>
      <c r="AH513" s="1" t="str">
        <f>""</f>
        <v/>
      </c>
      <c r="AI513" s="1" t="str">
        <f>""</f>
        <v/>
      </c>
      <c r="AJ513" s="1" t="str">
        <f>""</f>
        <v/>
      </c>
      <c r="AK513" s="1" t="str">
        <f>""</f>
        <v/>
      </c>
    </row>
    <row r="514" spans="1:37" x14ac:dyDescent="0.2">
      <c r="A514" s="1">
        <v>136000</v>
      </c>
      <c r="B514" s="1">
        <v>956200249</v>
      </c>
      <c r="C514" s="1" t="str">
        <f>"تخليه - تهران -پاکدشت-جمال آباد -کارخانه آبادراهان بهنام"</f>
        <v>تخليه - تهران -پاکدشت-جمال آباد -کارخانه آبادراهان بهنام</v>
      </c>
      <c r="D514" s="1">
        <v>9361</v>
      </c>
      <c r="E514" s="1">
        <v>136000</v>
      </c>
      <c r="F514" s="1">
        <v>95</v>
      </c>
      <c r="G514" s="1">
        <v>0</v>
      </c>
      <c r="H514" s="1" t="str">
        <f>"95/11/27"</f>
        <v>95/11/27</v>
      </c>
      <c r="I514" s="1" t="str">
        <f t="shared" ref="I514:I577" si="114">"كيلوگرم"</f>
        <v>كيلوگرم</v>
      </c>
      <c r="J514" s="1" t="str">
        <f t="shared" si="110"/>
        <v>0000000076</v>
      </c>
      <c r="K514" s="1" t="str">
        <f t="shared" si="111"/>
        <v>قير 60/70 - فله</v>
      </c>
      <c r="L514" s="1">
        <v>100</v>
      </c>
      <c r="M514" s="1" t="str">
        <f t="shared" si="101"/>
        <v>مخازن قير اصفهان</v>
      </c>
      <c r="N514" s="1">
        <v>11262</v>
      </c>
      <c r="O514" s="1">
        <v>50033782</v>
      </c>
      <c r="P514" s="1" t="str">
        <f>"  تدبير سازه پرگاس"</f>
        <v xml:space="preserve">  تدبير سازه پرگاس</v>
      </c>
      <c r="Q514" s="1">
        <v>62</v>
      </c>
      <c r="R514" s="1" t="str">
        <f t="shared" si="112"/>
        <v>فروش داخلي - سازمان بنيادمسكن انقلاب اسلامي</v>
      </c>
      <c r="S514" s="1" t="str">
        <f t="shared" ref="S514:S577" si="115">"قرارداد فروش"</f>
        <v>قرارداد فروش</v>
      </c>
      <c r="T514" s="1" t="str">
        <f t="shared" ref="T514:T577" si="116">"ندارد"</f>
        <v>ندارد</v>
      </c>
      <c r="U514" s="1" t="str">
        <f>"حاج صادقي باقر(1841027)"</f>
        <v>حاج صادقي باقر(1841027)</v>
      </c>
      <c r="V514" s="1">
        <v>956200249</v>
      </c>
      <c r="W514" s="1">
        <v>956200249</v>
      </c>
      <c r="X514" s="1" t="str">
        <f>"1395465843"</f>
        <v>1395465843</v>
      </c>
      <c r="Y514" s="1" t="str">
        <f>"95/11/27"</f>
        <v>95/11/27</v>
      </c>
      <c r="Z514" s="1" t="str">
        <f>"51488/د"</f>
        <v>51488/د</v>
      </c>
      <c r="AA514" s="1" t="str">
        <f t="shared" si="113"/>
        <v>بنيادمسكن انقلاب اسلامي</v>
      </c>
      <c r="AB514" s="1" t="str">
        <f>"95/11/26"</f>
        <v>95/11/26</v>
      </c>
      <c r="AC514" s="1" t="str">
        <f>"استان تهران"</f>
        <v>استان تهران</v>
      </c>
      <c r="AD514" s="1" t="str">
        <f>"95/11/27"</f>
        <v>95/11/27</v>
      </c>
      <c r="AE514" s="1" t="str">
        <f t="shared" si="107"/>
        <v>اختتام</v>
      </c>
      <c r="AF514" s="1" t="str">
        <f>""</f>
        <v/>
      </c>
      <c r="AG514" s="1" t="str">
        <f>""</f>
        <v/>
      </c>
      <c r="AH514" s="1" t="str">
        <f>""</f>
        <v/>
      </c>
      <c r="AI514" s="1" t="str">
        <f>""</f>
        <v/>
      </c>
      <c r="AJ514" s="1" t="str">
        <f>""</f>
        <v/>
      </c>
      <c r="AK514" s="1" t="str">
        <f>""</f>
        <v/>
      </c>
    </row>
    <row r="515" spans="1:37" x14ac:dyDescent="0.2">
      <c r="A515" s="1">
        <v>117000</v>
      </c>
      <c r="B515" s="1">
        <v>956200354</v>
      </c>
      <c r="C515" s="1" t="str">
        <f>"تخليه-کرمانشاه-کيلومتر 13 جاده سراب نيلوفر تقاطع سه راهي شاهيني-کارخانه آسفالت شرکت سازه آفرين کردستان"</f>
        <v>تخليه-کرمانشاه-کيلومتر 13 جاده سراب نيلوفر تقاطع سه راهي شاهيني-کارخانه آسفالت شرکت سازه آفرين کردستان</v>
      </c>
      <c r="D515" s="1">
        <v>8848</v>
      </c>
      <c r="E515" s="1">
        <v>117000</v>
      </c>
      <c r="F515" s="1">
        <v>95</v>
      </c>
      <c r="G515" s="1">
        <v>0</v>
      </c>
      <c r="H515" s="1" t="str">
        <f>"95/12/23"</f>
        <v>95/12/23</v>
      </c>
      <c r="I515" s="1" t="str">
        <f t="shared" si="114"/>
        <v>كيلوگرم</v>
      </c>
      <c r="J515" s="1" t="str">
        <f t="shared" si="110"/>
        <v>0000000076</v>
      </c>
      <c r="K515" s="1" t="str">
        <f t="shared" si="111"/>
        <v>قير 60/70 - فله</v>
      </c>
      <c r="L515" s="1">
        <v>100</v>
      </c>
      <c r="M515" s="1" t="str">
        <f t="shared" si="101"/>
        <v>مخازن قير اصفهان</v>
      </c>
      <c r="N515" s="1">
        <v>11297</v>
      </c>
      <c r="O515" s="1">
        <v>50034229</v>
      </c>
      <c r="P515" s="1" t="str">
        <f>"  عمران تابش غرب"</f>
        <v xml:space="preserve">  عمران تابش غرب</v>
      </c>
      <c r="Q515" s="1">
        <v>62</v>
      </c>
      <c r="R515" s="1" t="str">
        <f t="shared" si="112"/>
        <v>فروش داخلي - سازمان بنيادمسكن انقلاب اسلامي</v>
      </c>
      <c r="S515" s="1" t="str">
        <f t="shared" si="115"/>
        <v>قرارداد فروش</v>
      </c>
      <c r="T515" s="1" t="str">
        <f t="shared" si="116"/>
        <v>ندارد</v>
      </c>
      <c r="U515" s="1" t="str">
        <f>"ميهن دوست عبداله(2842010)"</f>
        <v>ميهن دوست عبداله(2842010)</v>
      </c>
      <c r="V515" s="1">
        <v>956200354</v>
      </c>
      <c r="W515" s="1">
        <v>956200354</v>
      </c>
      <c r="X515" s="1" t="str">
        <f>"1395470711"</f>
        <v>1395470711</v>
      </c>
      <c r="Y515" s="1" t="str">
        <f>"95/12/23"</f>
        <v>95/12/23</v>
      </c>
      <c r="Z515" s="1" t="str">
        <f>"56545/د"</f>
        <v>56545/د</v>
      </c>
      <c r="AA515" s="1" t="str">
        <f t="shared" si="113"/>
        <v>بنيادمسكن انقلاب اسلامي</v>
      </c>
      <c r="AB515" s="1" t="str">
        <f>"95/12/21"</f>
        <v>95/12/21</v>
      </c>
      <c r="AC515" s="1" t="str">
        <f>"استان كرمانشاه"</f>
        <v>استان كرمانشاه</v>
      </c>
      <c r="AD515" s="1" t="str">
        <f>"95/12/21"</f>
        <v>95/12/21</v>
      </c>
      <c r="AE515" s="1" t="str">
        <f t="shared" si="107"/>
        <v>اختتام</v>
      </c>
      <c r="AF515" s="1" t="str">
        <f>""</f>
        <v/>
      </c>
      <c r="AG515" s="1" t="str">
        <f>""</f>
        <v/>
      </c>
      <c r="AH515" s="1" t="str">
        <f>""</f>
        <v/>
      </c>
      <c r="AI515" s="1" t="str">
        <f>""</f>
        <v/>
      </c>
      <c r="AJ515" s="1" t="str">
        <f>""</f>
        <v/>
      </c>
      <c r="AK515" s="1" t="str">
        <f>""</f>
        <v/>
      </c>
    </row>
    <row r="516" spans="1:37" x14ac:dyDescent="0.2">
      <c r="A516" s="1">
        <v>60000</v>
      </c>
      <c r="B516" s="1">
        <v>956200389</v>
      </c>
      <c r="C516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516" s="1">
        <v>8848</v>
      </c>
      <c r="E516" s="1">
        <v>60000</v>
      </c>
      <c r="F516" s="1">
        <v>95</v>
      </c>
      <c r="G516" s="1">
        <v>0</v>
      </c>
      <c r="H516" s="1" t="str">
        <f>"95/12/24"</f>
        <v>95/12/24</v>
      </c>
      <c r="I516" s="1" t="str">
        <f t="shared" si="114"/>
        <v>كيلوگرم</v>
      </c>
      <c r="J516" s="1" t="str">
        <f t="shared" si="110"/>
        <v>0000000076</v>
      </c>
      <c r="K516" s="1" t="str">
        <f t="shared" si="111"/>
        <v>قير 60/70 - فله</v>
      </c>
      <c r="L516" s="1">
        <v>100</v>
      </c>
      <c r="M516" s="1" t="str">
        <f t="shared" si="101"/>
        <v>مخازن قير اصفهان</v>
      </c>
      <c r="N516" s="1">
        <v>11306</v>
      </c>
      <c r="O516" s="1">
        <v>50034210</v>
      </c>
      <c r="P516" s="1" t="str">
        <f>"  رابين راه امير"</f>
        <v xml:space="preserve">  رابين راه امير</v>
      </c>
      <c r="Q516" s="1">
        <v>62</v>
      </c>
      <c r="R516" s="1" t="str">
        <f t="shared" si="112"/>
        <v>فروش داخلي - سازمان بنيادمسكن انقلاب اسلامي</v>
      </c>
      <c r="S516" s="1" t="str">
        <f t="shared" si="115"/>
        <v>قرارداد فروش</v>
      </c>
      <c r="T516" s="1" t="str">
        <f t="shared" si="116"/>
        <v>ندارد</v>
      </c>
      <c r="U516" s="1" t="str">
        <f>"حاجيلوئي علي اصغر(2842019)"</f>
        <v>حاجيلوئي علي اصغر(2842019)</v>
      </c>
      <c r="V516" s="1">
        <v>956200389</v>
      </c>
      <c r="W516" s="1">
        <v>956200389</v>
      </c>
      <c r="X516" s="1" t="str">
        <f>"1395470885"</f>
        <v>1395470885</v>
      </c>
      <c r="Y516" s="1" t="str">
        <f>"95/12/24"</f>
        <v>95/12/24</v>
      </c>
      <c r="Z516" s="1" t="str">
        <f>"57108/د"</f>
        <v>57108/د</v>
      </c>
      <c r="AA516" s="1" t="str">
        <f t="shared" si="113"/>
        <v>بنيادمسكن انقلاب اسلامي</v>
      </c>
      <c r="AB516" s="1" t="str">
        <f>"95/12/22"</f>
        <v>95/12/22</v>
      </c>
      <c r="AC516" s="1" t="str">
        <f>"استان كرمانشاه"</f>
        <v>استان كرمانشاه</v>
      </c>
      <c r="AD516" s="1" t="str">
        <f>"95/12/23"</f>
        <v>95/12/23</v>
      </c>
      <c r="AE516" s="1" t="str">
        <f t="shared" si="107"/>
        <v>اختتام</v>
      </c>
      <c r="AF516" s="1" t="str">
        <f>""</f>
        <v/>
      </c>
      <c r="AG516" s="1" t="str">
        <f>""</f>
        <v/>
      </c>
      <c r="AH516" s="1" t="str">
        <f>""</f>
        <v/>
      </c>
      <c r="AI516" s="1" t="str">
        <f>""</f>
        <v/>
      </c>
      <c r="AJ516" s="1" t="str">
        <f>""</f>
        <v/>
      </c>
      <c r="AK516" s="1" t="str">
        <f>""</f>
        <v/>
      </c>
    </row>
    <row r="517" spans="1:37" x14ac:dyDescent="0.2">
      <c r="A517" s="1">
        <v>61000</v>
      </c>
      <c r="B517" s="1">
        <v>956200425</v>
      </c>
      <c r="C517" s="1" t="str">
        <f>"تخليه  كرمانشاه روانسركارخانه آسفالت يداله محمدي"</f>
        <v>تخليه  كرمانشاه روانسركارخانه آسفالت يداله محمدي</v>
      </c>
      <c r="D517" s="1">
        <v>8848</v>
      </c>
      <c r="E517" s="1">
        <v>61000</v>
      </c>
      <c r="F517" s="1">
        <v>95</v>
      </c>
      <c r="G517" s="1">
        <v>0</v>
      </c>
      <c r="H517" s="1" t="str">
        <f>"95/12/28"</f>
        <v>95/12/28</v>
      </c>
      <c r="I517" s="1" t="str">
        <f t="shared" si="114"/>
        <v>كيلوگرم</v>
      </c>
      <c r="J517" s="1" t="str">
        <f t="shared" si="110"/>
        <v>0000000076</v>
      </c>
      <c r="K517" s="1" t="str">
        <f t="shared" si="111"/>
        <v>قير 60/70 - فله</v>
      </c>
      <c r="L517" s="1">
        <v>100</v>
      </c>
      <c r="M517" s="1" t="str">
        <f t="shared" si="101"/>
        <v>مخازن قير اصفهان</v>
      </c>
      <c r="N517" s="1">
        <v>11324</v>
      </c>
      <c r="O517" s="1">
        <v>50034314</v>
      </c>
      <c r="P517" s="1" t="str">
        <f>"  کاشانه سازان امير"</f>
        <v xml:space="preserve">  کاشانه سازان امير</v>
      </c>
      <c r="Q517" s="1">
        <v>62</v>
      </c>
      <c r="R517" s="1" t="str">
        <f t="shared" si="112"/>
        <v>فروش داخلي - سازمان بنيادمسكن انقلاب اسلامي</v>
      </c>
      <c r="S517" s="1" t="str">
        <f t="shared" si="115"/>
        <v>قرارداد فروش</v>
      </c>
      <c r="T517" s="1" t="str">
        <f t="shared" si="116"/>
        <v>ندارد</v>
      </c>
      <c r="U517" s="1" t="str">
        <f>"حاجيلوئي علي اصغر(2842019)"</f>
        <v>حاجيلوئي علي اصغر(2842019)</v>
      </c>
      <c r="V517" s="1">
        <v>956200425</v>
      </c>
      <c r="W517" s="1">
        <v>956200425</v>
      </c>
      <c r="X517" s="1" t="str">
        <f>"1395470952"</f>
        <v>1395470952</v>
      </c>
      <c r="Y517" s="1" t="str">
        <f>"95/12/28"</f>
        <v>95/12/28</v>
      </c>
      <c r="Z517" s="1" t="str">
        <f>"57195/د"</f>
        <v>57195/د</v>
      </c>
      <c r="AA517" s="1" t="str">
        <f t="shared" si="113"/>
        <v>بنيادمسكن انقلاب اسلامي</v>
      </c>
      <c r="AB517" s="1" t="str">
        <f>"95/12/22"</f>
        <v>95/12/22</v>
      </c>
      <c r="AC517" s="1" t="str">
        <f>"استان كرمانشاه"</f>
        <v>استان كرمانشاه</v>
      </c>
      <c r="AD517" s="1" t="str">
        <f>"95/12/24"</f>
        <v>95/12/24</v>
      </c>
      <c r="AE517" s="1" t="str">
        <f t="shared" si="107"/>
        <v>اختتام</v>
      </c>
      <c r="AF517" s="1" t="str">
        <f>""</f>
        <v/>
      </c>
      <c r="AG517" s="1" t="str">
        <f>""</f>
        <v/>
      </c>
      <c r="AH517" s="1" t="str">
        <f>""</f>
        <v/>
      </c>
      <c r="AI517" s="1" t="str">
        <f>""</f>
        <v/>
      </c>
      <c r="AJ517" s="1" t="str">
        <f>""</f>
        <v/>
      </c>
      <c r="AK517" s="1" t="str">
        <f>""</f>
        <v/>
      </c>
    </row>
    <row r="518" spans="1:37" x14ac:dyDescent="0.2">
      <c r="A518" s="1">
        <v>350000</v>
      </c>
      <c r="B518" s="1">
        <v>956200137</v>
      </c>
      <c r="C518" s="1" t="str">
        <f>"تخليه -اصفهان - كاشان - كيلومتر 19محور كاشان - قم شركت درم"</f>
        <v>تخليه -اصفهان - كاشان - كيلومتر 19محور كاشان - قم شركت درم</v>
      </c>
      <c r="D518" s="1">
        <v>8861</v>
      </c>
      <c r="E518" s="1">
        <v>348660</v>
      </c>
      <c r="F518" s="1">
        <v>95</v>
      </c>
      <c r="G518" s="1">
        <v>1340</v>
      </c>
      <c r="H518" s="1" t="str">
        <f>"95/10/13"</f>
        <v>95/10/13</v>
      </c>
      <c r="I518" s="1" t="str">
        <f t="shared" si="114"/>
        <v>كيلوگرم</v>
      </c>
      <c r="J518" s="1" t="str">
        <f t="shared" si="110"/>
        <v>0000000076</v>
      </c>
      <c r="K518" s="1" t="str">
        <f t="shared" si="111"/>
        <v>قير 60/70 - فله</v>
      </c>
      <c r="L518" s="1">
        <v>100</v>
      </c>
      <c r="M518" s="1" t="str">
        <f t="shared" si="101"/>
        <v>مخازن قير اصفهان</v>
      </c>
      <c r="N518" s="1">
        <v>8073</v>
      </c>
      <c r="O518" s="1">
        <v>50033271</v>
      </c>
      <c r="P518" s="1" t="str">
        <f>"  درم"</f>
        <v xml:space="preserve">  درم</v>
      </c>
      <c r="Q518" s="1">
        <v>62</v>
      </c>
      <c r="R518" s="1" t="str">
        <f t="shared" si="112"/>
        <v>فروش داخلي - سازمان بنيادمسكن انقلاب اسلامي</v>
      </c>
      <c r="S518" s="1" t="str">
        <f t="shared" si="115"/>
        <v>قرارداد فروش</v>
      </c>
      <c r="T518" s="1" t="str">
        <f t="shared" si="116"/>
        <v>ندارد</v>
      </c>
      <c r="U518" s="1" t="str">
        <f>"كبيري رحمت اله(1024ج89)"</f>
        <v>كبيري رحمت اله(1024ج89)</v>
      </c>
      <c r="V518" s="1">
        <v>956200137</v>
      </c>
      <c r="W518" s="1">
        <v>956200137</v>
      </c>
      <c r="X518" s="1" t="str">
        <f>"1395456365"</f>
        <v>1395456365</v>
      </c>
      <c r="Y518" s="1" t="str">
        <f>"95/10/13"</f>
        <v>95/10/13</v>
      </c>
      <c r="Z518" s="1" t="str">
        <f>"43222/د"</f>
        <v>43222/د</v>
      </c>
      <c r="AA518" s="1" t="str">
        <f t="shared" si="113"/>
        <v>بنيادمسكن انقلاب اسلامي</v>
      </c>
      <c r="AB518" s="1" t="str">
        <f>"95/10/12"</f>
        <v>95/10/12</v>
      </c>
      <c r="AC518" s="1" t="str">
        <f>"استان اصفهان"</f>
        <v>استان اصفهان</v>
      </c>
      <c r="AD518" s="1" t="str">
        <f>"95/10/13"</f>
        <v>95/10/13</v>
      </c>
      <c r="AE518" s="1" t="str">
        <f t="shared" si="107"/>
        <v>اختتام</v>
      </c>
      <c r="AF518" s="1" t="str">
        <f>""</f>
        <v/>
      </c>
      <c r="AG518" s="1" t="str">
        <f>""</f>
        <v/>
      </c>
      <c r="AH518" s="1" t="str">
        <f>""</f>
        <v/>
      </c>
      <c r="AI518" s="1" t="str">
        <f>""</f>
        <v/>
      </c>
      <c r="AJ518" s="1" t="str">
        <f>""</f>
        <v/>
      </c>
      <c r="AK518" s="1" t="str">
        <f>""</f>
        <v/>
      </c>
    </row>
    <row r="519" spans="1:37" x14ac:dyDescent="0.2">
      <c r="A519" s="1">
        <v>20000</v>
      </c>
      <c r="B519" s="1">
        <v>951100194</v>
      </c>
      <c r="C519" s="1" t="str">
        <f>"تخليه - کيلومتر 40 جاده بندرعباس-بندرلنگه-شهرک صنعتي خليج فارس-شرکت هميارجي يزد"</f>
        <v>تخليه - کيلومتر 40 جاده بندرعباس-بندرلنگه-شهرک صنعتي خليج فارس-شرکت هميارجي يزد</v>
      </c>
      <c r="D519" s="1">
        <v>9361</v>
      </c>
      <c r="E519" s="1">
        <v>19100</v>
      </c>
      <c r="F519" s="1">
        <v>95</v>
      </c>
      <c r="G519" s="1">
        <v>900</v>
      </c>
      <c r="H519" s="1" t="str">
        <f>"95/12/23"</f>
        <v>95/12/23</v>
      </c>
      <c r="I519" s="1" t="str">
        <f t="shared" si="114"/>
        <v>كيلوگرم</v>
      </c>
      <c r="J519" s="1" t="str">
        <f t="shared" si="110"/>
        <v>0000000076</v>
      </c>
      <c r="K519" s="1" t="str">
        <f t="shared" si="111"/>
        <v>قير 60/70 - فله</v>
      </c>
      <c r="L519" s="1">
        <v>104</v>
      </c>
      <c r="M519" s="1" t="str">
        <f>"انبار قير بندرعباس"</f>
        <v>انبار قير بندرعباس</v>
      </c>
      <c r="N519" s="1">
        <v>10092</v>
      </c>
      <c r="O519" s="1">
        <v>50034201</v>
      </c>
      <c r="P519" s="1" t="str">
        <f>"  هميارجي يزد"</f>
        <v xml:space="preserve">  هميارجي يزد</v>
      </c>
      <c r="Q519" s="1">
        <v>11</v>
      </c>
      <c r="R519" s="1" t="str">
        <f>"فروش داخلي تهران - بورس"</f>
        <v>فروش داخلي تهران - بورس</v>
      </c>
      <c r="S519" s="1" t="str">
        <f t="shared" si="115"/>
        <v>قرارداد فروش</v>
      </c>
      <c r="T519" s="1" t="str">
        <f t="shared" si="116"/>
        <v>ندارد</v>
      </c>
      <c r="U519" s="1" t="str">
        <f>"تعاوني جم گستر (1001 ج 89)"</f>
        <v>تعاوني جم گستر (1001 ج 89)</v>
      </c>
      <c r="V519" s="1">
        <v>951100194</v>
      </c>
      <c r="W519" s="1">
        <v>951100194</v>
      </c>
      <c r="X519" s="1" t="str">
        <f>"1395464387"</f>
        <v>1395464387</v>
      </c>
      <c r="Y519" s="1" t="str">
        <f>"95/12/23"</f>
        <v>95/12/23</v>
      </c>
      <c r="Z519" s="1" t="str">
        <f>"95-35160"</f>
        <v>95-35160</v>
      </c>
      <c r="AA519" s="1" t="str">
        <f>"راه سازي"</f>
        <v>راه سازي</v>
      </c>
      <c r="AB519" s="1" t="str">
        <f>"95/11/27"</f>
        <v>95/11/27</v>
      </c>
      <c r="AC519" s="1" t="str">
        <f>"استان يزد"</f>
        <v>استان يزد</v>
      </c>
      <c r="AD519" s="1" t="str">
        <f>"95/11/23"</f>
        <v>95/11/23</v>
      </c>
      <c r="AE519" s="1" t="str">
        <f>"تاييدشده"</f>
        <v>تاييدشده</v>
      </c>
      <c r="AF519" s="1" t="str">
        <f>""</f>
        <v/>
      </c>
      <c r="AG519" s="1" t="str">
        <f>""</f>
        <v/>
      </c>
      <c r="AH519" s="1" t="str">
        <f>""</f>
        <v/>
      </c>
      <c r="AI519" s="1" t="str">
        <f>""</f>
        <v/>
      </c>
      <c r="AJ519" s="1" t="str">
        <f>""</f>
        <v/>
      </c>
      <c r="AK519" s="1" t="str">
        <f>""</f>
        <v/>
      </c>
    </row>
    <row r="520" spans="1:37" x14ac:dyDescent="0.2">
      <c r="A520" s="1">
        <v>300000</v>
      </c>
      <c r="B520" s="1">
        <v>951900053</v>
      </c>
      <c r="C520" s="1" t="str">
        <f>"تخليه -زرين شهر-تنگ بيدگان كارخانه آسفالت زرين استحكام"</f>
        <v>تخليه -زرين شهر-تنگ بيدگان كارخانه آسفالت زرين استحكام</v>
      </c>
      <c r="D520" s="1">
        <v>6250</v>
      </c>
      <c r="E520" s="1">
        <v>300000</v>
      </c>
      <c r="F520" s="1">
        <v>95</v>
      </c>
      <c r="G520" s="1">
        <v>0</v>
      </c>
      <c r="H520" s="1" t="str">
        <f>"95/04/27"</f>
        <v>95/04/27</v>
      </c>
      <c r="I520" s="1" t="str">
        <f t="shared" si="114"/>
        <v>كيلوگرم</v>
      </c>
      <c r="J520" s="1" t="str">
        <f t="shared" ref="J520:J533" si="117">"0000000088"</f>
        <v>0000000088</v>
      </c>
      <c r="K520" s="1" t="str">
        <f t="shared" ref="K520:K533" si="118">"قير  PG58-22"</f>
        <v>قير  PG58-22</v>
      </c>
      <c r="L520" s="1">
        <v>100</v>
      </c>
      <c r="M520" s="1" t="str">
        <f t="shared" ref="M520:M583" si="119">"مخازن قير اصفهان"</f>
        <v>مخازن قير اصفهان</v>
      </c>
      <c r="N520" s="1">
        <v>1351</v>
      </c>
      <c r="O520" s="1">
        <v>50031301</v>
      </c>
      <c r="P520" s="1" t="str">
        <f>"  زرين استحكام"</f>
        <v xml:space="preserve">  زرين استحكام</v>
      </c>
      <c r="Q520" s="1">
        <v>19</v>
      </c>
      <c r="R52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20" s="1" t="str">
        <f t="shared" si="115"/>
        <v>قرارداد فروش</v>
      </c>
      <c r="T520" s="1" t="str">
        <f t="shared" si="116"/>
        <v>ندارد</v>
      </c>
      <c r="U520" s="1" t="str">
        <f>"مظلوم فريبرز(1008ج89)"</f>
        <v>مظلوم فريبرز(1008ج89)</v>
      </c>
      <c r="V520" s="1">
        <v>951900053</v>
      </c>
      <c r="W520" s="1">
        <v>951900053</v>
      </c>
      <c r="X520" s="1" t="str">
        <f>"1395416020"</f>
        <v>1395416020</v>
      </c>
      <c r="Y520" s="1" t="str">
        <f>"95/04/27"</f>
        <v>95/04/27</v>
      </c>
      <c r="Z520" s="1" t="str">
        <f>"17423/510"</f>
        <v>17423/510</v>
      </c>
      <c r="AA520" s="1" t="str">
        <f>"سازمان راهداري وحمل نقل جاده اي"</f>
        <v>سازمان راهداري وحمل نقل جاده اي</v>
      </c>
      <c r="AB520" s="1" t="str">
        <f>"95/04/23"</f>
        <v>95/04/23</v>
      </c>
      <c r="AC520" s="1" t="str">
        <f>"استان چهارمحال بختياري"</f>
        <v>استان چهارمحال بختياري</v>
      </c>
      <c r="AD520" s="1" t="str">
        <f>"95/04/27"</f>
        <v>95/04/27</v>
      </c>
      <c r="AE520" s="1" t="str">
        <f t="shared" ref="AE520:AE551" si="120">"اختتام"</f>
        <v>اختتام</v>
      </c>
      <c r="AF520" s="1" t="str">
        <f>""</f>
        <v/>
      </c>
      <c r="AG520" s="1" t="str">
        <f>""</f>
        <v/>
      </c>
      <c r="AH520" s="1" t="str">
        <f>""</f>
        <v/>
      </c>
      <c r="AI520" s="1" t="str">
        <f>""</f>
        <v/>
      </c>
      <c r="AJ520" s="1" t="str">
        <f>""</f>
        <v/>
      </c>
      <c r="AK520" s="1" t="str">
        <f>""</f>
        <v/>
      </c>
    </row>
    <row r="521" spans="1:37" x14ac:dyDescent="0.2">
      <c r="A521" s="1">
        <v>350000</v>
      </c>
      <c r="B521" s="1">
        <v>951900190</v>
      </c>
      <c r="C521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521" s="1">
        <v>8323</v>
      </c>
      <c r="E521" s="1">
        <v>348900</v>
      </c>
      <c r="F521" s="1">
        <v>95</v>
      </c>
      <c r="G521" s="1">
        <v>1100</v>
      </c>
      <c r="H521" s="1" t="str">
        <f>"95/08/25"</f>
        <v>95/08/25</v>
      </c>
      <c r="I521" s="1" t="str">
        <f t="shared" si="114"/>
        <v>كيلوگرم</v>
      </c>
      <c r="J521" s="1" t="str">
        <f t="shared" si="117"/>
        <v>0000000088</v>
      </c>
      <c r="K521" s="1" t="str">
        <f t="shared" si="118"/>
        <v>قير  PG58-22</v>
      </c>
      <c r="L521" s="1">
        <v>100</v>
      </c>
      <c r="M521" s="1" t="str">
        <f t="shared" si="119"/>
        <v>مخازن قير اصفهان</v>
      </c>
      <c r="N521" s="1">
        <v>1351</v>
      </c>
      <c r="O521" s="1">
        <v>50032605</v>
      </c>
      <c r="P521" s="1" t="str">
        <f>"  زرين استحكام"</f>
        <v xml:space="preserve">  زرين استحكام</v>
      </c>
      <c r="Q521" s="1">
        <v>19</v>
      </c>
      <c r="R52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21" s="1" t="str">
        <f t="shared" si="115"/>
        <v>قرارداد فروش</v>
      </c>
      <c r="T521" s="1" t="str">
        <f t="shared" si="116"/>
        <v>ندارد</v>
      </c>
      <c r="U521" s="1" t="str">
        <f>"قره باغي مجيد(1871065)"</f>
        <v>قره باغي مجيد(1871065)</v>
      </c>
      <c r="V521" s="1">
        <v>951900190</v>
      </c>
      <c r="W521" s="1">
        <v>951900190</v>
      </c>
      <c r="X521" s="1" t="str">
        <f>"1395445250"</f>
        <v>1395445250</v>
      </c>
      <c r="Y521" s="1" t="str">
        <f>"95/08/25"</f>
        <v>95/08/25</v>
      </c>
      <c r="Z521" s="1" t="str">
        <f>"39761/710"</f>
        <v>39761/710</v>
      </c>
      <c r="AA521" s="1" t="str">
        <f>"سازمان راهداري وحمل نقل جاده اي"</f>
        <v>سازمان راهداري وحمل نقل جاده اي</v>
      </c>
      <c r="AB521" s="1" t="str">
        <f>"95/08/15"</f>
        <v>95/08/15</v>
      </c>
      <c r="AC521" s="1" t="str">
        <f>"استان چهارمحال بختياري"</f>
        <v>استان چهارمحال بختياري</v>
      </c>
      <c r="AD521" s="1" t="str">
        <f>"95/08/25"</f>
        <v>95/08/25</v>
      </c>
      <c r="AE521" s="1" t="str">
        <f t="shared" si="120"/>
        <v>اختتام</v>
      </c>
      <c r="AF521" s="1" t="str">
        <f>""</f>
        <v/>
      </c>
      <c r="AG521" s="1" t="str">
        <f>""</f>
        <v/>
      </c>
      <c r="AH521" s="1" t="str">
        <f>""</f>
        <v/>
      </c>
      <c r="AI521" s="1" t="str">
        <f>""</f>
        <v/>
      </c>
      <c r="AJ521" s="1" t="str">
        <f>""</f>
        <v/>
      </c>
      <c r="AK521" s="1" t="str">
        <f>""</f>
        <v/>
      </c>
    </row>
    <row r="522" spans="1:37" x14ac:dyDescent="0.2">
      <c r="A522" s="1">
        <v>700000</v>
      </c>
      <c r="B522" s="1">
        <v>951800001</v>
      </c>
      <c r="C522" s="1" t="str">
        <f>"تخليه -همدان قهاوندكيلومتر7جاده تهران روبروي روستاي احمدآبادكارخانه رهگسترقهاوند"</f>
        <v>تخليه -همدان قهاوندكيلومتر7جاده تهران روبروي روستاي احمدآبادكارخانه رهگسترقهاوند</v>
      </c>
      <c r="D522" s="1">
        <v>5650</v>
      </c>
      <c r="E522" s="1">
        <v>699400</v>
      </c>
      <c r="F522" s="1">
        <v>95</v>
      </c>
      <c r="G522" s="1">
        <v>600</v>
      </c>
      <c r="H522" s="1" t="str">
        <f>"95/02/13"</f>
        <v>95/02/13</v>
      </c>
      <c r="I522" s="1" t="str">
        <f t="shared" si="114"/>
        <v>كيلوگرم</v>
      </c>
      <c r="J522" s="1" t="str">
        <f t="shared" si="117"/>
        <v>0000000088</v>
      </c>
      <c r="K522" s="1" t="str">
        <f t="shared" si="118"/>
        <v>قير  PG58-22</v>
      </c>
      <c r="L522" s="1">
        <v>100</v>
      </c>
      <c r="M522" s="1" t="str">
        <f t="shared" si="119"/>
        <v>مخازن قير اصفهان</v>
      </c>
      <c r="N522" s="1">
        <v>1729</v>
      </c>
      <c r="O522" s="1">
        <v>50030699</v>
      </c>
      <c r="P522" s="1" t="str">
        <f>"  آماكا"</f>
        <v xml:space="preserve">  آماكا</v>
      </c>
      <c r="Q522" s="1">
        <v>18</v>
      </c>
      <c r="R522" s="1" t="str">
        <f>"فروش داخلي تهران - وزارت راه - شرکت ساخت و توسعه راهها"</f>
        <v>فروش داخلي تهران - وزارت راه - شرکت ساخت و توسعه راهها</v>
      </c>
      <c r="S522" s="1" t="str">
        <f t="shared" si="115"/>
        <v>قرارداد فروش</v>
      </c>
      <c r="T522" s="1" t="str">
        <f t="shared" si="116"/>
        <v>ندارد</v>
      </c>
      <c r="U522" s="1" t="str">
        <f>"حاجيلوئي علي اصغر(2842019)"</f>
        <v>حاجيلوئي علي اصغر(2842019)</v>
      </c>
      <c r="V522" s="1">
        <v>951800001</v>
      </c>
      <c r="W522" s="1">
        <v>951800001</v>
      </c>
      <c r="X522" s="1" t="str">
        <f>"1395401951"</f>
        <v>1395401951</v>
      </c>
      <c r="Y522" s="1" t="str">
        <f>"95/02/13"</f>
        <v>95/02/13</v>
      </c>
      <c r="Z522" s="1" t="str">
        <f>"50900/510"</f>
        <v>50900/510</v>
      </c>
      <c r="AA522" s="1" t="str">
        <f>"شركت  ساخت وتوسعه راهها"</f>
        <v>شركت  ساخت وتوسعه راهها</v>
      </c>
      <c r="AB522" s="1" t="str">
        <f>"94/09/14"</f>
        <v>94/09/14</v>
      </c>
      <c r="AC522" s="1" t="str">
        <f>"استان همدان"</f>
        <v>استان همدان</v>
      </c>
      <c r="AD522" s="1" t="str">
        <f>"95/02/11"</f>
        <v>95/02/11</v>
      </c>
      <c r="AE522" s="1" t="str">
        <f t="shared" si="120"/>
        <v>اختتام</v>
      </c>
      <c r="AF522" s="1" t="str">
        <f>""</f>
        <v/>
      </c>
      <c r="AG522" s="1" t="str">
        <f>""</f>
        <v/>
      </c>
      <c r="AH522" s="1" t="str">
        <f>""</f>
        <v/>
      </c>
      <c r="AI522" s="1" t="str">
        <f>""</f>
        <v/>
      </c>
      <c r="AJ522" s="1" t="str">
        <f>""</f>
        <v/>
      </c>
      <c r="AK522" s="1" t="str">
        <f>""</f>
        <v/>
      </c>
    </row>
    <row r="523" spans="1:37" x14ac:dyDescent="0.2">
      <c r="A523" s="1">
        <v>420000</v>
      </c>
      <c r="B523" s="1">
        <v>951900259</v>
      </c>
      <c r="C523" s="1" t="str">
        <f>"تخليه -شهرکرد - هفشجان - سيرک و نوآباد - کارخانه آسفالت"</f>
        <v>تخليه -شهرکرد - هفشجان - سيرک و نوآباد - کارخانه آسفالت</v>
      </c>
      <c r="D523" s="1">
        <v>8998</v>
      </c>
      <c r="E523" s="1">
        <v>419680</v>
      </c>
      <c r="F523" s="1">
        <v>95</v>
      </c>
      <c r="G523" s="1">
        <v>320</v>
      </c>
      <c r="H523" s="1" t="str">
        <f>"95/11/24"</f>
        <v>95/11/24</v>
      </c>
      <c r="I523" s="1" t="str">
        <f t="shared" si="114"/>
        <v>كيلوگرم</v>
      </c>
      <c r="J523" s="1" t="str">
        <f t="shared" si="117"/>
        <v>0000000088</v>
      </c>
      <c r="K523" s="1" t="str">
        <f t="shared" si="118"/>
        <v>قير  PG58-22</v>
      </c>
      <c r="L523" s="1">
        <v>100</v>
      </c>
      <c r="M523" s="1" t="str">
        <f t="shared" si="119"/>
        <v>مخازن قير اصفهان</v>
      </c>
      <c r="N523" s="1">
        <v>7143</v>
      </c>
      <c r="O523" s="1">
        <v>50033704</v>
      </c>
      <c r="P523" s="1" t="str">
        <f>"  سازمان همياري شهرداريهاي چهارمحال بختياري"</f>
        <v xml:space="preserve">  سازمان همياري شهرداريهاي چهارمحال بختياري</v>
      </c>
      <c r="Q523" s="1">
        <v>19</v>
      </c>
      <c r="R5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23" s="1" t="str">
        <f t="shared" si="115"/>
        <v>قرارداد فروش</v>
      </c>
      <c r="T523" s="1" t="str">
        <f t="shared" si="116"/>
        <v>ندارد</v>
      </c>
      <c r="U523" s="1" t="str">
        <f>"قره باغي مجيد(1871065)"</f>
        <v>قره باغي مجيد(1871065)</v>
      </c>
      <c r="V523" s="1">
        <v>951900259</v>
      </c>
      <c r="W523" s="1">
        <v>951900259</v>
      </c>
      <c r="X523" s="1" t="str">
        <f>"1395464567"</f>
        <v>1395464567</v>
      </c>
      <c r="Y523" s="1" t="str">
        <f>"95/11/24"</f>
        <v>95/11/24</v>
      </c>
      <c r="Z523" s="1" t="str">
        <f>"56344/710"</f>
        <v>56344/710</v>
      </c>
      <c r="AA523" s="1" t="str">
        <f>"سازمان راهداري وحمل نقل جاده اي"</f>
        <v>سازمان راهداري وحمل نقل جاده اي</v>
      </c>
      <c r="AB523" s="1" t="str">
        <f>"95/11/12"</f>
        <v>95/11/12</v>
      </c>
      <c r="AC523" s="1" t="str">
        <f t="shared" ref="AC523:AC529" si="121">"استان چهارمحال بختياري"</f>
        <v>استان چهارمحال بختياري</v>
      </c>
      <c r="AD523" s="1" t="str">
        <f>"95/11/24"</f>
        <v>95/11/24</v>
      </c>
      <c r="AE523" s="1" t="str">
        <f t="shared" si="120"/>
        <v>اختتام</v>
      </c>
      <c r="AF523" s="1" t="str">
        <f>""</f>
        <v/>
      </c>
      <c r="AG523" s="1" t="str">
        <f>""</f>
        <v/>
      </c>
      <c r="AH523" s="1" t="str">
        <f>""</f>
        <v/>
      </c>
      <c r="AI523" s="1" t="str">
        <f>""</f>
        <v/>
      </c>
      <c r="AJ523" s="1" t="str">
        <f>""</f>
        <v/>
      </c>
      <c r="AK523" s="1" t="str">
        <f>""</f>
        <v/>
      </c>
    </row>
    <row r="524" spans="1:37" x14ac:dyDescent="0.2">
      <c r="A524" s="1">
        <v>200000</v>
      </c>
      <c r="B524" s="1">
        <v>951900014</v>
      </c>
      <c r="C524" s="1" t="str">
        <f>"تخليه -چهارمحال وبختياري -ناغان كارخانه آسفالت پارساكوشان زاگرس"</f>
        <v>تخليه -چهارمحال وبختياري -ناغان كارخانه آسفالت پارساكوشان زاگرس</v>
      </c>
      <c r="D524" s="1">
        <v>5650</v>
      </c>
      <c r="E524" s="1">
        <v>200000</v>
      </c>
      <c r="F524" s="1">
        <v>95</v>
      </c>
      <c r="G524" s="1">
        <v>0</v>
      </c>
      <c r="H524" s="1" t="str">
        <f>"95/02/14"</f>
        <v>95/02/14</v>
      </c>
      <c r="I524" s="1" t="str">
        <f t="shared" si="114"/>
        <v>كيلوگرم</v>
      </c>
      <c r="J524" s="1" t="str">
        <f t="shared" si="117"/>
        <v>0000000088</v>
      </c>
      <c r="K524" s="1" t="str">
        <f t="shared" si="118"/>
        <v>قير  PG58-22</v>
      </c>
      <c r="L524" s="1">
        <v>100</v>
      </c>
      <c r="M524" s="1" t="str">
        <f t="shared" si="119"/>
        <v>مخازن قير اصفهان</v>
      </c>
      <c r="N524" s="1">
        <v>7190</v>
      </c>
      <c r="O524" s="1">
        <v>50030727</v>
      </c>
      <c r="P524" s="1" t="str">
        <f t="shared" ref="P524:P529" si="122">"  اداره كل راه و شهرسازي چهارمحال وبختياري"</f>
        <v xml:space="preserve">  اداره كل راه و شهرسازي چهارمحال وبختياري</v>
      </c>
      <c r="Q524" s="1">
        <v>19</v>
      </c>
      <c r="R52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24" s="1" t="str">
        <f t="shared" si="115"/>
        <v>قرارداد فروش</v>
      </c>
      <c r="T524" s="1" t="str">
        <f t="shared" si="116"/>
        <v>ندارد</v>
      </c>
      <c r="U524" s="1" t="str">
        <f>"قره باغي مجيد(1871065)"</f>
        <v>قره باغي مجيد(1871065)</v>
      </c>
      <c r="V524" s="1">
        <v>951900014</v>
      </c>
      <c r="W524" s="1">
        <v>951900014</v>
      </c>
      <c r="X524" s="1" t="str">
        <f>"1395401952"</f>
        <v>1395401952</v>
      </c>
      <c r="Y524" s="1" t="str">
        <f>"95/02/14"</f>
        <v>95/02/14</v>
      </c>
      <c r="Z524" s="1" t="str">
        <f>"67884/510"</f>
        <v>67884/510</v>
      </c>
      <c r="AA524" s="1" t="str">
        <f>"سازمان راهداري وحمل نقل جاده اي"</f>
        <v>سازمان راهداري وحمل نقل جاده اي</v>
      </c>
      <c r="AB524" s="1" t="str">
        <f>"94/12/11"</f>
        <v>94/12/11</v>
      </c>
      <c r="AC524" s="1" t="str">
        <f t="shared" si="121"/>
        <v>استان چهارمحال بختياري</v>
      </c>
      <c r="AD524" s="1" t="str">
        <f>"95/02/11"</f>
        <v>95/02/11</v>
      </c>
      <c r="AE524" s="1" t="str">
        <f t="shared" si="120"/>
        <v>اختتام</v>
      </c>
      <c r="AF524" s="1" t="str">
        <f>""</f>
        <v/>
      </c>
      <c r="AG524" s="1" t="str">
        <f>""</f>
        <v/>
      </c>
      <c r="AH524" s="1" t="str">
        <f>""</f>
        <v/>
      </c>
      <c r="AI524" s="1" t="str">
        <f>""</f>
        <v/>
      </c>
      <c r="AJ524" s="1" t="str">
        <f>""</f>
        <v/>
      </c>
      <c r="AK524" s="1" t="str">
        <f>""</f>
        <v/>
      </c>
    </row>
    <row r="525" spans="1:37" x14ac:dyDescent="0.2">
      <c r="A525" s="1">
        <v>300000</v>
      </c>
      <c r="B525" s="1">
        <v>951900013</v>
      </c>
      <c r="C525" s="1" t="str">
        <f>"تخليه-گندمان-کارخانه آسفالت 253شرکت احمديه چليچه"</f>
        <v>تخليه-گندمان-کارخانه آسفالت 253شرکت احمديه چليچه</v>
      </c>
      <c r="D525" s="1">
        <v>5650</v>
      </c>
      <c r="E525" s="1">
        <v>299200</v>
      </c>
      <c r="F525" s="1">
        <v>95</v>
      </c>
      <c r="G525" s="1">
        <v>800</v>
      </c>
      <c r="H525" s="1" t="str">
        <f>"95/02/14"</f>
        <v>95/02/14</v>
      </c>
      <c r="I525" s="1" t="str">
        <f t="shared" si="114"/>
        <v>كيلوگرم</v>
      </c>
      <c r="J525" s="1" t="str">
        <f t="shared" si="117"/>
        <v>0000000088</v>
      </c>
      <c r="K525" s="1" t="str">
        <f t="shared" si="118"/>
        <v>قير  PG58-22</v>
      </c>
      <c r="L525" s="1">
        <v>100</v>
      </c>
      <c r="M525" s="1" t="str">
        <f t="shared" si="119"/>
        <v>مخازن قير اصفهان</v>
      </c>
      <c r="N525" s="1">
        <v>7190</v>
      </c>
      <c r="O525" s="1">
        <v>50030746</v>
      </c>
      <c r="P525" s="1" t="str">
        <f t="shared" si="122"/>
        <v xml:space="preserve">  اداره كل راه و شهرسازي چهارمحال وبختياري</v>
      </c>
      <c r="Q525" s="1">
        <v>19</v>
      </c>
      <c r="R52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25" s="1" t="str">
        <f t="shared" si="115"/>
        <v>قرارداد فروش</v>
      </c>
      <c r="T525" s="1" t="str">
        <f t="shared" si="116"/>
        <v>ندارد</v>
      </c>
      <c r="U525" s="1" t="str">
        <f>"مظلوم فريبرز(1008ج89)"</f>
        <v>مظلوم فريبرز(1008ج89)</v>
      </c>
      <c r="V525" s="1">
        <v>951900013</v>
      </c>
      <c r="W525" s="1">
        <v>951900013</v>
      </c>
      <c r="X525" s="1" t="str">
        <f>"1395401952"</f>
        <v>1395401952</v>
      </c>
      <c r="Y525" s="1" t="str">
        <f>"95/02/14"</f>
        <v>95/02/14</v>
      </c>
      <c r="Z525" s="1" t="str">
        <f>"67884/510"</f>
        <v>67884/510</v>
      </c>
      <c r="AA525" s="1" t="str">
        <f>"سازمان راهداري وحمل نقل جاده اي"</f>
        <v>سازمان راهداري وحمل نقل جاده اي</v>
      </c>
      <c r="AB525" s="1" t="str">
        <f>"94/12/11"</f>
        <v>94/12/11</v>
      </c>
      <c r="AC525" s="1" t="str">
        <f t="shared" si="121"/>
        <v>استان چهارمحال بختياري</v>
      </c>
      <c r="AD525" s="1" t="str">
        <f>"95/02/11"</f>
        <v>95/02/11</v>
      </c>
      <c r="AE525" s="1" t="str">
        <f t="shared" si="120"/>
        <v>اختتام</v>
      </c>
      <c r="AF525" s="1" t="str">
        <f>""</f>
        <v/>
      </c>
      <c r="AG525" s="1" t="str">
        <f>""</f>
        <v/>
      </c>
      <c r="AH525" s="1" t="str">
        <f>""</f>
        <v/>
      </c>
      <c r="AI525" s="1" t="str">
        <f>""</f>
        <v/>
      </c>
      <c r="AJ525" s="1" t="str">
        <f>""</f>
        <v/>
      </c>
      <c r="AK525" s="1" t="str">
        <f>""</f>
        <v/>
      </c>
    </row>
    <row r="526" spans="1:37" x14ac:dyDescent="0.2">
      <c r="A526" s="1">
        <v>500000</v>
      </c>
      <c r="B526" s="1">
        <v>951900056</v>
      </c>
      <c r="C526" s="1" t="str">
        <f>"تخليه -چهارومحال بختياري -شهرستان كيارشهرناغان -شركت اتحادناغان"</f>
        <v>تخليه -چهارومحال بختياري -شهرستان كيارشهرناغان -شركت اتحادناغان</v>
      </c>
      <c r="D526" s="1">
        <v>6250</v>
      </c>
      <c r="E526" s="1">
        <v>500000</v>
      </c>
      <c r="F526" s="1">
        <v>95</v>
      </c>
      <c r="G526" s="1">
        <v>0</v>
      </c>
      <c r="H526" s="1" t="str">
        <f>"95/04/28"</f>
        <v>95/04/28</v>
      </c>
      <c r="I526" s="1" t="str">
        <f t="shared" si="114"/>
        <v>كيلوگرم</v>
      </c>
      <c r="J526" s="1" t="str">
        <f t="shared" si="117"/>
        <v>0000000088</v>
      </c>
      <c r="K526" s="1" t="str">
        <f t="shared" si="118"/>
        <v>قير  PG58-22</v>
      </c>
      <c r="L526" s="1">
        <v>100</v>
      </c>
      <c r="M526" s="1" t="str">
        <f t="shared" si="119"/>
        <v>مخازن قير اصفهان</v>
      </c>
      <c r="N526" s="1">
        <v>7190</v>
      </c>
      <c r="O526" s="1">
        <v>50031314</v>
      </c>
      <c r="P526" s="1" t="str">
        <f t="shared" si="122"/>
        <v xml:space="preserve">  اداره كل راه و شهرسازي چهارمحال وبختياري</v>
      </c>
      <c r="Q526" s="1">
        <v>19</v>
      </c>
      <c r="R5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26" s="1" t="str">
        <f t="shared" si="115"/>
        <v>قرارداد فروش</v>
      </c>
      <c r="T526" s="1" t="str">
        <f t="shared" si="116"/>
        <v>ندارد</v>
      </c>
      <c r="U526" s="1" t="str">
        <f>"قره باغي مجيد(1871065)"</f>
        <v>قره باغي مجيد(1871065)</v>
      </c>
      <c r="V526" s="1">
        <v>951900056</v>
      </c>
      <c r="W526" s="1">
        <v>951900056</v>
      </c>
      <c r="X526" s="1" t="str">
        <f>"1395416204"</f>
        <v>1395416204</v>
      </c>
      <c r="Y526" s="1" t="str">
        <f>"95/04/28"</f>
        <v>95/04/28</v>
      </c>
      <c r="Z526" s="1" t="str">
        <f>"17837/510"</f>
        <v>17837/510</v>
      </c>
      <c r="AA526" s="1" t="str">
        <f>"سازمان راهداري وحمل نقل جاده اي"</f>
        <v>سازمان راهداري وحمل نقل جاده اي</v>
      </c>
      <c r="AB526" s="1" t="str">
        <f>"95/04/26"</f>
        <v>95/04/26</v>
      </c>
      <c r="AC526" s="1" t="str">
        <f t="shared" si="121"/>
        <v>استان چهارمحال بختياري</v>
      </c>
      <c r="AD526" s="1" t="str">
        <f>"95/04/28"</f>
        <v>95/04/28</v>
      </c>
      <c r="AE526" s="1" t="str">
        <f t="shared" si="120"/>
        <v>اختتام</v>
      </c>
      <c r="AF526" s="1" t="str">
        <f>""</f>
        <v/>
      </c>
      <c r="AG526" s="1" t="str">
        <f>""</f>
        <v/>
      </c>
      <c r="AH526" s="1" t="str">
        <f>""</f>
        <v/>
      </c>
      <c r="AI526" s="1" t="str">
        <f>""</f>
        <v/>
      </c>
      <c r="AJ526" s="1" t="str">
        <f>""</f>
        <v/>
      </c>
      <c r="AK526" s="1" t="str">
        <f>""</f>
        <v/>
      </c>
    </row>
    <row r="527" spans="1:37" x14ac:dyDescent="0.2">
      <c r="A527" s="1">
        <v>50000</v>
      </c>
      <c r="B527" s="1">
        <v>951700301</v>
      </c>
      <c r="C527" s="1" t="str">
        <f>"تخليه -چهارمحال بختياري -فلاردكارخانه آسفالت ياسين گنج فلارد"</f>
        <v>تخليه -چهارمحال بختياري -فلاردكارخانه آسفالت ياسين گنج فلارد</v>
      </c>
      <c r="D527" s="1">
        <v>9061</v>
      </c>
      <c r="E527" s="1">
        <v>49640</v>
      </c>
      <c r="F527" s="1">
        <v>95</v>
      </c>
      <c r="G527" s="1">
        <v>360</v>
      </c>
      <c r="H527" s="1" t="str">
        <f>"95/10/22"</f>
        <v>95/10/22</v>
      </c>
      <c r="I527" s="1" t="str">
        <f t="shared" si="114"/>
        <v>كيلوگرم</v>
      </c>
      <c r="J527" s="1" t="str">
        <f t="shared" si="117"/>
        <v>0000000088</v>
      </c>
      <c r="K527" s="1" t="str">
        <f t="shared" si="118"/>
        <v>قير  PG58-22</v>
      </c>
      <c r="L527" s="1">
        <v>100</v>
      </c>
      <c r="M527" s="1" t="str">
        <f t="shared" si="119"/>
        <v>مخازن قير اصفهان</v>
      </c>
      <c r="N527" s="1">
        <v>7190</v>
      </c>
      <c r="O527" s="1">
        <v>50033356</v>
      </c>
      <c r="P527" s="1" t="str">
        <f t="shared" si="122"/>
        <v xml:space="preserve">  اداره كل راه و شهرسازي چهارمحال وبختياري</v>
      </c>
      <c r="Q527" s="1">
        <v>17</v>
      </c>
      <c r="R527" s="1" t="str">
        <f>"فروش داخلي تهران - وزارت راه - راه روستايي - روکش"</f>
        <v>فروش داخلي تهران - وزارت راه - راه روستايي - روکش</v>
      </c>
      <c r="S527" s="1" t="str">
        <f t="shared" si="115"/>
        <v>قرارداد فروش</v>
      </c>
      <c r="T527" s="1" t="str">
        <f t="shared" si="116"/>
        <v>ندارد</v>
      </c>
      <c r="U527" s="1" t="str">
        <f>"قره باغي مجيد(1871065)"</f>
        <v>قره باغي مجيد(1871065)</v>
      </c>
      <c r="V527" s="1">
        <v>951700301</v>
      </c>
      <c r="W527" s="1">
        <v>951700301</v>
      </c>
      <c r="X527" s="1" t="str">
        <f>"1395457936"</f>
        <v>1395457936</v>
      </c>
      <c r="Y527" s="1" t="str">
        <f>"95/10/22"</f>
        <v>95/10/22</v>
      </c>
      <c r="Z527" s="1" t="str">
        <f>"51842/710"</f>
        <v>51842/710</v>
      </c>
      <c r="AA527" s="1" t="str">
        <f>"راه روستائي -روكش"</f>
        <v>راه روستائي -روكش</v>
      </c>
      <c r="AB527" s="1" t="str">
        <f>"95/10/20"</f>
        <v>95/10/20</v>
      </c>
      <c r="AC527" s="1" t="str">
        <f t="shared" si="121"/>
        <v>استان چهارمحال بختياري</v>
      </c>
      <c r="AD527" s="1" t="str">
        <f>"95/10/22"</f>
        <v>95/10/22</v>
      </c>
      <c r="AE527" s="1" t="str">
        <f t="shared" si="120"/>
        <v>اختتام</v>
      </c>
      <c r="AF527" s="1" t="str">
        <f>""</f>
        <v/>
      </c>
      <c r="AG527" s="1" t="str">
        <f>""</f>
        <v/>
      </c>
      <c r="AH527" s="1" t="str">
        <f>""</f>
        <v/>
      </c>
      <c r="AI527" s="1" t="str">
        <f>""</f>
        <v/>
      </c>
      <c r="AJ527" s="1" t="str">
        <f>""</f>
        <v/>
      </c>
      <c r="AK527" s="1" t="str">
        <f>""</f>
        <v/>
      </c>
    </row>
    <row r="528" spans="1:37" x14ac:dyDescent="0.2">
      <c r="A528" s="1">
        <v>47000</v>
      </c>
      <c r="B528" s="1">
        <v>951700318</v>
      </c>
      <c r="C528" s="1" t="str">
        <f>"تخليه چهارمحال وبختياري تومانك شركت احمديه چليچه"</f>
        <v>تخليه چهارمحال وبختياري تومانك شركت احمديه چليچه</v>
      </c>
      <c r="D528" s="1">
        <v>9511</v>
      </c>
      <c r="E528" s="1">
        <v>46500</v>
      </c>
      <c r="F528" s="1">
        <v>95</v>
      </c>
      <c r="G528" s="1">
        <v>500</v>
      </c>
      <c r="H528" s="1" t="str">
        <f>"95/11/04"</f>
        <v>95/11/04</v>
      </c>
      <c r="I528" s="1" t="str">
        <f t="shared" si="114"/>
        <v>كيلوگرم</v>
      </c>
      <c r="J528" s="1" t="str">
        <f t="shared" si="117"/>
        <v>0000000088</v>
      </c>
      <c r="K528" s="1" t="str">
        <f t="shared" si="118"/>
        <v>قير  PG58-22</v>
      </c>
      <c r="L528" s="1">
        <v>100</v>
      </c>
      <c r="M528" s="1" t="str">
        <f t="shared" si="119"/>
        <v>مخازن قير اصفهان</v>
      </c>
      <c r="N528" s="1">
        <v>7190</v>
      </c>
      <c r="O528" s="1">
        <v>50033507</v>
      </c>
      <c r="P528" s="1" t="str">
        <f t="shared" si="122"/>
        <v xml:space="preserve">  اداره كل راه و شهرسازي چهارمحال وبختياري</v>
      </c>
      <c r="Q528" s="1">
        <v>17</v>
      </c>
      <c r="R528" s="1" t="str">
        <f>"فروش داخلي تهران - وزارت راه - راه روستايي - روکش"</f>
        <v>فروش داخلي تهران - وزارت راه - راه روستايي - روکش</v>
      </c>
      <c r="S528" s="1" t="str">
        <f t="shared" si="115"/>
        <v>قرارداد فروش</v>
      </c>
      <c r="T528" s="1" t="str">
        <f t="shared" si="116"/>
        <v>ندارد</v>
      </c>
      <c r="U528" s="1" t="str">
        <f>"قره باغي مجيد(1871065)"</f>
        <v>قره باغي مجيد(1871065)</v>
      </c>
      <c r="V528" s="1">
        <v>951700318</v>
      </c>
      <c r="W528" s="1">
        <v>951700318</v>
      </c>
      <c r="X528" s="1" t="str">
        <f>"1395460247"</f>
        <v>1395460247</v>
      </c>
      <c r="Y528" s="1" t="str">
        <f>"95/11/04"</f>
        <v>95/11/04</v>
      </c>
      <c r="Z528" s="1" t="str">
        <f>"52734/710"</f>
        <v>52734/710</v>
      </c>
      <c r="AA528" s="1" t="str">
        <f>"راه روستائي -روكش"</f>
        <v>راه روستائي -روكش</v>
      </c>
      <c r="AB528" s="1" t="str">
        <f>"95/10/25"</f>
        <v>95/10/25</v>
      </c>
      <c r="AC528" s="1" t="str">
        <f t="shared" si="121"/>
        <v>استان چهارمحال بختياري</v>
      </c>
      <c r="AD528" s="1" t="str">
        <f>"95/11/04"</f>
        <v>95/11/04</v>
      </c>
      <c r="AE528" s="1" t="str">
        <f t="shared" si="120"/>
        <v>اختتام</v>
      </c>
      <c r="AF528" s="1" t="str">
        <f>""</f>
        <v/>
      </c>
      <c r="AG528" s="1" t="str">
        <f>""</f>
        <v/>
      </c>
      <c r="AH528" s="1" t="str">
        <f>""</f>
        <v/>
      </c>
      <c r="AI528" s="1" t="str">
        <f>""</f>
        <v/>
      </c>
      <c r="AJ528" s="1" t="str">
        <f>""</f>
        <v/>
      </c>
      <c r="AK528" s="1" t="str">
        <f>""</f>
        <v/>
      </c>
    </row>
    <row r="529" spans="1:37" x14ac:dyDescent="0.2">
      <c r="A529" s="1">
        <v>200000</v>
      </c>
      <c r="B529" s="1">
        <v>951400175</v>
      </c>
      <c r="C529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529" s="1">
        <v>9068</v>
      </c>
      <c r="E529" s="1">
        <v>200000</v>
      </c>
      <c r="F529" s="1">
        <v>95</v>
      </c>
      <c r="G529" s="1">
        <v>0</v>
      </c>
      <c r="H529" s="1" t="str">
        <f>"95/12/19"</f>
        <v>95/12/19</v>
      </c>
      <c r="I529" s="1" t="str">
        <f t="shared" si="114"/>
        <v>كيلوگرم</v>
      </c>
      <c r="J529" s="1" t="str">
        <f t="shared" si="117"/>
        <v>0000000088</v>
      </c>
      <c r="K529" s="1" t="str">
        <f t="shared" si="118"/>
        <v>قير  PG58-22</v>
      </c>
      <c r="L529" s="1">
        <v>100</v>
      </c>
      <c r="M529" s="1" t="str">
        <f t="shared" si="119"/>
        <v>مخازن قير اصفهان</v>
      </c>
      <c r="N529" s="1">
        <v>7190</v>
      </c>
      <c r="O529" s="1">
        <v>50034062</v>
      </c>
      <c r="P529" s="1" t="str">
        <f t="shared" si="122"/>
        <v xml:space="preserve">  اداره كل راه و شهرسازي چهارمحال وبختياري</v>
      </c>
      <c r="Q529" s="1">
        <v>14</v>
      </c>
      <c r="R529" s="1" t="str">
        <f>"فروش داخلي - وزارت راه - حوزه راه روستايي ساخت"</f>
        <v>فروش داخلي - وزارت راه - حوزه راه روستايي ساخت</v>
      </c>
      <c r="S529" s="1" t="str">
        <f t="shared" si="115"/>
        <v>قرارداد فروش</v>
      </c>
      <c r="T529" s="1" t="str">
        <f t="shared" si="116"/>
        <v>ندارد</v>
      </c>
      <c r="U529" s="1" t="str">
        <f>"قره باغي مجيد(1871065)"</f>
        <v>قره باغي مجيد(1871065)</v>
      </c>
      <c r="V529" s="1">
        <v>951400175</v>
      </c>
      <c r="W529" s="1">
        <v>951400175</v>
      </c>
      <c r="X529" s="1" t="str">
        <f>"1395470096"</f>
        <v>1395470096</v>
      </c>
      <c r="Y529" s="1" t="str">
        <f>"95/12/18"</f>
        <v>95/12/18</v>
      </c>
      <c r="Z529" s="1" t="str">
        <f>"64609/710"</f>
        <v>64609/710</v>
      </c>
      <c r="AA529" s="1" t="str">
        <f>"راه وروستايي -ساخت"</f>
        <v>راه وروستايي -ساخت</v>
      </c>
      <c r="AB529" s="1" t="str">
        <f>"95/12/16"</f>
        <v>95/12/16</v>
      </c>
      <c r="AC529" s="1" t="str">
        <f t="shared" si="121"/>
        <v>استان چهارمحال بختياري</v>
      </c>
      <c r="AD529" s="1" t="str">
        <f>"95/12/18"</f>
        <v>95/12/18</v>
      </c>
      <c r="AE529" s="1" t="str">
        <f t="shared" si="120"/>
        <v>اختتام</v>
      </c>
      <c r="AF529" s="1" t="str">
        <f>""</f>
        <v/>
      </c>
      <c r="AG529" s="1" t="str">
        <f>""</f>
        <v/>
      </c>
      <c r="AH529" s="1" t="str">
        <f>""</f>
        <v/>
      </c>
      <c r="AI529" s="1" t="str">
        <f>""</f>
        <v/>
      </c>
      <c r="AJ529" s="1" t="str">
        <f>""</f>
        <v/>
      </c>
      <c r="AK529" s="1" t="str">
        <f>""</f>
        <v/>
      </c>
    </row>
    <row r="530" spans="1:37" x14ac:dyDescent="0.2">
      <c r="A530" s="1">
        <v>255020</v>
      </c>
      <c r="B530" s="1">
        <v>951800130</v>
      </c>
      <c r="C530" s="1" t="str">
        <f>"تخليه كيلومتر30جاده سنندج ديواندره گردنه ماموخ كارخانه آسفالت شركت آبيدركردستان"</f>
        <v>تخليه كيلومتر30جاده سنندج ديواندره گردنه ماموخ كارخانه آسفالت شركت آبيدركردستان</v>
      </c>
      <c r="D530" s="1">
        <v>9511</v>
      </c>
      <c r="E530" s="1">
        <v>254180</v>
      </c>
      <c r="F530" s="1">
        <v>95</v>
      </c>
      <c r="G530" s="1">
        <v>840</v>
      </c>
      <c r="H530" s="1" t="str">
        <f>"95/11/03"</f>
        <v>95/11/03</v>
      </c>
      <c r="I530" s="1" t="str">
        <f t="shared" si="114"/>
        <v>كيلوگرم</v>
      </c>
      <c r="J530" s="1" t="str">
        <f t="shared" si="117"/>
        <v>0000000088</v>
      </c>
      <c r="K530" s="1" t="str">
        <f t="shared" si="118"/>
        <v>قير  PG58-22</v>
      </c>
      <c r="L530" s="1">
        <v>100</v>
      </c>
      <c r="M530" s="1" t="str">
        <f t="shared" si="119"/>
        <v>مخازن قير اصفهان</v>
      </c>
      <c r="N530" s="1">
        <v>8066</v>
      </c>
      <c r="O530" s="1">
        <v>50033444</v>
      </c>
      <c r="P530" s="1" t="str">
        <f>"  پاركت"</f>
        <v xml:space="preserve">  پاركت</v>
      </c>
      <c r="Q530" s="1">
        <v>18</v>
      </c>
      <c r="R530" s="1" t="str">
        <f>"فروش داخلي تهران - وزارت راه - شرکت ساخت و توسعه راهها"</f>
        <v>فروش داخلي تهران - وزارت راه - شرکت ساخت و توسعه راهها</v>
      </c>
      <c r="S530" s="1" t="str">
        <f t="shared" si="115"/>
        <v>قرارداد فروش</v>
      </c>
      <c r="T530" s="1" t="str">
        <f t="shared" si="116"/>
        <v>ندارد</v>
      </c>
      <c r="U530" s="1" t="str">
        <f>"پورصيادان حسين(1841022)"</f>
        <v>پورصيادان حسين(1841022)</v>
      </c>
      <c r="V530" s="1">
        <v>951800130</v>
      </c>
      <c r="W530" s="1">
        <v>951800130</v>
      </c>
      <c r="X530" s="1" t="str">
        <f>"1395454462"</f>
        <v>1395454462</v>
      </c>
      <c r="Y530" s="1" t="str">
        <f>"95/11/03"</f>
        <v>95/11/03</v>
      </c>
      <c r="Z530" s="1" t="str">
        <f>"42043/710"</f>
        <v>42043/710</v>
      </c>
      <c r="AA530" s="1" t="str">
        <f>"شركت  ساخت وتوسعه راهها"</f>
        <v>شركت  ساخت وتوسعه راهها</v>
      </c>
      <c r="AB530" s="1" t="str">
        <f>"95/08/29"</f>
        <v>95/08/29</v>
      </c>
      <c r="AC530" s="1" t="str">
        <f>"استان كرمانشاه"</f>
        <v>استان كرمانشاه</v>
      </c>
      <c r="AD530" s="1" t="str">
        <f>"95/10/05"</f>
        <v>95/10/05</v>
      </c>
      <c r="AE530" s="1" t="str">
        <f t="shared" si="120"/>
        <v>اختتام</v>
      </c>
      <c r="AF530" s="1" t="str">
        <f>""</f>
        <v/>
      </c>
      <c r="AG530" s="1" t="str">
        <f>""</f>
        <v/>
      </c>
      <c r="AH530" s="1" t="str">
        <f>""</f>
        <v/>
      </c>
      <c r="AI530" s="1" t="str">
        <f>""</f>
        <v/>
      </c>
      <c r="AJ530" s="1" t="str">
        <f>""</f>
        <v/>
      </c>
      <c r="AK530" s="1" t="str">
        <f>""</f>
        <v/>
      </c>
    </row>
    <row r="531" spans="1:37" x14ac:dyDescent="0.2">
      <c r="A531" s="1">
        <v>150000</v>
      </c>
      <c r="B531" s="1">
        <v>951900020</v>
      </c>
      <c r="C531" s="1" t="str">
        <f>"تخليه -ديواندره كيلومتر5جاده ديواندره -سنندج-ابتداي جاده دربند-سرچناراه"</f>
        <v>تخليه -ديواندره كيلومتر5جاده ديواندره -سنندج-ابتداي جاده دربند-سرچناراه</v>
      </c>
      <c r="D531" s="1">
        <v>5650</v>
      </c>
      <c r="E531" s="1">
        <v>150000</v>
      </c>
      <c r="F531" s="1">
        <v>95</v>
      </c>
      <c r="G531" s="1">
        <v>0</v>
      </c>
      <c r="H531" s="1" t="str">
        <f>"95/02/28"</f>
        <v>95/02/28</v>
      </c>
      <c r="I531" s="1" t="str">
        <f t="shared" si="114"/>
        <v>كيلوگرم</v>
      </c>
      <c r="J531" s="1" t="str">
        <f t="shared" si="117"/>
        <v>0000000088</v>
      </c>
      <c r="K531" s="1" t="str">
        <f t="shared" si="118"/>
        <v>قير  PG58-22</v>
      </c>
      <c r="L531" s="1">
        <v>100</v>
      </c>
      <c r="M531" s="1" t="str">
        <f t="shared" si="119"/>
        <v>مخازن قير اصفهان</v>
      </c>
      <c r="N531" s="1">
        <v>8390</v>
      </c>
      <c r="O531" s="1">
        <v>50030855</v>
      </c>
      <c r="P531" s="1" t="str">
        <f>"  سرچنار راه"</f>
        <v xml:space="preserve">  سرچنار راه</v>
      </c>
      <c r="Q531" s="1">
        <v>19</v>
      </c>
      <c r="R5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31" s="1" t="str">
        <f t="shared" si="115"/>
        <v>قرارداد فروش</v>
      </c>
      <c r="T531" s="1" t="str">
        <f t="shared" si="116"/>
        <v>ندارد</v>
      </c>
      <c r="U531" s="1" t="str">
        <f>"ميهن دوست عبداله(2842010)"</f>
        <v>ميهن دوست عبداله(2842010)</v>
      </c>
      <c r="V531" s="1">
        <v>951900020</v>
      </c>
      <c r="W531" s="1">
        <v>951900020</v>
      </c>
      <c r="X531" s="1" t="str">
        <f>"1395404434"</f>
        <v>1395404434</v>
      </c>
      <c r="Y531" s="1" t="str">
        <f>"95/02/27"</f>
        <v>95/02/27</v>
      </c>
      <c r="Z531" s="1" t="str">
        <f>"38929/510"</f>
        <v>38929/510</v>
      </c>
      <c r="AA531" s="1" t="str">
        <f>"سازمان راهداري وحمل نقل جاده اي"</f>
        <v>سازمان راهداري وحمل نقل جاده اي</v>
      </c>
      <c r="AB531" s="1" t="str">
        <f>"94/07/14"</f>
        <v>94/07/14</v>
      </c>
      <c r="AC531" s="1" t="str">
        <f>"استان كردستان"</f>
        <v>استان كردستان</v>
      </c>
      <c r="AD531" s="1" t="str">
        <f>"95/02/27"</f>
        <v>95/02/27</v>
      </c>
      <c r="AE531" s="1" t="str">
        <f t="shared" si="120"/>
        <v>اختتام</v>
      </c>
      <c r="AF531" s="1" t="str">
        <f>""</f>
        <v/>
      </c>
      <c r="AG531" s="1" t="str">
        <f>""</f>
        <v/>
      </c>
      <c r="AH531" s="1" t="str">
        <f>""</f>
        <v/>
      </c>
      <c r="AI531" s="1" t="str">
        <f>""</f>
        <v/>
      </c>
      <c r="AJ531" s="1" t="str">
        <f>""</f>
        <v/>
      </c>
      <c r="AK531" s="1" t="str">
        <f>""</f>
        <v/>
      </c>
    </row>
    <row r="532" spans="1:37" x14ac:dyDescent="0.2">
      <c r="A532" s="1">
        <v>300000</v>
      </c>
      <c r="B532" s="1">
        <v>951900049</v>
      </c>
      <c r="C532" s="1" t="str">
        <f>"تخليه -كيلومتر22جاده بيجارديواندره كارخانه آسفالت قزل اوزن"</f>
        <v>تخليه -كيلومتر22جاده بيجارديواندره كارخانه آسفالت قزل اوزن</v>
      </c>
      <c r="D532" s="1">
        <v>6250</v>
      </c>
      <c r="E532" s="1">
        <v>300000</v>
      </c>
      <c r="F532" s="1">
        <v>95</v>
      </c>
      <c r="G532" s="1">
        <v>0</v>
      </c>
      <c r="H532" s="1" t="str">
        <f>"95/04/22"</f>
        <v>95/04/22</v>
      </c>
      <c r="I532" s="1" t="str">
        <f t="shared" si="114"/>
        <v>كيلوگرم</v>
      </c>
      <c r="J532" s="1" t="str">
        <f t="shared" si="117"/>
        <v>0000000088</v>
      </c>
      <c r="K532" s="1" t="str">
        <f t="shared" si="118"/>
        <v>قير  PG58-22</v>
      </c>
      <c r="L532" s="1">
        <v>100</v>
      </c>
      <c r="M532" s="1" t="str">
        <f t="shared" si="119"/>
        <v>مخازن قير اصفهان</v>
      </c>
      <c r="N532" s="1">
        <v>8518</v>
      </c>
      <c r="O532" s="1">
        <v>50031279</v>
      </c>
      <c r="P532" s="1" t="str">
        <f>"  مرصوص بنيان"</f>
        <v xml:space="preserve">  مرصوص بنيان</v>
      </c>
      <c r="Q532" s="1">
        <v>19</v>
      </c>
      <c r="R53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32" s="1" t="str">
        <f t="shared" si="115"/>
        <v>قرارداد فروش</v>
      </c>
      <c r="T532" s="1" t="str">
        <f t="shared" si="116"/>
        <v>ندارد</v>
      </c>
      <c r="U532" s="1" t="str">
        <f>"ميهن دوست عبداله(2842010)"</f>
        <v>ميهن دوست عبداله(2842010)</v>
      </c>
      <c r="V532" s="1">
        <v>951900049</v>
      </c>
      <c r="W532" s="1">
        <v>951900049</v>
      </c>
      <c r="X532" s="1" t="str">
        <f>"1395414668"</f>
        <v>1395414668</v>
      </c>
      <c r="Y532" s="1" t="str">
        <f>"95/04/22"</f>
        <v>95/04/22</v>
      </c>
      <c r="Z532" s="1" t="str">
        <f>"16798/510"</f>
        <v>16798/510</v>
      </c>
      <c r="AA532" s="1" t="str">
        <f>"سازمان راهداري وحمل نقل جاده اي"</f>
        <v>سازمان راهداري وحمل نقل جاده اي</v>
      </c>
      <c r="AB532" s="1" t="str">
        <f>"95/04/20"</f>
        <v>95/04/20</v>
      </c>
      <c r="AC532" s="1" t="str">
        <f>"استان كردستان"</f>
        <v>استان كردستان</v>
      </c>
      <c r="AD532" s="1" t="str">
        <f>"95/04/22"</f>
        <v>95/04/22</v>
      </c>
      <c r="AE532" s="1" t="str">
        <f t="shared" si="120"/>
        <v>اختتام</v>
      </c>
      <c r="AF532" s="1" t="str">
        <f>""</f>
        <v/>
      </c>
      <c r="AG532" s="1" t="str">
        <f>""</f>
        <v/>
      </c>
      <c r="AH532" s="1" t="str">
        <f>""</f>
        <v/>
      </c>
      <c r="AI532" s="1" t="str">
        <f>""</f>
        <v/>
      </c>
      <c r="AJ532" s="1" t="str">
        <f>""</f>
        <v/>
      </c>
      <c r="AK532" s="1" t="str">
        <f>""</f>
        <v/>
      </c>
    </row>
    <row r="533" spans="1:37" x14ac:dyDescent="0.2">
      <c r="A533" s="1">
        <v>250000</v>
      </c>
      <c r="B533" s="1">
        <v>951600017</v>
      </c>
      <c r="C533" s="1" t="str">
        <f>"تخليه -كيلومتر22جاده بيجارديواندره كارخانه آسفالت قزل اوزن"</f>
        <v>تخليه -كيلومتر22جاده بيجارديواندره كارخانه آسفالت قزل اوزن</v>
      </c>
      <c r="D533" s="1">
        <v>6726</v>
      </c>
      <c r="E533" s="1">
        <v>249760</v>
      </c>
      <c r="F533" s="1">
        <v>95</v>
      </c>
      <c r="G533" s="1">
        <v>240</v>
      </c>
      <c r="H533" s="1" t="str">
        <f>"95/05/18"</f>
        <v>95/05/18</v>
      </c>
      <c r="I533" s="1" t="str">
        <f t="shared" si="114"/>
        <v>كيلوگرم</v>
      </c>
      <c r="J533" s="1" t="str">
        <f t="shared" si="117"/>
        <v>0000000088</v>
      </c>
      <c r="K533" s="1" t="str">
        <f t="shared" si="118"/>
        <v>قير  PG58-22</v>
      </c>
      <c r="L533" s="1">
        <v>100</v>
      </c>
      <c r="M533" s="1" t="str">
        <f t="shared" si="119"/>
        <v>مخازن قير اصفهان</v>
      </c>
      <c r="N533" s="1">
        <v>8518</v>
      </c>
      <c r="O533" s="1">
        <v>50031473</v>
      </c>
      <c r="P533" s="1" t="str">
        <f>"  مرصوص بنيان"</f>
        <v xml:space="preserve">  مرصوص بنيان</v>
      </c>
      <c r="Q533" s="1">
        <v>16</v>
      </c>
      <c r="R533" s="1" t="str">
        <f>"فروش داخلي تهران - وزارت راه - معاونت اقتصاد"</f>
        <v>فروش داخلي تهران - وزارت راه - معاونت اقتصاد</v>
      </c>
      <c r="S533" s="1" t="str">
        <f t="shared" si="115"/>
        <v>قرارداد فروش</v>
      </c>
      <c r="T533" s="1" t="str">
        <f t="shared" si="116"/>
        <v>ندارد</v>
      </c>
      <c r="U533" s="1" t="str">
        <f>"ميهن دوست عبداله(2842010)"</f>
        <v>ميهن دوست عبداله(2842010)</v>
      </c>
      <c r="V533" s="1">
        <v>951600017</v>
      </c>
      <c r="W533" s="1">
        <v>951600017</v>
      </c>
      <c r="X533" s="1" t="str">
        <f>"1395421993"</f>
        <v>1395421993</v>
      </c>
      <c r="Y533" s="1" t="str">
        <f>"95/05/18"</f>
        <v>95/05/18</v>
      </c>
      <c r="Z533" s="1" t="str">
        <f>"21863/510"</f>
        <v>21863/510</v>
      </c>
      <c r="AA533" s="1" t="str">
        <f>"معاونت اقتصادوزارت راه وشهرسازي"</f>
        <v>معاونت اقتصادوزارت راه وشهرسازي</v>
      </c>
      <c r="AB533" s="1" t="str">
        <f>"95/05/16"</f>
        <v>95/05/16</v>
      </c>
      <c r="AC533" s="1" t="str">
        <f>"استان كردستان"</f>
        <v>استان كردستان</v>
      </c>
      <c r="AD533" s="1" t="str">
        <f>"95/05/18"</f>
        <v>95/05/18</v>
      </c>
      <c r="AE533" s="1" t="str">
        <f t="shared" si="120"/>
        <v>اختتام</v>
      </c>
      <c r="AF533" s="1" t="str">
        <f>""</f>
        <v/>
      </c>
      <c r="AG533" s="1" t="str">
        <f>""</f>
        <v/>
      </c>
      <c r="AH533" s="1" t="str">
        <f>""</f>
        <v/>
      </c>
      <c r="AI533" s="1" t="str">
        <f>""</f>
        <v/>
      </c>
      <c r="AJ533" s="1" t="str">
        <f>""</f>
        <v/>
      </c>
      <c r="AK533" s="1" t="str">
        <f>""</f>
        <v/>
      </c>
    </row>
    <row r="534" spans="1:37" x14ac:dyDescent="0.2">
      <c r="A534" s="1">
        <v>100000</v>
      </c>
      <c r="B534" s="1">
        <v>951100135</v>
      </c>
      <c r="C534" s="1" t="str">
        <f>"تخليه -انارك 5كيلومتر ي انارك كارخانه اسفالت شركت فرد سازه سپاهان"</f>
        <v>تخليه -انارك 5كيلومتر ي انارك كارخانه اسفالت شركت فرد سازه سپاهان</v>
      </c>
      <c r="D534" s="1">
        <v>8973</v>
      </c>
      <c r="E534" s="1">
        <v>92840</v>
      </c>
      <c r="F534" s="1">
        <v>95</v>
      </c>
      <c r="G534" s="1">
        <v>7160</v>
      </c>
      <c r="H534" s="1" t="str">
        <f>"95/08/12"</f>
        <v>95/08/12</v>
      </c>
      <c r="I534" s="1" t="str">
        <f t="shared" si="114"/>
        <v>كيلوگرم</v>
      </c>
      <c r="J534" s="1" t="str">
        <f>"0000000076"</f>
        <v>0000000076</v>
      </c>
      <c r="K534" s="1" t="str">
        <f>"قير 60/70 - فله"</f>
        <v>قير 60/70 - فله</v>
      </c>
      <c r="L534" s="1">
        <v>100</v>
      </c>
      <c r="M534" s="1" t="str">
        <f t="shared" si="119"/>
        <v>مخازن قير اصفهان</v>
      </c>
      <c r="N534" s="1">
        <v>7325</v>
      </c>
      <c r="O534" s="1">
        <v>50032474</v>
      </c>
      <c r="P534" s="1" t="str">
        <f>"  فردسازه سپاهان"</f>
        <v xml:space="preserve">  فردسازه سپاهان</v>
      </c>
      <c r="Q534" s="1">
        <v>11</v>
      </c>
      <c r="R534" s="1" t="str">
        <f>"فروش داخلي تهران - بورس"</f>
        <v>فروش داخلي تهران - بورس</v>
      </c>
      <c r="S534" s="1" t="str">
        <f t="shared" si="115"/>
        <v>قرارداد فروش</v>
      </c>
      <c r="T534" s="1" t="str">
        <f t="shared" si="116"/>
        <v>ندارد</v>
      </c>
      <c r="U534" s="1" t="str">
        <f>"علي عابدي ابوالقاسم(1003ج89)"</f>
        <v>علي عابدي ابوالقاسم(1003ج89)</v>
      </c>
      <c r="V534" s="1">
        <v>951100135</v>
      </c>
      <c r="W534" s="1">
        <v>951100135</v>
      </c>
      <c r="X534" s="1" t="str">
        <f>"1395441435"</f>
        <v>1395441435</v>
      </c>
      <c r="Y534" s="1" t="str">
        <f>"95/08/11"</f>
        <v>95/08/11</v>
      </c>
      <c r="Z534" s="1" t="str">
        <f>"95-34775"</f>
        <v>95-34775</v>
      </c>
      <c r="AA534" s="1" t="str">
        <f>"راه سازي"</f>
        <v>راه سازي</v>
      </c>
      <c r="AB534" s="1" t="str">
        <f>"95/08/11"</f>
        <v>95/08/11</v>
      </c>
      <c r="AC534" s="1" t="str">
        <f>"استان اصفهان"</f>
        <v>استان اصفهان</v>
      </c>
      <c r="AD534" s="1" t="str">
        <f>"95/08/11"</f>
        <v>95/08/11</v>
      </c>
      <c r="AE534" s="1" t="str">
        <f t="shared" si="120"/>
        <v>اختتام</v>
      </c>
      <c r="AF534" s="1" t="str">
        <f>""</f>
        <v/>
      </c>
      <c r="AG534" s="1" t="str">
        <f>""</f>
        <v/>
      </c>
      <c r="AH534" s="1" t="str">
        <f>""</f>
        <v/>
      </c>
      <c r="AI534" s="1" t="str">
        <f>""</f>
        <v/>
      </c>
      <c r="AJ534" s="1" t="str">
        <f>""</f>
        <v/>
      </c>
      <c r="AK534" s="1" t="str">
        <f>""</f>
        <v/>
      </c>
    </row>
    <row r="535" spans="1:37" x14ac:dyDescent="0.2">
      <c r="A535" s="1">
        <v>500000</v>
      </c>
      <c r="B535" s="1">
        <v>951800072</v>
      </c>
      <c r="C535" s="1" t="str">
        <f>"تخليه -چهارمحال وبختياري -كيلومتر25جاده بروجن -لردگان كارگاه شركت ابنيه فني تهران"</f>
        <v>تخليه -چهارمحال وبختياري -كيلومتر25جاده بروجن -لردگان كارگاه شركت ابنيه فني تهران</v>
      </c>
      <c r="D535" s="1">
        <v>7276</v>
      </c>
      <c r="E535" s="1">
        <v>357960</v>
      </c>
      <c r="F535" s="1">
        <v>95</v>
      </c>
      <c r="G535" s="1">
        <v>142040</v>
      </c>
      <c r="H535" s="1" t="str">
        <f>"95/07/04"</f>
        <v>95/07/04</v>
      </c>
      <c r="I535" s="1" t="str">
        <f t="shared" si="114"/>
        <v>كيلوگرم</v>
      </c>
      <c r="J535" s="1" t="str">
        <f t="shared" ref="J535:J541" si="123">"0000000088"</f>
        <v>0000000088</v>
      </c>
      <c r="K535" s="1" t="str">
        <f t="shared" ref="K535:K541" si="124">"قير  PG58-22"</f>
        <v>قير  PG58-22</v>
      </c>
      <c r="L535" s="1">
        <v>100</v>
      </c>
      <c r="M535" s="1" t="str">
        <f t="shared" si="119"/>
        <v>مخازن قير اصفهان</v>
      </c>
      <c r="N535" s="1">
        <v>8694</v>
      </c>
      <c r="O535" s="1">
        <v>50031934</v>
      </c>
      <c r="P535" s="1" t="str">
        <f>"  ابنيه فني تهران"</f>
        <v xml:space="preserve">  ابنيه فني تهران</v>
      </c>
      <c r="Q535" s="1">
        <v>18</v>
      </c>
      <c r="R535" s="1" t="str">
        <f>"فروش داخلي تهران - وزارت راه - شرکت ساخت و توسعه راهها"</f>
        <v>فروش داخلي تهران - وزارت راه - شرکت ساخت و توسعه راهها</v>
      </c>
      <c r="S535" s="1" t="str">
        <f t="shared" si="115"/>
        <v>قرارداد فروش</v>
      </c>
      <c r="T535" s="1" t="str">
        <f t="shared" si="116"/>
        <v>ندارد</v>
      </c>
      <c r="U535" s="1" t="str">
        <f>"مظلوم فريبرز(1008ج89)"</f>
        <v>مظلوم فريبرز(1008ج89)</v>
      </c>
      <c r="V535" s="1">
        <v>951800072</v>
      </c>
      <c r="W535" s="1">
        <v>951800072</v>
      </c>
      <c r="X535" s="1" t="str">
        <f>"1395433643"</f>
        <v>1395433643</v>
      </c>
      <c r="Y535" s="1" t="str">
        <f>"95/07/04"</f>
        <v>95/07/04</v>
      </c>
      <c r="Z535" s="1" t="str">
        <f>"30706/510"</f>
        <v>30706/510</v>
      </c>
      <c r="AA535" s="1" t="str">
        <f>"شركت  ساخت وتوسعه راهها"</f>
        <v>شركت  ساخت وتوسعه راهها</v>
      </c>
      <c r="AB535" s="1" t="str">
        <f>"95/06/28"</f>
        <v>95/06/28</v>
      </c>
      <c r="AC535" s="1" t="str">
        <f>"استان چهارمحال بختياري"</f>
        <v>استان چهارمحال بختياري</v>
      </c>
      <c r="AD535" s="1" t="str">
        <f>"95/07/04"</f>
        <v>95/07/04</v>
      </c>
      <c r="AE535" s="1" t="str">
        <f t="shared" si="120"/>
        <v>اختتام</v>
      </c>
      <c r="AF535" s="1" t="str">
        <f>""</f>
        <v/>
      </c>
      <c r="AG535" s="1" t="str">
        <f>""</f>
        <v/>
      </c>
      <c r="AH535" s="1" t="str">
        <f>""</f>
        <v/>
      </c>
      <c r="AI535" s="1" t="str">
        <f>""</f>
        <v/>
      </c>
      <c r="AJ535" s="1" t="str">
        <f>""</f>
        <v/>
      </c>
      <c r="AK535" s="1" t="str">
        <f>""</f>
        <v/>
      </c>
    </row>
    <row r="536" spans="1:37" x14ac:dyDescent="0.2">
      <c r="A536" s="1">
        <v>205000</v>
      </c>
      <c r="B536" s="1">
        <v>951700050</v>
      </c>
      <c r="C536" s="1" t="str">
        <f>"تخليه -كردستان مريوان كيلومتر10جاده مريوان سقزكارخانه آسفالت شهرداري مريوان"</f>
        <v>تخليه -كردستان مريوان كيلومتر10جاده مريوان سقزكارخانه آسفالت شهرداري مريوان</v>
      </c>
      <c r="D536" s="1">
        <v>6050</v>
      </c>
      <c r="E536" s="1">
        <v>204200</v>
      </c>
      <c r="F536" s="1">
        <v>95</v>
      </c>
      <c r="G536" s="1">
        <v>800</v>
      </c>
      <c r="H536" s="1" t="str">
        <f>"95/03/30"</f>
        <v>95/03/30</v>
      </c>
      <c r="I536" s="1" t="str">
        <f t="shared" si="114"/>
        <v>كيلوگرم</v>
      </c>
      <c r="J536" s="1" t="str">
        <f t="shared" si="123"/>
        <v>0000000088</v>
      </c>
      <c r="K536" s="1" t="str">
        <f t="shared" si="124"/>
        <v>قير  PG58-22</v>
      </c>
      <c r="L536" s="1">
        <v>100</v>
      </c>
      <c r="M536" s="1" t="str">
        <f t="shared" si="119"/>
        <v>مخازن قير اصفهان</v>
      </c>
      <c r="N536" s="1">
        <v>10406</v>
      </c>
      <c r="O536" s="1">
        <v>50031082</v>
      </c>
      <c r="P536" s="1" t="str">
        <f>"  اداره كل راه وشهرسازي كردستان"</f>
        <v xml:space="preserve">  اداره كل راه وشهرسازي كردستان</v>
      </c>
      <c r="Q536" s="1">
        <v>17</v>
      </c>
      <c r="R536" s="1" t="str">
        <f>"فروش داخلي تهران - وزارت راه - راه روستايي - روکش"</f>
        <v>فروش داخلي تهران - وزارت راه - راه روستايي - روکش</v>
      </c>
      <c r="S536" s="1" t="str">
        <f t="shared" si="115"/>
        <v>قرارداد فروش</v>
      </c>
      <c r="T536" s="1" t="str">
        <f t="shared" si="116"/>
        <v>ندارد</v>
      </c>
      <c r="U536" s="1" t="str">
        <f>"فلاحان سعيد(2842025)"</f>
        <v>فلاحان سعيد(2842025)</v>
      </c>
      <c r="V536" s="1">
        <v>951700050</v>
      </c>
      <c r="W536" s="1">
        <v>951700050</v>
      </c>
      <c r="X536" s="1" t="str">
        <f>"1395410160"</f>
        <v>1395410160</v>
      </c>
      <c r="Y536" s="1" t="str">
        <f>"95/03/30"</f>
        <v>95/03/30</v>
      </c>
      <c r="Z536" s="1" t="str">
        <f>"12069/510"</f>
        <v>12069/510</v>
      </c>
      <c r="AA536" s="1" t="str">
        <f>"راه روستائي -روكش"</f>
        <v>راه روستائي -روكش</v>
      </c>
      <c r="AB536" s="1" t="str">
        <f>"95/03/24"</f>
        <v>95/03/24</v>
      </c>
      <c r="AC536" s="1" t="str">
        <f>"استان كردستان"</f>
        <v>استان كردستان</v>
      </c>
      <c r="AD536" s="1" t="str">
        <f>"95/03/30"</f>
        <v>95/03/30</v>
      </c>
      <c r="AE536" s="1" t="str">
        <f t="shared" si="120"/>
        <v>اختتام</v>
      </c>
      <c r="AF536" s="1" t="str">
        <f>""</f>
        <v/>
      </c>
      <c r="AG536" s="1" t="str">
        <f>""</f>
        <v/>
      </c>
      <c r="AH536" s="1" t="str">
        <f>""</f>
        <v/>
      </c>
      <c r="AI536" s="1" t="str">
        <f>""</f>
        <v/>
      </c>
      <c r="AJ536" s="1" t="str">
        <f>""</f>
        <v/>
      </c>
      <c r="AK536" s="1" t="str">
        <f>""</f>
        <v/>
      </c>
    </row>
    <row r="537" spans="1:37" x14ac:dyDescent="0.2">
      <c r="A537" s="1">
        <v>520000</v>
      </c>
      <c r="B537" s="1">
        <v>956100014</v>
      </c>
      <c r="C537" s="1" t="str">
        <f>"تخليه كردستان سنندج كيلومتر20جاده كامياران شركت 163"</f>
        <v>تخليه كردستان سنندج كيلومتر20جاده كامياران شركت 163</v>
      </c>
      <c r="D537" s="1">
        <v>7276</v>
      </c>
      <c r="E537" s="1">
        <v>519960</v>
      </c>
      <c r="F537" s="1">
        <v>95</v>
      </c>
      <c r="G537" s="1">
        <v>40</v>
      </c>
      <c r="H537" s="1" t="str">
        <f>"95/07/04"</f>
        <v>95/07/04</v>
      </c>
      <c r="I537" s="1" t="str">
        <f t="shared" si="114"/>
        <v>كيلوگرم</v>
      </c>
      <c r="J537" s="1" t="str">
        <f t="shared" si="123"/>
        <v>0000000088</v>
      </c>
      <c r="K537" s="1" t="str">
        <f t="shared" si="124"/>
        <v>قير  PG58-22</v>
      </c>
      <c r="L537" s="1">
        <v>100</v>
      </c>
      <c r="M537" s="1" t="str">
        <f t="shared" si="119"/>
        <v>مخازن قير اصفهان</v>
      </c>
      <c r="N537" s="1">
        <v>10406</v>
      </c>
      <c r="O537" s="1">
        <v>50031927</v>
      </c>
      <c r="P537" s="1" t="str">
        <f>"  اداره كل راه وشهرسازي كردستان"</f>
        <v xml:space="preserve">  اداره كل راه وشهرسازي كردستان</v>
      </c>
      <c r="Q537" s="1">
        <v>61</v>
      </c>
      <c r="R537" s="1" t="str">
        <f>"فروش داخلي - وزارت راه - مسكن مهر"</f>
        <v>فروش داخلي - وزارت راه - مسكن مهر</v>
      </c>
      <c r="S537" s="1" t="str">
        <f t="shared" si="115"/>
        <v>قرارداد فروش</v>
      </c>
      <c r="T537" s="1" t="str">
        <f t="shared" si="116"/>
        <v>ندارد</v>
      </c>
      <c r="U537" s="1" t="str">
        <f>"ميهن دوست عبداله(2842010)"</f>
        <v>ميهن دوست عبداله(2842010)</v>
      </c>
      <c r="V537" s="1">
        <v>956100014</v>
      </c>
      <c r="W537" s="1">
        <v>956100014</v>
      </c>
      <c r="X537" s="1" t="str">
        <f>"1395433649"</f>
        <v>1395433649</v>
      </c>
      <c r="Y537" s="1" t="str">
        <f>"95/07/04"</f>
        <v>95/07/04</v>
      </c>
      <c r="Z537" s="1" t="str">
        <f>"31188/510"</f>
        <v>31188/510</v>
      </c>
      <c r="AA537" s="1" t="str">
        <f>"مسكن مهر-وزارت راه"</f>
        <v>مسكن مهر-وزارت راه</v>
      </c>
      <c r="AB537" s="1" t="str">
        <f>"95/06/31"</f>
        <v>95/06/31</v>
      </c>
      <c r="AC537" s="1" t="str">
        <f>"استان كردستان"</f>
        <v>استان كردستان</v>
      </c>
      <c r="AD537" s="1" t="str">
        <f>"95/07/04"</f>
        <v>95/07/04</v>
      </c>
      <c r="AE537" s="1" t="str">
        <f t="shared" si="120"/>
        <v>اختتام</v>
      </c>
      <c r="AF537" s="1" t="str">
        <f>""</f>
        <v/>
      </c>
      <c r="AG537" s="1" t="str">
        <f>""</f>
        <v/>
      </c>
      <c r="AH537" s="1" t="str">
        <f>""</f>
        <v/>
      </c>
      <c r="AI537" s="1" t="str">
        <f>""</f>
        <v/>
      </c>
      <c r="AJ537" s="1" t="str">
        <f>""</f>
        <v/>
      </c>
      <c r="AK537" s="1" t="str">
        <f>""</f>
        <v/>
      </c>
    </row>
    <row r="538" spans="1:37" x14ac:dyDescent="0.2">
      <c r="A538" s="1">
        <v>120000</v>
      </c>
      <c r="B538" s="1">
        <v>956100019</v>
      </c>
      <c r="C538" s="1" t="str">
        <f>"تخليه كردستان كيلومتر20جاده سقزبانه كارخانه آقاي نبي حسيني"</f>
        <v>تخليه كردستان كيلومتر20جاده سقزبانه كارخانه آقاي نبي حسيني</v>
      </c>
      <c r="D538" s="1">
        <v>7276</v>
      </c>
      <c r="E538" s="1">
        <v>120000</v>
      </c>
      <c r="F538" s="1">
        <v>95</v>
      </c>
      <c r="G538" s="1">
        <v>0</v>
      </c>
      <c r="H538" s="1" t="str">
        <f>"95/07/04"</f>
        <v>95/07/04</v>
      </c>
      <c r="I538" s="1" t="str">
        <f t="shared" si="114"/>
        <v>كيلوگرم</v>
      </c>
      <c r="J538" s="1" t="str">
        <f t="shared" si="123"/>
        <v>0000000088</v>
      </c>
      <c r="K538" s="1" t="str">
        <f t="shared" si="124"/>
        <v>قير  PG58-22</v>
      </c>
      <c r="L538" s="1">
        <v>100</v>
      </c>
      <c r="M538" s="1" t="str">
        <f t="shared" si="119"/>
        <v>مخازن قير اصفهان</v>
      </c>
      <c r="N538" s="1">
        <v>10406</v>
      </c>
      <c r="O538" s="1">
        <v>50031932</v>
      </c>
      <c r="P538" s="1" t="str">
        <f>"  اداره كل راه وشهرسازي كردستان"</f>
        <v xml:space="preserve">  اداره كل راه وشهرسازي كردستان</v>
      </c>
      <c r="Q538" s="1">
        <v>61</v>
      </c>
      <c r="R538" s="1" t="str">
        <f>"فروش داخلي - وزارت راه - مسكن مهر"</f>
        <v>فروش داخلي - وزارت راه - مسكن مهر</v>
      </c>
      <c r="S538" s="1" t="str">
        <f t="shared" si="115"/>
        <v>قرارداد فروش</v>
      </c>
      <c r="T538" s="1" t="str">
        <f t="shared" si="116"/>
        <v>ندارد</v>
      </c>
      <c r="U538" s="1" t="str">
        <f>"ميهن دوست عبداله(2842010)"</f>
        <v>ميهن دوست عبداله(2842010)</v>
      </c>
      <c r="V538" s="1">
        <v>956100019</v>
      </c>
      <c r="W538" s="1">
        <v>956100019</v>
      </c>
      <c r="X538" s="1" t="str">
        <f>"1395433649"</f>
        <v>1395433649</v>
      </c>
      <c r="Y538" s="1" t="str">
        <f>"95/07/04"</f>
        <v>95/07/04</v>
      </c>
      <c r="Z538" s="1" t="str">
        <f>"31188/510"</f>
        <v>31188/510</v>
      </c>
      <c r="AA538" s="1" t="str">
        <f>"مسكن مهر-وزارت راه"</f>
        <v>مسكن مهر-وزارت راه</v>
      </c>
      <c r="AB538" s="1" t="str">
        <f>"95/06/31"</f>
        <v>95/06/31</v>
      </c>
      <c r="AC538" s="1" t="str">
        <f>"استان كردستان"</f>
        <v>استان كردستان</v>
      </c>
      <c r="AD538" s="1" t="str">
        <f>"95/07/04"</f>
        <v>95/07/04</v>
      </c>
      <c r="AE538" s="1" t="str">
        <f t="shared" si="120"/>
        <v>اختتام</v>
      </c>
      <c r="AF538" s="1" t="str">
        <f>""</f>
        <v/>
      </c>
      <c r="AG538" s="1" t="str">
        <f>""</f>
        <v/>
      </c>
      <c r="AH538" s="1" t="str">
        <f>""</f>
        <v/>
      </c>
      <c r="AI538" s="1" t="str">
        <f>""</f>
        <v/>
      </c>
      <c r="AJ538" s="1" t="str">
        <f>""</f>
        <v/>
      </c>
      <c r="AK538" s="1" t="str">
        <f>""</f>
        <v/>
      </c>
    </row>
    <row r="539" spans="1:37" x14ac:dyDescent="0.2">
      <c r="A539" s="1">
        <v>805300</v>
      </c>
      <c r="B539" s="1">
        <v>951700314</v>
      </c>
      <c r="C539" s="1" t="str">
        <f>"تخليه -كردستان مريوان كيلومتر10جاده مريوان سقزكارخانه آسفالت شهرداري مريوان"</f>
        <v>تخليه -كردستان مريوان كيلومتر10جاده مريوان سقزكارخانه آسفالت شهرداري مريوان</v>
      </c>
      <c r="D539" s="1">
        <v>8854</v>
      </c>
      <c r="E539" s="1">
        <v>803340</v>
      </c>
      <c r="F539" s="1">
        <v>95</v>
      </c>
      <c r="G539" s="1">
        <v>1960</v>
      </c>
      <c r="H539" s="1" t="str">
        <f>"95/11/03"</f>
        <v>95/11/03</v>
      </c>
      <c r="I539" s="1" t="str">
        <f t="shared" si="114"/>
        <v>كيلوگرم</v>
      </c>
      <c r="J539" s="1" t="str">
        <f t="shared" si="123"/>
        <v>0000000088</v>
      </c>
      <c r="K539" s="1" t="str">
        <f t="shared" si="124"/>
        <v>قير  PG58-22</v>
      </c>
      <c r="L539" s="1">
        <v>100</v>
      </c>
      <c r="M539" s="1" t="str">
        <f t="shared" si="119"/>
        <v>مخازن قير اصفهان</v>
      </c>
      <c r="N539" s="1">
        <v>10406</v>
      </c>
      <c r="O539" s="1">
        <v>50033433</v>
      </c>
      <c r="P539" s="1" t="str">
        <f>"  اداره كل راه وشهرسازي كردستان"</f>
        <v xml:space="preserve">  اداره كل راه وشهرسازي كردستان</v>
      </c>
      <c r="Q539" s="1">
        <v>17</v>
      </c>
      <c r="R539" s="1" t="str">
        <f>"فروش داخلي تهران - وزارت راه - راه روستايي - روکش"</f>
        <v>فروش داخلي تهران - وزارت راه - راه روستايي - روکش</v>
      </c>
      <c r="S539" s="1" t="str">
        <f t="shared" si="115"/>
        <v>قرارداد فروش</v>
      </c>
      <c r="T539" s="1" t="str">
        <f t="shared" si="116"/>
        <v>ندارد</v>
      </c>
      <c r="U539" s="1" t="str">
        <f>"فلاحان سعيد(2842025)"</f>
        <v>فلاحان سعيد(2842025)</v>
      </c>
      <c r="V539" s="1">
        <v>951700314</v>
      </c>
      <c r="W539" s="1">
        <v>951700314</v>
      </c>
      <c r="X539" s="1" t="str">
        <f>"1395457940"</f>
        <v>1395457940</v>
      </c>
      <c r="Y539" s="1" t="str">
        <f>"95/11/03"</f>
        <v>95/11/03</v>
      </c>
      <c r="Z539" s="1" t="str">
        <f>"51875/710"</f>
        <v>51875/710</v>
      </c>
      <c r="AA539" s="1" t="str">
        <f>"راه روستائي -روكش"</f>
        <v>راه روستائي -روكش</v>
      </c>
      <c r="AB539" s="1" t="str">
        <f>"95/10/20"</f>
        <v>95/10/20</v>
      </c>
      <c r="AC539" s="1" t="str">
        <f>"استان كردستان"</f>
        <v>استان كردستان</v>
      </c>
      <c r="AD539" s="1" t="str">
        <f>"95/10/22"</f>
        <v>95/10/22</v>
      </c>
      <c r="AE539" s="1" t="str">
        <f t="shared" si="120"/>
        <v>اختتام</v>
      </c>
      <c r="AF539" s="1" t="str">
        <f>""</f>
        <v/>
      </c>
      <c r="AG539" s="1" t="str">
        <f>""</f>
        <v/>
      </c>
      <c r="AH539" s="1" t="str">
        <f>""</f>
        <v/>
      </c>
      <c r="AI539" s="1" t="str">
        <f>""</f>
        <v/>
      </c>
      <c r="AJ539" s="1" t="str">
        <f>""</f>
        <v/>
      </c>
      <c r="AK539" s="1" t="str">
        <f>""</f>
        <v/>
      </c>
    </row>
    <row r="540" spans="1:37" x14ac:dyDescent="0.2">
      <c r="A540" s="1">
        <v>300000</v>
      </c>
      <c r="B540" s="1">
        <v>951900006</v>
      </c>
      <c r="C540" s="1" t="str">
        <f>"تخليه-مبارکه-روبروي شهر طالخونچه-منطقه صنعتي امير کبير-کارخانه آسفالت نويدنورسپاهان"</f>
        <v>تخليه-مبارکه-روبروي شهر طالخونچه-منطقه صنعتي امير کبير-کارخانه آسفالت نويدنورسپاهان</v>
      </c>
      <c r="D540" s="1">
        <v>5650</v>
      </c>
      <c r="E540" s="1">
        <v>299980</v>
      </c>
      <c r="F540" s="1">
        <v>95</v>
      </c>
      <c r="G540" s="1">
        <v>20</v>
      </c>
      <c r="H540" s="1" t="str">
        <f>"95/02/14"</f>
        <v>95/02/14</v>
      </c>
      <c r="I540" s="1" t="str">
        <f t="shared" si="114"/>
        <v>كيلوگرم</v>
      </c>
      <c r="J540" s="1" t="str">
        <f t="shared" si="123"/>
        <v>0000000088</v>
      </c>
      <c r="K540" s="1" t="str">
        <f t="shared" si="124"/>
        <v>قير  PG58-22</v>
      </c>
      <c r="L540" s="1">
        <v>100</v>
      </c>
      <c r="M540" s="1" t="str">
        <f t="shared" si="119"/>
        <v>مخازن قير اصفهان</v>
      </c>
      <c r="N540" s="1">
        <v>10497</v>
      </c>
      <c r="O540" s="1">
        <v>50030715</v>
      </c>
      <c r="P540" s="1" t="str">
        <f>"  نويدنورسپاهان"</f>
        <v xml:space="preserve">  نويدنورسپاهان</v>
      </c>
      <c r="Q540" s="1">
        <v>19</v>
      </c>
      <c r="R5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40" s="1" t="str">
        <f t="shared" si="115"/>
        <v>قرارداد فروش</v>
      </c>
      <c r="T540" s="1" t="str">
        <f t="shared" si="116"/>
        <v>ندارد</v>
      </c>
      <c r="U540" s="1" t="str">
        <f>"شهبازي محمدرضا(1029ج89)"</f>
        <v>شهبازي محمدرضا(1029ج89)</v>
      </c>
      <c r="V540" s="1">
        <v>951900006</v>
      </c>
      <c r="W540" s="1">
        <v>951900006</v>
      </c>
      <c r="X540" s="1" t="str">
        <f>"1395401771"</f>
        <v>1395401771</v>
      </c>
      <c r="Y540" s="1" t="str">
        <f>"95/02/14"</f>
        <v>95/02/14</v>
      </c>
      <c r="Z540" s="1" t="str">
        <f>"64671/510"</f>
        <v>64671/510</v>
      </c>
      <c r="AA540" s="1" t="str">
        <f>"سازمان راهداري وحمل نقل جاده اي"</f>
        <v>سازمان راهداري وحمل نقل جاده اي</v>
      </c>
      <c r="AB540" s="1" t="str">
        <f>"94/11/24"</f>
        <v>94/11/24</v>
      </c>
      <c r="AC540" s="1" t="str">
        <f>"استان اصفهان"</f>
        <v>استان اصفهان</v>
      </c>
      <c r="AD540" s="1" t="str">
        <f>"95/02/08"</f>
        <v>95/02/08</v>
      </c>
      <c r="AE540" s="1" t="str">
        <f t="shared" si="120"/>
        <v>اختتام</v>
      </c>
      <c r="AF540" s="1" t="str">
        <f>""</f>
        <v/>
      </c>
      <c r="AG540" s="1" t="str">
        <f>""</f>
        <v/>
      </c>
      <c r="AH540" s="1" t="str">
        <f>""</f>
        <v/>
      </c>
      <c r="AI540" s="1" t="str">
        <f>""</f>
        <v/>
      </c>
      <c r="AJ540" s="1" t="str">
        <f>""</f>
        <v/>
      </c>
      <c r="AK540" s="1" t="str">
        <f>""</f>
        <v/>
      </c>
    </row>
    <row r="541" spans="1:37" x14ac:dyDescent="0.2">
      <c r="A541" s="1">
        <v>90000</v>
      </c>
      <c r="B541" s="1">
        <v>951700079</v>
      </c>
      <c r="C541" s="1" t="str">
        <f>"تخليه -كردستان -قروه -كيلومتر7جاده قروه به سنندج -جنب شهرك آونگان -كارخانه آسفالت شركت آونگان"</f>
        <v>تخليه -كردستان -قروه -كيلومتر7جاده قروه به سنندج -جنب شهرك آونگان -كارخانه آسفالت شركت آونگان</v>
      </c>
      <c r="D541" s="1">
        <v>6250</v>
      </c>
      <c r="E541" s="1">
        <v>89440</v>
      </c>
      <c r="F541" s="1">
        <v>95</v>
      </c>
      <c r="G541" s="1">
        <v>560</v>
      </c>
      <c r="H541" s="1" t="str">
        <f>"95/04/13"</f>
        <v>95/04/13</v>
      </c>
      <c r="I541" s="1" t="str">
        <f t="shared" si="114"/>
        <v>كيلوگرم</v>
      </c>
      <c r="J541" s="1" t="str">
        <f t="shared" si="123"/>
        <v>0000000088</v>
      </c>
      <c r="K541" s="1" t="str">
        <f t="shared" si="124"/>
        <v>قير  PG58-22</v>
      </c>
      <c r="L541" s="1">
        <v>100</v>
      </c>
      <c r="M541" s="1" t="str">
        <f t="shared" si="119"/>
        <v>مخازن قير اصفهان</v>
      </c>
      <c r="N541" s="1">
        <v>10928</v>
      </c>
      <c r="O541" s="1">
        <v>50031185</v>
      </c>
      <c r="P541" s="1" t="str">
        <f>"  برق و راه و ساختمان آونگان"</f>
        <v xml:space="preserve">  برق و راه و ساختمان آونگان</v>
      </c>
      <c r="Q541" s="1">
        <v>17</v>
      </c>
      <c r="R541" s="1" t="str">
        <f>"فروش داخلي تهران - وزارت راه - راه روستايي - روکش"</f>
        <v>فروش داخلي تهران - وزارت راه - راه روستايي - روکش</v>
      </c>
      <c r="S541" s="1" t="str">
        <f t="shared" si="115"/>
        <v>قرارداد فروش</v>
      </c>
      <c r="T541" s="1" t="str">
        <f t="shared" si="116"/>
        <v>ندارد</v>
      </c>
      <c r="U541" s="1" t="str">
        <f>"قنبري امين(2872037)"</f>
        <v>قنبري امين(2872037)</v>
      </c>
      <c r="V541" s="1">
        <v>951700079</v>
      </c>
      <c r="W541" s="1">
        <v>951700079</v>
      </c>
      <c r="X541" s="1" t="str">
        <f>" 1395412864"</f>
        <v xml:space="preserve"> 1395412864</v>
      </c>
      <c r="Y541" s="1" t="str">
        <f>"95/04/13"</f>
        <v>95/04/13</v>
      </c>
      <c r="Z541" s="1" t="str">
        <f>"14950/510"</f>
        <v>14950/510</v>
      </c>
      <c r="AA541" s="1" t="str">
        <f>"راه روستائي -روكش"</f>
        <v>راه روستائي -روكش</v>
      </c>
      <c r="AB541" s="1" t="str">
        <f>"95/04/08"</f>
        <v>95/04/08</v>
      </c>
      <c r="AC541" s="1" t="str">
        <f>"استان كردستان"</f>
        <v>استان كردستان</v>
      </c>
      <c r="AD541" s="1" t="str">
        <f>"95/04/13"</f>
        <v>95/04/13</v>
      </c>
      <c r="AE541" s="1" t="str">
        <f t="shared" si="120"/>
        <v>اختتام</v>
      </c>
      <c r="AF541" s="1" t="str">
        <f>""</f>
        <v/>
      </c>
      <c r="AG541" s="1" t="str">
        <f>""</f>
        <v/>
      </c>
      <c r="AH541" s="1" t="str">
        <f>""</f>
        <v/>
      </c>
      <c r="AI541" s="1" t="str">
        <f>""</f>
        <v/>
      </c>
      <c r="AJ541" s="1" t="str">
        <f>""</f>
        <v/>
      </c>
      <c r="AK541" s="1" t="str">
        <f>""</f>
        <v/>
      </c>
    </row>
    <row r="542" spans="1:37" x14ac:dyDescent="0.2">
      <c r="A542" s="1">
        <v>62320</v>
      </c>
      <c r="B542" s="1">
        <v>951900251</v>
      </c>
      <c r="C542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542" s="1">
        <v>8998</v>
      </c>
      <c r="E542" s="1">
        <v>60880</v>
      </c>
      <c r="F542" s="1">
        <v>95</v>
      </c>
      <c r="G542" s="1">
        <v>1440</v>
      </c>
      <c r="H542" s="1" t="str">
        <f>"95/11/03"</f>
        <v>95/11/03</v>
      </c>
      <c r="I542" s="1" t="str">
        <f t="shared" si="114"/>
        <v>كيلوگرم</v>
      </c>
      <c r="J542" s="1" t="str">
        <f>"0000000089"</f>
        <v>0000000089</v>
      </c>
      <c r="K542" s="1" t="str">
        <f>"قير  PG58-16"</f>
        <v>قير  PG58-16</v>
      </c>
      <c r="L542" s="1">
        <v>100</v>
      </c>
      <c r="M542" s="1" t="str">
        <f t="shared" si="119"/>
        <v>مخازن قير اصفهان</v>
      </c>
      <c r="N542" s="1">
        <v>8874</v>
      </c>
      <c r="O542" s="1">
        <v>50033465</v>
      </c>
      <c r="P542" s="1" t="str">
        <f>"  كيهان پژوه پويا"</f>
        <v xml:space="preserve">  كيهان پژوه پويا</v>
      </c>
      <c r="Q542" s="1">
        <v>19</v>
      </c>
      <c r="R5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42" s="1" t="str">
        <f t="shared" si="115"/>
        <v>قرارداد فروش</v>
      </c>
      <c r="T542" s="1" t="str">
        <f t="shared" si="116"/>
        <v>ندارد</v>
      </c>
      <c r="U542" s="1" t="str">
        <f>"ريسماني حسن(1007ج89)"</f>
        <v>ريسماني حسن(1007ج89)</v>
      </c>
      <c r="V542" s="1">
        <v>951900251</v>
      </c>
      <c r="W542" s="1">
        <v>951900251</v>
      </c>
      <c r="X542" s="1" t="str">
        <f>"1395446289"</f>
        <v>1395446289</v>
      </c>
      <c r="Y542" s="1" t="str">
        <f>"95/11/03"</f>
        <v>95/11/03</v>
      </c>
      <c r="Z542" s="1" t="str">
        <f>"39762/710"</f>
        <v>39762/710</v>
      </c>
      <c r="AA542" s="1" t="str">
        <f>"سازمان راهداري وحمل نقل جاده اي"</f>
        <v>سازمان راهداري وحمل نقل جاده اي</v>
      </c>
      <c r="AB542" s="1" t="str">
        <f>"95/08/15"</f>
        <v>95/08/15</v>
      </c>
      <c r="AC542" s="1" t="str">
        <f>"لرستان"</f>
        <v>لرستان</v>
      </c>
      <c r="AD542" s="1" t="str">
        <f>"95/08/29"</f>
        <v>95/08/29</v>
      </c>
      <c r="AE542" s="1" t="str">
        <f t="shared" si="120"/>
        <v>اختتام</v>
      </c>
      <c r="AF542" s="1" t="str">
        <f>""</f>
        <v/>
      </c>
      <c r="AG542" s="1" t="str">
        <f>""</f>
        <v/>
      </c>
      <c r="AH542" s="1" t="str">
        <f>""</f>
        <v/>
      </c>
      <c r="AI542" s="1" t="str">
        <f>""</f>
        <v/>
      </c>
      <c r="AJ542" s="1" t="str">
        <f>""</f>
        <v/>
      </c>
      <c r="AK542" s="1" t="str">
        <f>""</f>
        <v/>
      </c>
    </row>
    <row r="543" spans="1:37" x14ac:dyDescent="0.2">
      <c r="A543" s="1">
        <v>153020</v>
      </c>
      <c r="B543" s="1">
        <v>951800131</v>
      </c>
      <c r="C543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543" s="1">
        <v>8998</v>
      </c>
      <c r="E543" s="1">
        <v>152580</v>
      </c>
      <c r="F543" s="1">
        <v>95</v>
      </c>
      <c r="G543" s="1">
        <v>440</v>
      </c>
      <c r="H543" s="1" t="str">
        <f>"95/11/03"</f>
        <v>95/11/03</v>
      </c>
      <c r="I543" s="1" t="str">
        <f t="shared" si="114"/>
        <v>كيلوگرم</v>
      </c>
      <c r="J543" s="1" t="str">
        <f t="shared" ref="J543:J548" si="125">"0000000088"</f>
        <v>0000000088</v>
      </c>
      <c r="K543" s="1" t="str">
        <f t="shared" ref="K543:K548" si="126">"قير  PG58-22"</f>
        <v>قير  PG58-22</v>
      </c>
      <c r="L543" s="1">
        <v>100</v>
      </c>
      <c r="M543" s="1" t="str">
        <f t="shared" si="119"/>
        <v>مخازن قير اصفهان</v>
      </c>
      <c r="N543" s="1">
        <v>1351</v>
      </c>
      <c r="O543" s="1">
        <v>50033445</v>
      </c>
      <c r="P543" s="1" t="str">
        <f>"  زرين استحكام"</f>
        <v xml:space="preserve">  زرين استحكام</v>
      </c>
      <c r="Q543" s="1">
        <v>18</v>
      </c>
      <c r="R543" s="1" t="str">
        <f>"فروش داخلي تهران - وزارت راه - شرکت ساخت و توسعه راهها"</f>
        <v>فروش داخلي تهران - وزارت راه - شرکت ساخت و توسعه راهها</v>
      </c>
      <c r="S543" s="1" t="str">
        <f t="shared" si="115"/>
        <v>قرارداد فروش</v>
      </c>
      <c r="T543" s="1" t="str">
        <f t="shared" si="116"/>
        <v>ندارد</v>
      </c>
      <c r="U543" s="1" t="str">
        <f>"مظلوم فريبرز(1008ج89)"</f>
        <v>مظلوم فريبرز(1008ج89)</v>
      </c>
      <c r="V543" s="1">
        <v>951800131</v>
      </c>
      <c r="W543" s="1">
        <v>951800131</v>
      </c>
      <c r="X543" s="1" t="str">
        <f>"1395456221"</f>
        <v>1395456221</v>
      </c>
      <c r="Y543" s="1" t="str">
        <f>"95/11/03"</f>
        <v>95/11/03</v>
      </c>
      <c r="Z543" s="1" t="str">
        <f>"49275/710"</f>
        <v>49275/710</v>
      </c>
      <c r="AA543" s="1" t="str">
        <f>"شركت  ساخت وتوسعه راهها"</f>
        <v>شركت  ساخت وتوسعه راهها</v>
      </c>
      <c r="AB543" s="1" t="str">
        <f>"95/10/07"</f>
        <v>95/10/07</v>
      </c>
      <c r="AC543" s="1" t="str">
        <f t="shared" ref="AC543:AC548" si="127">"استان چهارمحال بختياري"</f>
        <v>استان چهارمحال بختياري</v>
      </c>
      <c r="AD543" s="1" t="str">
        <f>"95/10/12"</f>
        <v>95/10/12</v>
      </c>
      <c r="AE543" s="1" t="str">
        <f t="shared" si="120"/>
        <v>اختتام</v>
      </c>
      <c r="AF543" s="1" t="str">
        <f>""</f>
        <v/>
      </c>
      <c r="AG543" s="1" t="str">
        <f>""</f>
        <v/>
      </c>
      <c r="AH543" s="1" t="str">
        <f>""</f>
        <v/>
      </c>
      <c r="AI543" s="1" t="str">
        <f>""</f>
        <v/>
      </c>
      <c r="AJ543" s="1" t="str">
        <f>""</f>
        <v/>
      </c>
      <c r="AK543" s="1" t="str">
        <f>""</f>
        <v/>
      </c>
    </row>
    <row r="544" spans="1:37" x14ac:dyDescent="0.2">
      <c r="A544" s="1">
        <v>600000</v>
      </c>
      <c r="B544" s="1">
        <v>951900066</v>
      </c>
      <c r="C544" s="1" t="str">
        <f>"تخليه -چهارمحال وبختياري -جاده مباركه -بروجن بعدازشهرمجلسي -معدن قميشلو-شركت تك شن"</f>
        <v>تخليه -چهارمحال وبختياري -جاده مباركه -بروجن بعدازشهرمجلسي -معدن قميشلو-شركت تك شن</v>
      </c>
      <c r="D544" s="1">
        <v>6726</v>
      </c>
      <c r="E544" s="1">
        <v>598700</v>
      </c>
      <c r="F544" s="1">
        <v>95</v>
      </c>
      <c r="G544" s="1">
        <v>1300</v>
      </c>
      <c r="H544" s="1" t="str">
        <f>"95/05/04"</f>
        <v>95/05/04</v>
      </c>
      <c r="I544" s="1" t="str">
        <f t="shared" si="114"/>
        <v>كيلوگرم</v>
      </c>
      <c r="J544" s="1" t="str">
        <f t="shared" si="125"/>
        <v>0000000088</v>
      </c>
      <c r="K544" s="1" t="str">
        <f t="shared" si="126"/>
        <v>قير  PG58-22</v>
      </c>
      <c r="L544" s="1">
        <v>100</v>
      </c>
      <c r="M544" s="1" t="str">
        <f t="shared" si="119"/>
        <v>مخازن قير اصفهان</v>
      </c>
      <c r="N544" s="1">
        <v>7072</v>
      </c>
      <c r="O544" s="1">
        <v>50031347</v>
      </c>
      <c r="P544" s="1" t="str">
        <f>"  آسفالت تك شن"</f>
        <v xml:space="preserve">  آسفالت تك شن</v>
      </c>
      <c r="Q544" s="1">
        <v>19</v>
      </c>
      <c r="R5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44" s="1" t="str">
        <f t="shared" si="115"/>
        <v>قرارداد فروش</v>
      </c>
      <c r="T544" s="1" t="str">
        <f t="shared" si="116"/>
        <v>ندارد</v>
      </c>
      <c r="U544" s="1" t="str">
        <f>"قره باغي مجيد(1871065)"</f>
        <v>قره باغي مجيد(1871065)</v>
      </c>
      <c r="V544" s="1">
        <v>951900066</v>
      </c>
      <c r="W544" s="1">
        <v>951900066</v>
      </c>
      <c r="X544" s="1" t="str">
        <f>"1395417774"</f>
        <v>1395417774</v>
      </c>
      <c r="Y544" s="1" t="str">
        <f>"95/05/04"</f>
        <v>95/05/04</v>
      </c>
      <c r="Z544" s="1" t="str">
        <f>"18388/510"</f>
        <v>18388/510</v>
      </c>
      <c r="AA544" s="1" t="str">
        <f>"سازمان راهداري وحمل نقل جاده اي"</f>
        <v>سازمان راهداري وحمل نقل جاده اي</v>
      </c>
      <c r="AB544" s="1" t="str">
        <f>"95/04/28"</f>
        <v>95/04/28</v>
      </c>
      <c r="AC544" s="1" t="str">
        <f t="shared" si="127"/>
        <v>استان چهارمحال بختياري</v>
      </c>
      <c r="AD544" s="1" t="str">
        <f>"95/05/04"</f>
        <v>95/05/04</v>
      </c>
      <c r="AE544" s="1" t="str">
        <f t="shared" si="120"/>
        <v>اختتام</v>
      </c>
      <c r="AF544" s="1" t="str">
        <f>""</f>
        <v/>
      </c>
      <c r="AG544" s="1" t="str">
        <f>""</f>
        <v/>
      </c>
      <c r="AH544" s="1" t="str">
        <f>""</f>
        <v/>
      </c>
      <c r="AI544" s="1" t="str">
        <f>""</f>
        <v/>
      </c>
      <c r="AJ544" s="1" t="str">
        <f>""</f>
        <v/>
      </c>
      <c r="AK544" s="1" t="str">
        <f>""</f>
        <v/>
      </c>
    </row>
    <row r="545" spans="1:37" x14ac:dyDescent="0.2">
      <c r="A545" s="1">
        <v>152000</v>
      </c>
      <c r="B545" s="1">
        <v>951700060</v>
      </c>
      <c r="C545" s="1" t="str">
        <f>"تخليه-گندمان کارخانه 253گندمان"</f>
        <v>تخليه-گندمان کارخانه 253گندمان</v>
      </c>
      <c r="D545" s="1">
        <v>6250</v>
      </c>
      <c r="E545" s="1">
        <v>152000</v>
      </c>
      <c r="F545" s="1">
        <v>95</v>
      </c>
      <c r="G545" s="1">
        <v>0</v>
      </c>
      <c r="H545" s="1" t="str">
        <f>"95/04/06"</f>
        <v>95/04/06</v>
      </c>
      <c r="I545" s="1" t="str">
        <f t="shared" si="114"/>
        <v>كيلوگرم</v>
      </c>
      <c r="J545" s="1" t="str">
        <f t="shared" si="125"/>
        <v>0000000088</v>
      </c>
      <c r="K545" s="1" t="str">
        <f t="shared" si="126"/>
        <v>قير  PG58-22</v>
      </c>
      <c r="L545" s="1">
        <v>100</v>
      </c>
      <c r="M545" s="1" t="str">
        <f t="shared" si="119"/>
        <v>مخازن قير اصفهان</v>
      </c>
      <c r="N545" s="1">
        <v>7190</v>
      </c>
      <c r="O545" s="1">
        <v>50031126</v>
      </c>
      <c r="P545" s="1" t="str">
        <f>"  اداره كل راه و شهرسازي چهارمحال وبختياري"</f>
        <v xml:space="preserve">  اداره كل راه و شهرسازي چهارمحال وبختياري</v>
      </c>
      <c r="Q545" s="1">
        <v>17</v>
      </c>
      <c r="R545" s="1" t="str">
        <f>"فروش داخلي تهران - وزارت راه - راه روستايي - روکش"</f>
        <v>فروش داخلي تهران - وزارت راه - راه روستايي - روکش</v>
      </c>
      <c r="S545" s="1" t="str">
        <f t="shared" si="115"/>
        <v>قرارداد فروش</v>
      </c>
      <c r="T545" s="1" t="str">
        <f t="shared" si="116"/>
        <v>ندارد</v>
      </c>
      <c r="U545" s="1" t="str">
        <f>"قره باغي مجيد(1871065)"</f>
        <v>قره باغي مجيد(1871065)</v>
      </c>
      <c r="V545" s="1">
        <v>951700060</v>
      </c>
      <c r="W545" s="1">
        <v>951700060</v>
      </c>
      <c r="X545" s="1" t="str">
        <f>"1395411204"</f>
        <v>1395411204</v>
      </c>
      <c r="Y545" s="1" t="str">
        <f>"95/04/06"</f>
        <v>95/04/06</v>
      </c>
      <c r="Z545" s="1" t="str">
        <f>"13376/510"</f>
        <v>13376/510</v>
      </c>
      <c r="AA545" s="1" t="str">
        <f>"راه روستائي -روكش"</f>
        <v>راه روستائي -روكش</v>
      </c>
      <c r="AB545" s="1" t="str">
        <f>"95/03/31"</f>
        <v>95/03/31</v>
      </c>
      <c r="AC545" s="1" t="str">
        <f t="shared" si="127"/>
        <v>استان چهارمحال بختياري</v>
      </c>
      <c r="AD545" s="1" t="str">
        <f>"95/04/05"</f>
        <v>95/04/05</v>
      </c>
      <c r="AE545" s="1" t="str">
        <f t="shared" si="120"/>
        <v>اختتام</v>
      </c>
      <c r="AF545" s="1" t="str">
        <f>""</f>
        <v/>
      </c>
      <c r="AG545" s="1" t="str">
        <f>""</f>
        <v/>
      </c>
      <c r="AH545" s="1" t="str">
        <f>""</f>
        <v/>
      </c>
      <c r="AI545" s="1" t="str">
        <f>""</f>
        <v/>
      </c>
      <c r="AJ545" s="1" t="str">
        <f>""</f>
        <v/>
      </c>
      <c r="AK545" s="1" t="str">
        <f>""</f>
        <v/>
      </c>
    </row>
    <row r="546" spans="1:37" x14ac:dyDescent="0.2">
      <c r="A546" s="1">
        <v>500000</v>
      </c>
      <c r="B546" s="1">
        <v>951900055</v>
      </c>
      <c r="C546" s="1" t="str">
        <f>"تخليه -چهارمحال وبختياري -شهرستان بروجن -شركت قيرآب سفيددشت"</f>
        <v>تخليه -چهارمحال وبختياري -شهرستان بروجن -شركت قيرآب سفيددشت</v>
      </c>
      <c r="D546" s="1">
        <v>6250</v>
      </c>
      <c r="E546" s="1">
        <v>499960</v>
      </c>
      <c r="F546" s="1">
        <v>95</v>
      </c>
      <c r="G546" s="1">
        <v>40</v>
      </c>
      <c r="H546" s="1" t="str">
        <f>"95/04/28"</f>
        <v>95/04/28</v>
      </c>
      <c r="I546" s="1" t="str">
        <f t="shared" si="114"/>
        <v>كيلوگرم</v>
      </c>
      <c r="J546" s="1" t="str">
        <f t="shared" si="125"/>
        <v>0000000088</v>
      </c>
      <c r="K546" s="1" t="str">
        <f t="shared" si="126"/>
        <v>قير  PG58-22</v>
      </c>
      <c r="L546" s="1">
        <v>100</v>
      </c>
      <c r="M546" s="1" t="str">
        <f t="shared" si="119"/>
        <v>مخازن قير اصفهان</v>
      </c>
      <c r="N546" s="1">
        <v>7190</v>
      </c>
      <c r="O546" s="1">
        <v>50031313</v>
      </c>
      <c r="P546" s="1" t="str">
        <f>"  اداره كل راه و شهرسازي چهارمحال وبختياري"</f>
        <v xml:space="preserve">  اداره كل راه و شهرسازي چهارمحال وبختياري</v>
      </c>
      <c r="Q546" s="1">
        <v>19</v>
      </c>
      <c r="R54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46" s="1" t="str">
        <f t="shared" si="115"/>
        <v>قرارداد فروش</v>
      </c>
      <c r="T546" s="1" t="str">
        <f t="shared" si="116"/>
        <v>ندارد</v>
      </c>
      <c r="U546" s="1" t="str">
        <f>"بريانيان ايمان (1027ج89)"</f>
        <v>بريانيان ايمان (1027ج89)</v>
      </c>
      <c r="V546" s="1">
        <v>951900055</v>
      </c>
      <c r="W546" s="1">
        <v>951900055</v>
      </c>
      <c r="X546" s="1" t="str">
        <f>"1395416204"</f>
        <v>1395416204</v>
      </c>
      <c r="Y546" s="1" t="str">
        <f>"95/04/28"</f>
        <v>95/04/28</v>
      </c>
      <c r="Z546" s="1" t="str">
        <f>"17837/510"</f>
        <v>17837/510</v>
      </c>
      <c r="AA546" s="1" t="str">
        <f>"سازمان راهداري وحمل نقل جاده اي"</f>
        <v>سازمان راهداري وحمل نقل جاده اي</v>
      </c>
      <c r="AB546" s="1" t="str">
        <f>"95/04/26"</f>
        <v>95/04/26</v>
      </c>
      <c r="AC546" s="1" t="str">
        <f t="shared" si="127"/>
        <v>استان چهارمحال بختياري</v>
      </c>
      <c r="AD546" s="1" t="str">
        <f>"95/04/28"</f>
        <v>95/04/28</v>
      </c>
      <c r="AE546" s="1" t="str">
        <f t="shared" si="120"/>
        <v>اختتام</v>
      </c>
      <c r="AF546" s="1" t="str">
        <f>""</f>
        <v/>
      </c>
      <c r="AG546" s="1" t="str">
        <f>""</f>
        <v/>
      </c>
      <c r="AH546" s="1" t="str">
        <f>""</f>
        <v/>
      </c>
      <c r="AI546" s="1" t="str">
        <f>""</f>
        <v/>
      </c>
      <c r="AJ546" s="1" t="str">
        <f>""</f>
        <v/>
      </c>
      <c r="AK546" s="1" t="str">
        <f>""</f>
        <v/>
      </c>
    </row>
    <row r="547" spans="1:37" x14ac:dyDescent="0.2">
      <c r="A547" s="1">
        <v>75000</v>
      </c>
      <c r="B547" s="1">
        <v>951700302</v>
      </c>
      <c r="C547" s="1" t="str">
        <f>"تخليه چهارمحال وبختياري گوجان شركت احمديه چليچه"</f>
        <v>تخليه چهارمحال وبختياري گوجان شركت احمديه چليچه</v>
      </c>
      <c r="D547" s="1">
        <v>9061</v>
      </c>
      <c r="E547" s="1">
        <v>69140</v>
      </c>
      <c r="F547" s="1">
        <v>95</v>
      </c>
      <c r="G547" s="1">
        <v>5860</v>
      </c>
      <c r="H547" s="1" t="str">
        <f>"95/10/22"</f>
        <v>95/10/22</v>
      </c>
      <c r="I547" s="1" t="str">
        <f t="shared" si="114"/>
        <v>كيلوگرم</v>
      </c>
      <c r="J547" s="1" t="str">
        <f t="shared" si="125"/>
        <v>0000000088</v>
      </c>
      <c r="K547" s="1" t="str">
        <f t="shared" si="126"/>
        <v>قير  PG58-22</v>
      </c>
      <c r="L547" s="1">
        <v>100</v>
      </c>
      <c r="M547" s="1" t="str">
        <f t="shared" si="119"/>
        <v>مخازن قير اصفهان</v>
      </c>
      <c r="N547" s="1">
        <v>7190</v>
      </c>
      <c r="O547" s="1">
        <v>50033362</v>
      </c>
      <c r="P547" s="1" t="str">
        <f>"  اداره كل راه و شهرسازي چهارمحال وبختياري"</f>
        <v xml:space="preserve">  اداره كل راه و شهرسازي چهارمحال وبختياري</v>
      </c>
      <c r="Q547" s="1">
        <v>17</v>
      </c>
      <c r="R547" s="1" t="str">
        <f>"فروش داخلي تهران - وزارت راه - راه روستايي - روکش"</f>
        <v>فروش داخلي تهران - وزارت راه - راه روستايي - روکش</v>
      </c>
      <c r="S547" s="1" t="str">
        <f t="shared" si="115"/>
        <v>قرارداد فروش</v>
      </c>
      <c r="T547" s="1" t="str">
        <f t="shared" si="116"/>
        <v>ندارد</v>
      </c>
      <c r="U547" s="1" t="str">
        <f>"قره باغي مجيد(1871065)"</f>
        <v>قره باغي مجيد(1871065)</v>
      </c>
      <c r="V547" s="1">
        <v>951700302</v>
      </c>
      <c r="W547" s="1">
        <v>951700302</v>
      </c>
      <c r="X547" s="1" t="str">
        <f>"1395457936"</f>
        <v>1395457936</v>
      </c>
      <c r="Y547" s="1" t="str">
        <f>"95/10/22"</f>
        <v>95/10/22</v>
      </c>
      <c r="Z547" s="1" t="str">
        <f>"51840/710"</f>
        <v>51840/710</v>
      </c>
      <c r="AA547" s="1" t="str">
        <f>"راه روستائي -روكش"</f>
        <v>راه روستائي -روكش</v>
      </c>
      <c r="AB547" s="1" t="str">
        <f>"95/10/20"</f>
        <v>95/10/20</v>
      </c>
      <c r="AC547" s="1" t="str">
        <f t="shared" si="127"/>
        <v>استان چهارمحال بختياري</v>
      </c>
      <c r="AD547" s="1" t="str">
        <f>"95/10/22"</f>
        <v>95/10/22</v>
      </c>
      <c r="AE547" s="1" t="str">
        <f t="shared" si="120"/>
        <v>اختتام</v>
      </c>
      <c r="AF547" s="1" t="str">
        <f>""</f>
        <v/>
      </c>
      <c r="AG547" s="1" t="str">
        <f>""</f>
        <v/>
      </c>
      <c r="AH547" s="1" t="str">
        <f>""</f>
        <v/>
      </c>
      <c r="AI547" s="1" t="str">
        <f>""</f>
        <v/>
      </c>
      <c r="AJ547" s="1" t="str">
        <f>""</f>
        <v/>
      </c>
      <c r="AK547" s="1" t="str">
        <f>""</f>
        <v/>
      </c>
    </row>
    <row r="548" spans="1:37" x14ac:dyDescent="0.2">
      <c r="A548" s="1">
        <v>200000</v>
      </c>
      <c r="B548" s="1">
        <v>951700330</v>
      </c>
      <c r="C548" s="1" t="str">
        <f>"تخليه-شهرستان شهرکرد-کارخانه آسفالت شهرداري شهرکرد"</f>
        <v>تخليه-شهرستان شهرکرد-کارخانه آسفالت شهرداري شهرکرد</v>
      </c>
      <c r="D548" s="1">
        <v>9511</v>
      </c>
      <c r="E548" s="1">
        <v>197300</v>
      </c>
      <c r="F548" s="1">
        <v>95</v>
      </c>
      <c r="G548" s="1">
        <v>2700</v>
      </c>
      <c r="H548" s="1" t="str">
        <f>"95/11/05"</f>
        <v>95/11/05</v>
      </c>
      <c r="I548" s="1" t="str">
        <f t="shared" si="114"/>
        <v>كيلوگرم</v>
      </c>
      <c r="J548" s="1" t="str">
        <f t="shared" si="125"/>
        <v>0000000088</v>
      </c>
      <c r="K548" s="1" t="str">
        <f t="shared" si="126"/>
        <v>قير  PG58-22</v>
      </c>
      <c r="L548" s="1">
        <v>100</v>
      </c>
      <c r="M548" s="1" t="str">
        <f t="shared" si="119"/>
        <v>مخازن قير اصفهان</v>
      </c>
      <c r="N548" s="1">
        <v>7190</v>
      </c>
      <c r="O548" s="1">
        <v>50033529</v>
      </c>
      <c r="P548" s="1" t="str">
        <f>"  اداره كل راه و شهرسازي چهارمحال وبختياري"</f>
        <v xml:space="preserve">  اداره كل راه و شهرسازي چهارمحال وبختياري</v>
      </c>
      <c r="Q548" s="1">
        <v>17</v>
      </c>
      <c r="R548" s="1" t="str">
        <f>"فروش داخلي تهران - وزارت راه - راه روستايي - روکش"</f>
        <v>فروش داخلي تهران - وزارت راه - راه روستايي - روکش</v>
      </c>
      <c r="S548" s="1" t="str">
        <f t="shared" si="115"/>
        <v>قرارداد فروش</v>
      </c>
      <c r="T548" s="1" t="str">
        <f t="shared" si="116"/>
        <v>ندارد</v>
      </c>
      <c r="U548" s="1" t="str">
        <f>"مظلوم فريبرز(1008ج89)"</f>
        <v>مظلوم فريبرز(1008ج89)</v>
      </c>
      <c r="V548" s="1">
        <v>951700330</v>
      </c>
      <c r="W548" s="1">
        <v>951700330</v>
      </c>
      <c r="X548" s="1" t="str">
        <f>"1395460247"</f>
        <v>1395460247</v>
      </c>
      <c r="Y548" s="1" t="str">
        <f>"95/11/04"</f>
        <v>95/11/04</v>
      </c>
      <c r="Z548" s="1" t="str">
        <f>"52738/710"</f>
        <v>52738/710</v>
      </c>
      <c r="AA548" s="1" t="str">
        <f>"راه روستائي -روكش"</f>
        <v>راه روستائي -روكش</v>
      </c>
      <c r="AB548" s="1" t="str">
        <f>"95/10/25"</f>
        <v>95/10/25</v>
      </c>
      <c r="AC548" s="1" t="str">
        <f t="shared" si="127"/>
        <v>استان چهارمحال بختياري</v>
      </c>
      <c r="AD548" s="1" t="str">
        <f>"95/11/04"</f>
        <v>95/11/04</v>
      </c>
      <c r="AE548" s="1" t="str">
        <f t="shared" si="120"/>
        <v>اختتام</v>
      </c>
      <c r="AF548" s="1" t="str">
        <f>""</f>
        <v/>
      </c>
      <c r="AG548" s="1" t="str">
        <f>""</f>
        <v/>
      </c>
      <c r="AH548" s="1" t="str">
        <f>""</f>
        <v/>
      </c>
      <c r="AI548" s="1" t="str">
        <f>""</f>
        <v/>
      </c>
      <c r="AJ548" s="1" t="str">
        <f>""</f>
        <v/>
      </c>
      <c r="AK548" s="1" t="str">
        <f>""</f>
        <v/>
      </c>
    </row>
    <row r="549" spans="1:37" x14ac:dyDescent="0.2">
      <c r="A549" s="1">
        <v>500000</v>
      </c>
      <c r="B549" s="1">
        <v>951800146</v>
      </c>
      <c r="C549" s="1" t="str">
        <f>"تخليه-خراسان جنوبي-آرين شهر 3کيلومتر بعداز آرين شهر به سمت بيرجند کارخانه آسفالت شرکت آب شن-راه توس"</f>
        <v>تخليه-خراسان جنوبي-آرين شهر 3کيلومتر بعداز آرين شهر به سمت بيرجند کارخانه آسفالت شرکت آب شن-راه توس</v>
      </c>
      <c r="D549" s="1">
        <v>9354</v>
      </c>
      <c r="E549" s="1">
        <v>486600</v>
      </c>
      <c r="F549" s="1">
        <v>95</v>
      </c>
      <c r="G549" s="1">
        <v>13400</v>
      </c>
      <c r="H549" s="1" t="str">
        <f>"95/12/11"</f>
        <v>95/12/11</v>
      </c>
      <c r="I549" s="1" t="str">
        <f t="shared" si="114"/>
        <v>كيلوگرم</v>
      </c>
      <c r="J549" s="1" t="str">
        <f>"0000000091"</f>
        <v>0000000091</v>
      </c>
      <c r="K549" s="1" t="str">
        <f>"قير  PG64-22"</f>
        <v>قير  PG64-22</v>
      </c>
      <c r="L549" s="1">
        <v>100</v>
      </c>
      <c r="M549" s="1" t="str">
        <f t="shared" si="119"/>
        <v>مخازن قير اصفهان</v>
      </c>
      <c r="N549" s="1">
        <v>1661</v>
      </c>
      <c r="O549" s="1">
        <v>50033959</v>
      </c>
      <c r="P549" s="1" t="str">
        <f>"  ساختماني او-يول"</f>
        <v xml:space="preserve">  ساختماني او-يول</v>
      </c>
      <c r="Q549" s="1">
        <v>18</v>
      </c>
      <c r="R549" s="1" t="str">
        <f>"فروش داخلي تهران - وزارت راه - شرکت ساخت و توسعه راهها"</f>
        <v>فروش داخلي تهران - وزارت راه - شرکت ساخت و توسعه راهها</v>
      </c>
      <c r="S549" s="1" t="str">
        <f t="shared" si="115"/>
        <v>قرارداد فروش</v>
      </c>
      <c r="T549" s="1" t="str">
        <f t="shared" si="116"/>
        <v>ندارد</v>
      </c>
      <c r="U549" s="1" t="str">
        <f>"درودي رضا(1841030)"</f>
        <v>درودي رضا(1841030)</v>
      </c>
      <c r="V549" s="1">
        <v>951800146</v>
      </c>
      <c r="W549" s="1">
        <v>951800146</v>
      </c>
      <c r="X549" s="1" t="str">
        <f>"1395468781"</f>
        <v>1395468781</v>
      </c>
      <c r="Y549" s="1" t="str">
        <f>"95/12/11"</f>
        <v>95/12/11</v>
      </c>
      <c r="Z549" s="1" t="str">
        <f>"57806/710"</f>
        <v>57806/710</v>
      </c>
      <c r="AA549" s="1" t="str">
        <f>"شركت  ساخت وتوسعه راهها"</f>
        <v>شركت  ساخت وتوسعه راهها</v>
      </c>
      <c r="AB549" s="1" t="str">
        <f>"95/11/19"</f>
        <v>95/11/19</v>
      </c>
      <c r="AC549" s="1" t="str">
        <f>"خراسان جنوبي"</f>
        <v>خراسان جنوبي</v>
      </c>
      <c r="AD549" s="1" t="str">
        <f>"95/12/11"</f>
        <v>95/12/11</v>
      </c>
      <c r="AE549" s="1" t="str">
        <f t="shared" si="120"/>
        <v>اختتام</v>
      </c>
      <c r="AF549" s="1" t="str">
        <f>""</f>
        <v/>
      </c>
      <c r="AG549" s="1" t="str">
        <f>""</f>
        <v/>
      </c>
      <c r="AH549" s="1" t="str">
        <f>""</f>
        <v/>
      </c>
      <c r="AI549" s="1" t="str">
        <f>""</f>
        <v/>
      </c>
      <c r="AJ549" s="1" t="str">
        <f>""</f>
        <v/>
      </c>
      <c r="AK549" s="1" t="str">
        <f>""</f>
        <v/>
      </c>
    </row>
    <row r="550" spans="1:37" x14ac:dyDescent="0.2">
      <c r="A550" s="1">
        <v>78080</v>
      </c>
      <c r="B550" s="1">
        <v>951600063</v>
      </c>
      <c r="C550" s="1" t="str">
        <f>"تخليه -كيلومتر10جاده تيران -شهركرد-كارخانه آسفالت ميلادراه سپاهان"</f>
        <v>تخليه -كيلومتر10جاده تيران -شهركرد-كارخانه آسفالت ميلادراه سپاهان</v>
      </c>
      <c r="D550" s="1">
        <v>9061</v>
      </c>
      <c r="E550" s="1">
        <v>77740</v>
      </c>
      <c r="F550" s="1">
        <v>95</v>
      </c>
      <c r="G550" s="1">
        <v>340</v>
      </c>
      <c r="H550" s="1" t="str">
        <f>"95/10/05"</f>
        <v>95/10/05</v>
      </c>
      <c r="I550" s="1" t="str">
        <f t="shared" si="114"/>
        <v>كيلوگرم</v>
      </c>
      <c r="J550" s="1" t="str">
        <f>"0000000088"</f>
        <v>0000000088</v>
      </c>
      <c r="K550" s="1" t="str">
        <f>"قير  PG58-22"</f>
        <v>قير  PG58-22</v>
      </c>
      <c r="L550" s="1">
        <v>100</v>
      </c>
      <c r="M550" s="1" t="str">
        <f t="shared" si="119"/>
        <v>مخازن قير اصفهان</v>
      </c>
      <c r="N550" s="1">
        <v>8643</v>
      </c>
      <c r="O550" s="1">
        <v>50033128</v>
      </c>
      <c r="P550" s="1" t="str">
        <f>"  ميلاد راه سپاهان"</f>
        <v xml:space="preserve">  ميلاد راه سپاهان</v>
      </c>
      <c r="Q550" s="1">
        <v>16</v>
      </c>
      <c r="R550" s="1" t="str">
        <f>"فروش داخلي تهران - وزارت راه - معاونت اقتصاد"</f>
        <v>فروش داخلي تهران - وزارت راه - معاونت اقتصاد</v>
      </c>
      <c r="S550" s="1" t="str">
        <f t="shared" si="115"/>
        <v>قرارداد فروش</v>
      </c>
      <c r="T550" s="1" t="str">
        <f t="shared" si="116"/>
        <v>ندارد</v>
      </c>
      <c r="U550" s="1" t="str">
        <f>"قره باغي مجيد(1871065)"</f>
        <v>قره باغي مجيد(1871065)</v>
      </c>
      <c r="V550" s="1">
        <v>951600063</v>
      </c>
      <c r="W550" s="1">
        <v>951600063</v>
      </c>
      <c r="X550" s="1" t="str">
        <f>"1395441876"</f>
        <v>1395441876</v>
      </c>
      <c r="Y550" s="1" t="str">
        <f>"95/10/04"</f>
        <v>95/10/04</v>
      </c>
      <c r="Z550" s="1" t="str">
        <f>"38464/710"</f>
        <v>38464/710</v>
      </c>
      <c r="AA550" s="1" t="str">
        <f>"معاونت اقتصادوزارت راه وشهرسازي"</f>
        <v>معاونت اقتصادوزارت راه وشهرسازي</v>
      </c>
      <c r="AB550" s="1" t="str">
        <f>"95/08/10"</f>
        <v>95/08/10</v>
      </c>
      <c r="AC550" s="1" t="str">
        <f>"استان چهارمحال بختياري"</f>
        <v>استان چهارمحال بختياري</v>
      </c>
      <c r="AD550" s="1" t="str">
        <f>"95/08/11"</f>
        <v>95/08/11</v>
      </c>
      <c r="AE550" s="1" t="str">
        <f t="shared" si="120"/>
        <v>اختتام</v>
      </c>
      <c r="AF550" s="1" t="str">
        <f>""</f>
        <v/>
      </c>
      <c r="AG550" s="1" t="str">
        <f>""</f>
        <v/>
      </c>
      <c r="AH550" s="1" t="str">
        <f>""</f>
        <v/>
      </c>
      <c r="AI550" s="1" t="str">
        <f>""</f>
        <v/>
      </c>
      <c r="AJ550" s="1" t="str">
        <f>""</f>
        <v/>
      </c>
      <c r="AK550" s="1" t="str">
        <f>""</f>
        <v/>
      </c>
    </row>
    <row r="551" spans="1:37" x14ac:dyDescent="0.2">
      <c r="A551" s="1">
        <v>350000</v>
      </c>
      <c r="B551" s="1">
        <v>951900057</v>
      </c>
      <c r="C551" s="1" t="str">
        <f>"تخليه -چهارمحال بختياري -شهرستان لردگان كيلومتر6جاده ياسوج روبروي روستايرسلح چين -كارخانه آسفالت كوثر"</f>
        <v>تخليه -چهارمحال بختياري -شهرستان لردگان كيلومتر6جاده ياسوج روبروي روستايرسلح چين -كارخانه آسفالت كوثر</v>
      </c>
      <c r="D551" s="1">
        <v>6250</v>
      </c>
      <c r="E551" s="1">
        <v>349260</v>
      </c>
      <c r="F551" s="1">
        <v>95</v>
      </c>
      <c r="G551" s="1">
        <v>740</v>
      </c>
      <c r="H551" s="1" t="str">
        <f>"95/04/28"</f>
        <v>95/04/28</v>
      </c>
      <c r="I551" s="1" t="str">
        <f t="shared" si="114"/>
        <v>كيلوگرم</v>
      </c>
      <c r="J551" s="1" t="str">
        <f>"0000000088"</f>
        <v>0000000088</v>
      </c>
      <c r="K551" s="1" t="str">
        <f>"قير  PG58-22"</f>
        <v>قير  PG58-22</v>
      </c>
      <c r="L551" s="1">
        <v>100</v>
      </c>
      <c r="M551" s="1" t="str">
        <f t="shared" si="119"/>
        <v>مخازن قير اصفهان</v>
      </c>
      <c r="N551" s="1">
        <v>9130</v>
      </c>
      <c r="O551" s="1">
        <v>50031315</v>
      </c>
      <c r="P551" s="1" t="str">
        <f>"  مهندسي دورك عمران"</f>
        <v xml:space="preserve">  مهندسي دورك عمران</v>
      </c>
      <c r="Q551" s="1">
        <v>19</v>
      </c>
      <c r="R5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51" s="1" t="str">
        <f t="shared" si="115"/>
        <v>قرارداد فروش</v>
      </c>
      <c r="T551" s="1" t="str">
        <f t="shared" si="116"/>
        <v>ندارد</v>
      </c>
      <c r="U551" s="1" t="str">
        <f>"قره باغي مجيد(1871065)"</f>
        <v>قره باغي مجيد(1871065)</v>
      </c>
      <c r="V551" s="1">
        <v>951900057</v>
      </c>
      <c r="W551" s="1">
        <v>951900057</v>
      </c>
      <c r="X551" s="1" t="str">
        <f>"1395416205"</f>
        <v>1395416205</v>
      </c>
      <c r="Y551" s="1" t="str">
        <f>"95/04/28"</f>
        <v>95/04/28</v>
      </c>
      <c r="Z551" s="1" t="str">
        <f>"17865/510"</f>
        <v>17865/510</v>
      </c>
      <c r="AA551" s="1" t="str">
        <f>"سازمان راهداري وحمل نقل جاده اي"</f>
        <v>سازمان راهداري وحمل نقل جاده اي</v>
      </c>
      <c r="AB551" s="1" t="str">
        <f>"95/04/26"</f>
        <v>95/04/26</v>
      </c>
      <c r="AC551" s="1" t="str">
        <f>"استان چهارمحال بختياري"</f>
        <v>استان چهارمحال بختياري</v>
      </c>
      <c r="AD551" s="1" t="str">
        <f>"95/04/28"</f>
        <v>95/04/28</v>
      </c>
      <c r="AE551" s="1" t="str">
        <f t="shared" si="120"/>
        <v>اختتام</v>
      </c>
      <c r="AF551" s="1" t="str">
        <f>""</f>
        <v/>
      </c>
      <c r="AG551" s="1" t="str">
        <f>""</f>
        <v/>
      </c>
      <c r="AH551" s="1" t="str">
        <f>""</f>
        <v/>
      </c>
      <c r="AI551" s="1" t="str">
        <f>""</f>
        <v/>
      </c>
      <c r="AJ551" s="1" t="str">
        <f>""</f>
        <v/>
      </c>
      <c r="AK551" s="1" t="str">
        <f>""</f>
        <v/>
      </c>
    </row>
    <row r="552" spans="1:37" x14ac:dyDescent="0.2">
      <c r="A552" s="1">
        <v>300000</v>
      </c>
      <c r="B552" s="1">
        <v>951900054</v>
      </c>
      <c r="C552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552" s="1">
        <v>6250</v>
      </c>
      <c r="E552" s="1">
        <v>299600</v>
      </c>
      <c r="F552" s="1">
        <v>95</v>
      </c>
      <c r="G552" s="1">
        <v>400</v>
      </c>
      <c r="H552" s="1" t="str">
        <f>"95/04/28"</f>
        <v>95/04/28</v>
      </c>
      <c r="I552" s="1" t="str">
        <f t="shared" si="114"/>
        <v>كيلوگرم</v>
      </c>
      <c r="J552" s="1" t="str">
        <f>"0000000088"</f>
        <v>0000000088</v>
      </c>
      <c r="K552" s="1" t="str">
        <f>"قير  PG58-22"</f>
        <v>قير  PG58-22</v>
      </c>
      <c r="L552" s="1">
        <v>100</v>
      </c>
      <c r="M552" s="1" t="str">
        <f t="shared" si="119"/>
        <v>مخازن قير اصفهان</v>
      </c>
      <c r="N552" s="1">
        <v>9777</v>
      </c>
      <c r="O552" s="1">
        <v>50031303</v>
      </c>
      <c r="P552" s="1" t="str">
        <f>"  كاويان سازان كوهستان"</f>
        <v xml:space="preserve">  كاويان سازان كوهستان</v>
      </c>
      <c r="Q552" s="1">
        <v>19</v>
      </c>
      <c r="R55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52" s="1" t="str">
        <f t="shared" si="115"/>
        <v>قرارداد فروش</v>
      </c>
      <c r="T552" s="1" t="str">
        <f t="shared" si="116"/>
        <v>ندارد</v>
      </c>
      <c r="U552" s="1" t="str">
        <f>"قره باغي مجيد(1871065)"</f>
        <v>قره باغي مجيد(1871065)</v>
      </c>
      <c r="V552" s="1">
        <v>951900054</v>
      </c>
      <c r="W552" s="1">
        <v>951900054</v>
      </c>
      <c r="X552" s="1" t="str">
        <f>"1395416064"</f>
        <v>1395416064</v>
      </c>
      <c r="Y552" s="1" t="str">
        <f>"95/04/28"</f>
        <v>95/04/28</v>
      </c>
      <c r="Z552" s="1" t="str">
        <f>"17425/510"</f>
        <v>17425/510</v>
      </c>
      <c r="AA552" s="1" t="str">
        <f>"راه روستائي -روكش"</f>
        <v>راه روستائي -روكش</v>
      </c>
      <c r="AB552" s="1" t="str">
        <f>"95/04/23"</f>
        <v>95/04/23</v>
      </c>
      <c r="AC552" s="1" t="str">
        <f>"استان چهارمحال بختياري"</f>
        <v>استان چهارمحال بختياري</v>
      </c>
      <c r="AD552" s="1" t="str">
        <f>"95/04/27"</f>
        <v>95/04/27</v>
      </c>
      <c r="AE552" s="1" t="str">
        <f t="shared" ref="AE552:AE582" si="128">"اختتام"</f>
        <v>اختتام</v>
      </c>
      <c r="AF552" s="1" t="str">
        <f>""</f>
        <v/>
      </c>
      <c r="AG552" s="1" t="str">
        <f>""</f>
        <v/>
      </c>
      <c r="AH552" s="1" t="str">
        <f>""</f>
        <v/>
      </c>
      <c r="AI552" s="1" t="str">
        <f>""</f>
        <v/>
      </c>
      <c r="AJ552" s="1" t="str">
        <f>""</f>
        <v/>
      </c>
      <c r="AK552" s="1" t="str">
        <f>""</f>
        <v/>
      </c>
    </row>
    <row r="553" spans="1:37" x14ac:dyDescent="0.2">
      <c r="A553" s="1">
        <v>350000</v>
      </c>
      <c r="B553" s="1">
        <v>951900205</v>
      </c>
      <c r="C553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553" s="1">
        <v>8323</v>
      </c>
      <c r="E553" s="1">
        <v>348920</v>
      </c>
      <c r="F553" s="1">
        <v>95</v>
      </c>
      <c r="G553" s="1">
        <v>1080</v>
      </c>
      <c r="H553" s="1" t="str">
        <f>"95/08/29"</f>
        <v>95/08/29</v>
      </c>
      <c r="I553" s="1" t="str">
        <f t="shared" si="114"/>
        <v>كيلوگرم</v>
      </c>
      <c r="J553" s="1" t="str">
        <f>"0000000088"</f>
        <v>0000000088</v>
      </c>
      <c r="K553" s="1" t="str">
        <f>"قير  PG58-22"</f>
        <v>قير  PG58-22</v>
      </c>
      <c r="L553" s="1">
        <v>100</v>
      </c>
      <c r="M553" s="1" t="str">
        <f t="shared" si="119"/>
        <v>مخازن قير اصفهان</v>
      </c>
      <c r="N553" s="1">
        <v>9809</v>
      </c>
      <c r="O553" s="1">
        <v>50032638</v>
      </c>
      <c r="P553" s="1" t="str">
        <f>"  راه و ساختمان احمديه چليچه"</f>
        <v xml:space="preserve">  راه و ساختمان احمديه چليچه</v>
      </c>
      <c r="Q553" s="1">
        <v>19</v>
      </c>
      <c r="R55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53" s="1" t="str">
        <f t="shared" si="115"/>
        <v>قرارداد فروش</v>
      </c>
      <c r="T553" s="1" t="str">
        <f t="shared" si="116"/>
        <v>ندارد</v>
      </c>
      <c r="U553" s="1" t="str">
        <f>"قره باغي مجيد(1871065)"</f>
        <v>قره باغي مجيد(1871065)</v>
      </c>
      <c r="V553" s="1">
        <v>951900205</v>
      </c>
      <c r="W553" s="1">
        <v>951900205</v>
      </c>
      <c r="X553" s="1" t="str">
        <f>"1395446084"</f>
        <v>1395446084</v>
      </c>
      <c r="Y553" s="1" t="str">
        <f>"95/08/29"</f>
        <v>95/08/29</v>
      </c>
      <c r="Z553" s="1" t="str">
        <f>"39756/710"</f>
        <v>39756/710</v>
      </c>
      <c r="AA553" s="1" t="str">
        <f>"سازمان راهداري وحمل نقل جاده اي"</f>
        <v>سازمان راهداري وحمل نقل جاده اي</v>
      </c>
      <c r="AB553" s="1" t="str">
        <f>"95/08/15"</f>
        <v>95/08/15</v>
      </c>
      <c r="AC553" s="1" t="str">
        <f>"استان چهارمحال بختياري"</f>
        <v>استان چهارمحال بختياري</v>
      </c>
      <c r="AD553" s="1" t="str">
        <f>"95/08/29"</f>
        <v>95/08/29</v>
      </c>
      <c r="AE553" s="1" t="str">
        <f t="shared" si="128"/>
        <v>اختتام</v>
      </c>
      <c r="AF553" s="1" t="str">
        <f>""</f>
        <v/>
      </c>
      <c r="AG553" s="1" t="str">
        <f>""</f>
        <v/>
      </c>
      <c r="AH553" s="1" t="str">
        <f>""</f>
        <v/>
      </c>
      <c r="AI553" s="1" t="str">
        <f>""</f>
        <v/>
      </c>
      <c r="AJ553" s="1" t="str">
        <f>""</f>
        <v/>
      </c>
      <c r="AK553" s="1" t="str">
        <f>""</f>
        <v/>
      </c>
    </row>
    <row r="554" spans="1:37" x14ac:dyDescent="0.2">
      <c r="A554" s="1">
        <v>350000</v>
      </c>
      <c r="B554" s="1">
        <v>951700051</v>
      </c>
      <c r="C554" s="1" t="str">
        <f>"تخليه -خراسان جنوبي -شهرستان طبس -اداره راه وشهرسازي طبس"</f>
        <v>تخليه -خراسان جنوبي -شهرستان طبس -اداره راه وشهرسازي طبس</v>
      </c>
      <c r="D554" s="1">
        <v>6250</v>
      </c>
      <c r="E554" s="1">
        <v>329820</v>
      </c>
      <c r="F554" s="1">
        <v>95</v>
      </c>
      <c r="G554" s="1">
        <v>20180</v>
      </c>
      <c r="H554" s="1" t="str">
        <f>"95/04/06"</f>
        <v>95/04/06</v>
      </c>
      <c r="I554" s="1" t="str">
        <f t="shared" si="114"/>
        <v>كيلوگرم</v>
      </c>
      <c r="J554" s="1" t="str">
        <f>"0000000091"</f>
        <v>0000000091</v>
      </c>
      <c r="K554" s="1" t="str">
        <f>"قير  PG64-22"</f>
        <v>قير  PG64-22</v>
      </c>
      <c r="L554" s="1">
        <v>100</v>
      </c>
      <c r="M554" s="1" t="str">
        <f t="shared" si="119"/>
        <v>مخازن قير اصفهان</v>
      </c>
      <c r="N554" s="1">
        <v>4012</v>
      </c>
      <c r="O554" s="1">
        <v>50031117</v>
      </c>
      <c r="P554" s="1" t="str">
        <f>"  اداره كل راه و شهرسازي خراسان جنوبي"</f>
        <v xml:space="preserve">  اداره كل راه و شهرسازي خراسان جنوبي</v>
      </c>
      <c r="Q554" s="1">
        <v>17</v>
      </c>
      <c r="R554" s="1" t="str">
        <f>"فروش داخلي تهران - وزارت راه - راه روستايي - روکش"</f>
        <v>فروش داخلي تهران - وزارت راه - راه روستايي - روکش</v>
      </c>
      <c r="S554" s="1" t="str">
        <f t="shared" si="115"/>
        <v>قرارداد فروش</v>
      </c>
      <c r="T554" s="1" t="str">
        <f t="shared" si="116"/>
        <v>ندارد</v>
      </c>
      <c r="U554" s="1" t="str">
        <f>"قانعي محمدرضا(1011ج89)"</f>
        <v>قانعي محمدرضا(1011ج89)</v>
      </c>
      <c r="V554" s="1">
        <v>951700051</v>
      </c>
      <c r="W554" s="1">
        <v>951700051</v>
      </c>
      <c r="X554" s="1" t="str">
        <f>"1395411198"</f>
        <v>1395411198</v>
      </c>
      <c r="Y554" s="1" t="str">
        <f>"95/04/06"</f>
        <v>95/04/06</v>
      </c>
      <c r="Z554" s="1" t="str">
        <f>"13013/510"</f>
        <v>13013/510</v>
      </c>
      <c r="AA554" s="1" t="str">
        <f>"راه روستائي -روكش"</f>
        <v>راه روستائي -روكش</v>
      </c>
      <c r="AB554" s="1" t="str">
        <f>"95/03/29"</f>
        <v>95/03/29</v>
      </c>
      <c r="AC554" s="1" t="str">
        <f>"خراسان جنوبي"</f>
        <v>خراسان جنوبي</v>
      </c>
      <c r="AD554" s="1" t="str">
        <f>"95/04/05"</f>
        <v>95/04/05</v>
      </c>
      <c r="AE554" s="1" t="str">
        <f t="shared" si="128"/>
        <v>اختتام</v>
      </c>
      <c r="AF554" s="1" t="str">
        <f>""</f>
        <v/>
      </c>
      <c r="AG554" s="1" t="str">
        <f>""</f>
        <v/>
      </c>
      <c r="AH554" s="1" t="str">
        <f>""</f>
        <v/>
      </c>
      <c r="AI554" s="1" t="str">
        <f>""</f>
        <v/>
      </c>
      <c r="AJ554" s="1" t="str">
        <f>""</f>
        <v/>
      </c>
      <c r="AK554" s="1" t="str">
        <f>""</f>
        <v/>
      </c>
    </row>
    <row r="555" spans="1:37" x14ac:dyDescent="0.2">
      <c r="A555" s="1">
        <v>155800</v>
      </c>
      <c r="B555" s="1">
        <v>951400133</v>
      </c>
      <c r="C555" s="1" t="str">
        <f>"تخليه -خراسان جنوبي -بيرجند-كارخانه آسفالت شماره 2"</f>
        <v>تخليه -خراسان جنوبي -بيرجند-كارخانه آسفالت شماره 2</v>
      </c>
      <c r="D555" s="1">
        <v>9511</v>
      </c>
      <c r="E555" s="1">
        <v>155160</v>
      </c>
      <c r="F555" s="1">
        <v>95</v>
      </c>
      <c r="G555" s="1">
        <v>640</v>
      </c>
      <c r="H555" s="1" t="str">
        <f>"95/11/03"</f>
        <v>95/11/03</v>
      </c>
      <c r="I555" s="1" t="str">
        <f t="shared" si="114"/>
        <v>كيلوگرم</v>
      </c>
      <c r="J555" s="1" t="str">
        <f>"0000000091"</f>
        <v>0000000091</v>
      </c>
      <c r="K555" s="1" t="str">
        <f>"قير  PG64-22"</f>
        <v>قير  PG64-22</v>
      </c>
      <c r="L555" s="1">
        <v>100</v>
      </c>
      <c r="M555" s="1" t="str">
        <f t="shared" si="119"/>
        <v>مخازن قير اصفهان</v>
      </c>
      <c r="N555" s="1">
        <v>4012</v>
      </c>
      <c r="O555" s="1">
        <v>50033477</v>
      </c>
      <c r="P555" s="1" t="str">
        <f>"  اداره كل راه و شهرسازي خراسان جنوبي"</f>
        <v xml:space="preserve">  اداره كل راه و شهرسازي خراسان جنوبي</v>
      </c>
      <c r="Q555" s="1">
        <v>14</v>
      </c>
      <c r="R555" s="1" t="str">
        <f>"فروش داخلي - وزارت راه - حوزه راه روستايي ساخت"</f>
        <v>فروش داخلي - وزارت راه - حوزه راه روستايي ساخت</v>
      </c>
      <c r="S555" s="1" t="str">
        <f t="shared" si="115"/>
        <v>قرارداد فروش</v>
      </c>
      <c r="T555" s="1" t="str">
        <f t="shared" si="116"/>
        <v>ندارد</v>
      </c>
      <c r="U555" s="1" t="str">
        <f>"بابامحمدي عنايت اله(4844000)"</f>
        <v>بابامحمدي عنايت اله(4844000)</v>
      </c>
      <c r="V555" s="1">
        <v>951400133</v>
      </c>
      <c r="W555" s="1">
        <v>951400133</v>
      </c>
      <c r="X555" s="1" t="str">
        <f>"1395456363"</f>
        <v>1395456363</v>
      </c>
      <c r="Y555" s="1" t="str">
        <f>"95/11/03"</f>
        <v>95/11/03</v>
      </c>
      <c r="Z555" s="1" t="str">
        <f>"49490/710"</f>
        <v>49490/710</v>
      </c>
      <c r="AA555" s="1" t="str">
        <f>"راه وروستايي -ساخت"</f>
        <v>راه وروستايي -ساخت</v>
      </c>
      <c r="AB555" s="1" t="str">
        <f>"95/10/08"</f>
        <v>95/10/08</v>
      </c>
      <c r="AC555" s="1" t="str">
        <f>"خراسان جنوبي"</f>
        <v>خراسان جنوبي</v>
      </c>
      <c r="AD555" s="1" t="str">
        <f>"95/10/13"</f>
        <v>95/10/13</v>
      </c>
      <c r="AE555" s="1" t="str">
        <f t="shared" si="128"/>
        <v>اختتام</v>
      </c>
      <c r="AF555" s="1" t="str">
        <f>""</f>
        <v/>
      </c>
      <c r="AG555" s="1" t="str">
        <f>""</f>
        <v/>
      </c>
      <c r="AH555" s="1" t="str">
        <f>""</f>
        <v/>
      </c>
      <c r="AI555" s="1" t="str">
        <f>""</f>
        <v/>
      </c>
      <c r="AJ555" s="1" t="str">
        <f>""</f>
        <v/>
      </c>
      <c r="AK555" s="1" t="str">
        <f>""</f>
        <v/>
      </c>
    </row>
    <row r="556" spans="1:37" x14ac:dyDescent="0.2">
      <c r="A556" s="1">
        <v>830000</v>
      </c>
      <c r="B556" s="1">
        <v>951000006</v>
      </c>
      <c r="C556" s="1" t="str">
        <f>"تخليه -همدان جاده كرمانشاه پشت پليس رله قديم بهار-شهرك صنعتي بهاران جنب ايزوگام هگمتانه كارخانه آسفالت سيمين راه بهار"</f>
        <v>تخليه -همدان جاده كرمانشاه پشت پليس رله قديم بهار-شهرك صنعتي بهاران جنب ايزوگام هگمتانه كارخانه آسفالت سيمين راه بهار</v>
      </c>
      <c r="D556" s="1">
        <v>6050</v>
      </c>
      <c r="E556" s="1">
        <v>829180</v>
      </c>
      <c r="F556" s="1">
        <v>95</v>
      </c>
      <c r="G556" s="1">
        <v>820</v>
      </c>
      <c r="H556" s="1" t="str">
        <f>"95/03/22"</f>
        <v>95/03/22</v>
      </c>
      <c r="I556" s="1" t="str">
        <f t="shared" si="114"/>
        <v>كيلوگرم</v>
      </c>
      <c r="J556" s="1" t="str">
        <f>"0000000088"</f>
        <v>0000000088</v>
      </c>
      <c r="K556" s="1" t="str">
        <f>"قير  PG58-22"</f>
        <v>قير  PG58-22</v>
      </c>
      <c r="L556" s="1">
        <v>100</v>
      </c>
      <c r="M556" s="1" t="str">
        <f t="shared" si="119"/>
        <v>مخازن قير اصفهان</v>
      </c>
      <c r="N556" s="1">
        <v>11107</v>
      </c>
      <c r="O556" s="1">
        <v>50030993</v>
      </c>
      <c r="P556" s="1" t="str">
        <f>"  اداره كل نوسازي توسعه وتجهيزمدارس استان همدان"</f>
        <v xml:space="preserve">  اداره كل نوسازي توسعه وتجهيزمدارس استان همدان</v>
      </c>
      <c r="Q556" s="1">
        <v>10</v>
      </c>
      <c r="R556" s="1" t="str">
        <f>"فروش داخلي - وزارت راه - متفرقه"</f>
        <v>فروش داخلي - وزارت راه - متفرقه</v>
      </c>
      <c r="S556" s="1" t="str">
        <f t="shared" si="115"/>
        <v>قرارداد فروش</v>
      </c>
      <c r="T556" s="1" t="str">
        <f t="shared" si="116"/>
        <v>ندارد</v>
      </c>
      <c r="U556" s="1" t="str">
        <f>"قنبري امين(2872037)"</f>
        <v>قنبري امين(2872037)</v>
      </c>
      <c r="V556" s="1">
        <v>951000006</v>
      </c>
      <c r="W556" s="1">
        <v>951000006</v>
      </c>
      <c r="X556" s="1" t="str">
        <f>"1395408513"</f>
        <v>1395408513</v>
      </c>
      <c r="Y556" s="1" t="str">
        <f>"95/03/22"</f>
        <v>95/03/22</v>
      </c>
      <c r="Z556" s="1" t="str">
        <f>"69635/510"</f>
        <v>69635/510</v>
      </c>
      <c r="AA556" s="1" t="str">
        <f>"متفرقه"</f>
        <v>متفرقه</v>
      </c>
      <c r="AB556" s="1" t="str">
        <f>"94/12/19"</f>
        <v>94/12/19</v>
      </c>
      <c r="AC556" s="1" t="str">
        <f>"استان همدان"</f>
        <v>استان همدان</v>
      </c>
      <c r="AD556" s="1" t="str">
        <f>"95/03/19"</f>
        <v>95/03/19</v>
      </c>
      <c r="AE556" s="1" t="str">
        <f t="shared" si="128"/>
        <v>اختتام</v>
      </c>
      <c r="AF556" s="1" t="str">
        <f>""</f>
        <v/>
      </c>
      <c r="AG556" s="1" t="str">
        <f>""</f>
        <v/>
      </c>
      <c r="AH556" s="1" t="str">
        <f>""</f>
        <v/>
      </c>
      <c r="AI556" s="1" t="str">
        <f>""</f>
        <v/>
      </c>
      <c r="AJ556" s="1" t="str">
        <f>""</f>
        <v/>
      </c>
      <c r="AK556" s="1" t="str">
        <f>""</f>
        <v/>
      </c>
    </row>
    <row r="557" spans="1:37" x14ac:dyDescent="0.2">
      <c r="A557" s="1">
        <v>670000</v>
      </c>
      <c r="B557" s="1">
        <v>951000007</v>
      </c>
      <c r="C557" s="1" t="str">
        <f>"تخليه همدان دوراهي سياه كمربعدازروستاي مسلم آباد-كارخانه آسفالت مسلم آباد"</f>
        <v>تخليه همدان دوراهي سياه كمربعدازروستاي مسلم آباد-كارخانه آسفالت مسلم آباد</v>
      </c>
      <c r="D557" s="1">
        <v>6050</v>
      </c>
      <c r="E557" s="1">
        <v>647780</v>
      </c>
      <c r="F557" s="1">
        <v>95</v>
      </c>
      <c r="G557" s="1">
        <v>22220</v>
      </c>
      <c r="H557" s="1" t="str">
        <f>"95/03/22"</f>
        <v>95/03/22</v>
      </c>
      <c r="I557" s="1" t="str">
        <f t="shared" si="114"/>
        <v>كيلوگرم</v>
      </c>
      <c r="J557" s="1" t="str">
        <f>"0000000088"</f>
        <v>0000000088</v>
      </c>
      <c r="K557" s="1" t="str">
        <f>"قير  PG58-22"</f>
        <v>قير  PG58-22</v>
      </c>
      <c r="L557" s="1">
        <v>100</v>
      </c>
      <c r="M557" s="1" t="str">
        <f t="shared" si="119"/>
        <v>مخازن قير اصفهان</v>
      </c>
      <c r="N557" s="1">
        <v>11107</v>
      </c>
      <c r="O557" s="1">
        <v>50030996</v>
      </c>
      <c r="P557" s="1" t="str">
        <f>"  اداره كل نوسازي توسعه وتجهيزمدارس استان همدان"</f>
        <v xml:space="preserve">  اداره كل نوسازي توسعه وتجهيزمدارس استان همدان</v>
      </c>
      <c r="Q557" s="1">
        <v>10</v>
      </c>
      <c r="R557" s="1" t="str">
        <f>"فروش داخلي - وزارت راه - متفرقه"</f>
        <v>فروش داخلي - وزارت راه - متفرقه</v>
      </c>
      <c r="S557" s="1" t="str">
        <f t="shared" si="115"/>
        <v>قرارداد فروش</v>
      </c>
      <c r="T557" s="1" t="str">
        <f t="shared" si="116"/>
        <v>ندارد</v>
      </c>
      <c r="U557" s="1" t="str">
        <f>"قنبري امين(2872037)"</f>
        <v>قنبري امين(2872037)</v>
      </c>
      <c r="V557" s="1">
        <v>951000007</v>
      </c>
      <c r="W557" s="1">
        <v>951000007</v>
      </c>
      <c r="X557" s="1" t="str">
        <f>"1395408513"</f>
        <v>1395408513</v>
      </c>
      <c r="Y557" s="1" t="str">
        <f>"95/03/22"</f>
        <v>95/03/22</v>
      </c>
      <c r="Z557" s="1" t="str">
        <f>"69635/510"</f>
        <v>69635/510</v>
      </c>
      <c r="AA557" s="1" t="str">
        <f>"متفرقه"</f>
        <v>متفرقه</v>
      </c>
      <c r="AB557" s="1" t="str">
        <f>"94/12/19"</f>
        <v>94/12/19</v>
      </c>
      <c r="AC557" s="1" t="str">
        <f>"استان همدان"</f>
        <v>استان همدان</v>
      </c>
      <c r="AD557" s="1" t="str">
        <f>"95/03/19"</f>
        <v>95/03/19</v>
      </c>
      <c r="AE557" s="1" t="str">
        <f t="shared" si="128"/>
        <v>اختتام</v>
      </c>
      <c r="AF557" s="1" t="str">
        <f>""</f>
        <v/>
      </c>
      <c r="AG557" s="1" t="str">
        <f>""</f>
        <v/>
      </c>
      <c r="AH557" s="1" t="str">
        <f>""</f>
        <v/>
      </c>
      <c r="AI557" s="1" t="str">
        <f>""</f>
        <v/>
      </c>
      <c r="AJ557" s="1" t="str">
        <f>""</f>
        <v/>
      </c>
      <c r="AK557" s="1" t="str">
        <f>""</f>
        <v/>
      </c>
    </row>
    <row r="558" spans="1:37" x14ac:dyDescent="0.2">
      <c r="A558" s="1">
        <v>1000000</v>
      </c>
      <c r="B558" s="1">
        <v>951800104</v>
      </c>
      <c r="C558" s="1" t="str">
        <f>"تخليه چهارمحال وبختياري -سفيددشت كارگاه بهارديمه"</f>
        <v>تخليه چهارمحال وبختياري -سفيددشت كارگاه بهارديمه</v>
      </c>
      <c r="D558" s="1">
        <v>9061</v>
      </c>
      <c r="E558" s="1">
        <v>338060</v>
      </c>
      <c r="F558" s="1">
        <v>95</v>
      </c>
      <c r="G558" s="1">
        <v>661940</v>
      </c>
      <c r="H558" s="1" t="str">
        <f>"95/10/01"</f>
        <v>95/10/01</v>
      </c>
      <c r="I558" s="1" t="str">
        <f t="shared" si="114"/>
        <v>كيلوگرم</v>
      </c>
      <c r="J558" s="1" t="str">
        <f>"0000000088"</f>
        <v>0000000088</v>
      </c>
      <c r="K558" s="1" t="str">
        <f>"قير  PG58-22"</f>
        <v>قير  PG58-22</v>
      </c>
      <c r="L558" s="1">
        <v>100</v>
      </c>
      <c r="M558" s="1" t="str">
        <f t="shared" si="119"/>
        <v>مخازن قير اصفهان</v>
      </c>
      <c r="N558" s="1">
        <v>11110</v>
      </c>
      <c r="O558" s="1">
        <v>50033108</v>
      </c>
      <c r="P558" s="1" t="str">
        <f>"  بهارديمه"</f>
        <v xml:space="preserve">  بهارديمه</v>
      </c>
      <c r="Q558" s="1">
        <v>18</v>
      </c>
      <c r="R558" s="1" t="str">
        <f>"فروش داخلي تهران - وزارت راه - شرکت ساخت و توسعه راهها"</f>
        <v>فروش داخلي تهران - وزارت راه - شرکت ساخت و توسعه راهها</v>
      </c>
      <c r="S558" s="1" t="str">
        <f t="shared" si="115"/>
        <v>قرارداد فروش</v>
      </c>
      <c r="T558" s="1" t="str">
        <f t="shared" si="116"/>
        <v>ندارد</v>
      </c>
      <c r="U558" s="1" t="str">
        <f>"غلام نجفي سيامك‌‌‌‌‌‌(1881082)"</f>
        <v>غلام نجفي سيامك‌‌‌‌‌‌(1881082)</v>
      </c>
      <c r="V558" s="1">
        <v>951800104</v>
      </c>
      <c r="W558" s="1">
        <v>951800104</v>
      </c>
      <c r="X558" s="1" t="str">
        <f>"1395451390"</f>
        <v>1395451390</v>
      </c>
      <c r="Y558" s="1" t="str">
        <f>"95/10/01"</f>
        <v>95/10/01</v>
      </c>
      <c r="Z558" s="1" t="str">
        <f>"42042/710"</f>
        <v>42042/710</v>
      </c>
      <c r="AA558" s="1" t="str">
        <f>"شركت  ساخت وتوسعه راهها"</f>
        <v>شركت  ساخت وتوسعه راهها</v>
      </c>
      <c r="AB558" s="1" t="str">
        <f>"95/08/29"</f>
        <v>95/08/29</v>
      </c>
      <c r="AC558" s="1" t="str">
        <f>"استان چهارمحال بختياري"</f>
        <v>استان چهارمحال بختياري</v>
      </c>
      <c r="AD558" s="1" t="str">
        <f>"95/09/22"</f>
        <v>95/09/22</v>
      </c>
      <c r="AE558" s="1" t="str">
        <f t="shared" si="128"/>
        <v>اختتام</v>
      </c>
      <c r="AF558" s="1" t="str">
        <f>""</f>
        <v/>
      </c>
      <c r="AG558" s="1" t="str">
        <f>""</f>
        <v/>
      </c>
      <c r="AH558" s="1" t="str">
        <f>""</f>
        <v/>
      </c>
      <c r="AI558" s="1" t="str">
        <f>""</f>
        <v/>
      </c>
      <c r="AJ558" s="1" t="str">
        <f>""</f>
        <v/>
      </c>
      <c r="AK558" s="1" t="str">
        <f>""</f>
        <v/>
      </c>
    </row>
    <row r="559" spans="1:37" x14ac:dyDescent="0.2">
      <c r="A559" s="1">
        <v>48000</v>
      </c>
      <c r="B559" s="1">
        <v>951100137</v>
      </c>
      <c r="C559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559" s="1">
        <v>8973</v>
      </c>
      <c r="E559" s="1">
        <v>47240</v>
      </c>
      <c r="F559" s="1">
        <v>95</v>
      </c>
      <c r="G559" s="1">
        <v>760</v>
      </c>
      <c r="H559" s="1" t="str">
        <f>"95/08/15"</f>
        <v>95/08/15</v>
      </c>
      <c r="I559" s="1" t="str">
        <f t="shared" si="114"/>
        <v>كيلوگرم</v>
      </c>
      <c r="J559" s="1" t="str">
        <f>"0000000076"</f>
        <v>0000000076</v>
      </c>
      <c r="K559" s="1" t="str">
        <f>"قير 60/70 - فله"</f>
        <v>قير 60/70 - فله</v>
      </c>
      <c r="L559" s="1">
        <v>100</v>
      </c>
      <c r="M559" s="1" t="str">
        <f t="shared" si="119"/>
        <v>مخازن قير اصفهان</v>
      </c>
      <c r="N559" s="1">
        <v>8246</v>
      </c>
      <c r="O559" s="1">
        <v>50032501</v>
      </c>
      <c r="P559" s="1" t="str">
        <f>"  نيك محضراسپادانا"</f>
        <v xml:space="preserve">  نيك محضراسپادانا</v>
      </c>
      <c r="Q559" s="1">
        <v>11</v>
      </c>
      <c r="R559" s="1" t="str">
        <f>"فروش داخلي تهران - بورس"</f>
        <v>فروش داخلي تهران - بورس</v>
      </c>
      <c r="S559" s="1" t="str">
        <f t="shared" si="115"/>
        <v>قرارداد فروش</v>
      </c>
      <c r="T559" s="1" t="str">
        <f t="shared" si="116"/>
        <v>ندارد</v>
      </c>
      <c r="U559" s="1" t="str">
        <f>"عزيزي صفر(1006ج 89)"</f>
        <v>عزيزي صفر(1006ج 89)</v>
      </c>
      <c r="V559" s="1">
        <v>951100137</v>
      </c>
      <c r="W559" s="1">
        <v>951100137</v>
      </c>
      <c r="X559" s="1" t="str">
        <f>"1395441429"</f>
        <v>1395441429</v>
      </c>
      <c r="Y559" s="1" t="str">
        <f>"95/08/15"</f>
        <v>95/08/15</v>
      </c>
      <c r="Z559" s="1" t="str">
        <f>"95-34781"</f>
        <v>95-34781</v>
      </c>
      <c r="AA559" s="1" t="str">
        <f>"راه سازي"</f>
        <v>راه سازي</v>
      </c>
      <c r="AB559" s="1" t="str">
        <f>"95/08/15"</f>
        <v>95/08/15</v>
      </c>
      <c r="AC559" s="1" t="str">
        <f>"استان اصفهان"</f>
        <v>استان اصفهان</v>
      </c>
      <c r="AD559" s="1" t="str">
        <f>"95/08/09"</f>
        <v>95/08/09</v>
      </c>
      <c r="AE559" s="1" t="str">
        <f t="shared" si="128"/>
        <v>اختتام</v>
      </c>
      <c r="AF559" s="1" t="str">
        <f>""</f>
        <v/>
      </c>
      <c r="AG559" s="1" t="str">
        <f>""</f>
        <v/>
      </c>
      <c r="AH559" s="1" t="str">
        <f>""</f>
        <v/>
      </c>
      <c r="AI559" s="1" t="str">
        <f>""</f>
        <v/>
      </c>
      <c r="AJ559" s="1" t="str">
        <f>""</f>
        <v/>
      </c>
      <c r="AK559" s="1" t="str">
        <f>""</f>
        <v/>
      </c>
    </row>
    <row r="560" spans="1:37" x14ac:dyDescent="0.2">
      <c r="A560" s="1">
        <v>500000</v>
      </c>
      <c r="B560" s="1">
        <v>951800025</v>
      </c>
      <c r="C560" s="1" t="str">
        <f>"تخليه -زرين شهر-تنگ بيدگان كارخانه آسفالت زرين استحكام"</f>
        <v>تخليه -زرين شهر-تنگ بيدگان كارخانه آسفالت زرين استحكام</v>
      </c>
      <c r="D560" s="1">
        <v>6250</v>
      </c>
      <c r="E560" s="1">
        <v>500000</v>
      </c>
      <c r="F560" s="1">
        <v>95</v>
      </c>
      <c r="G560" s="1">
        <v>0</v>
      </c>
      <c r="H560" s="1" t="str">
        <f>"95/04/09"</f>
        <v>95/04/09</v>
      </c>
      <c r="I560" s="1" t="str">
        <f t="shared" si="114"/>
        <v>كيلوگرم</v>
      </c>
      <c r="J560" s="1" t="str">
        <f>"0000000088"</f>
        <v>0000000088</v>
      </c>
      <c r="K560" s="1" t="str">
        <f>"قير  PG58-22"</f>
        <v>قير  PG58-22</v>
      </c>
      <c r="L560" s="1">
        <v>100</v>
      </c>
      <c r="M560" s="1" t="str">
        <f t="shared" si="119"/>
        <v>مخازن قير اصفهان</v>
      </c>
      <c r="N560" s="1">
        <v>1351</v>
      </c>
      <c r="O560" s="1">
        <v>50031170</v>
      </c>
      <c r="P560" s="1" t="str">
        <f>"  زرين استحكام"</f>
        <v xml:space="preserve">  زرين استحكام</v>
      </c>
      <c r="Q560" s="1">
        <v>18</v>
      </c>
      <c r="R560" s="1" t="str">
        <f>"فروش داخلي تهران - وزارت راه - شرکت ساخت و توسعه راهها"</f>
        <v>فروش داخلي تهران - وزارت راه - شرکت ساخت و توسعه راهها</v>
      </c>
      <c r="S560" s="1" t="str">
        <f t="shared" si="115"/>
        <v>قرارداد فروش</v>
      </c>
      <c r="T560" s="1" t="str">
        <f t="shared" si="116"/>
        <v>ندارد</v>
      </c>
      <c r="U560" s="1" t="str">
        <f>"مظلوم فريبرز(1008ج89)"</f>
        <v>مظلوم فريبرز(1008ج89)</v>
      </c>
      <c r="V560" s="1">
        <v>951800025</v>
      </c>
      <c r="W560" s="1">
        <v>951800025</v>
      </c>
      <c r="X560" s="1" t="str">
        <f>"1395412245"</f>
        <v>1395412245</v>
      </c>
      <c r="Y560" s="1" t="str">
        <f>"95/04/09"</f>
        <v>95/04/09</v>
      </c>
      <c r="Z560" s="1" t="str">
        <f>"14716/510"</f>
        <v>14716/510</v>
      </c>
      <c r="AA560" s="1" t="str">
        <f>"شركت  ساخت وتوسعه راهها"</f>
        <v>شركت  ساخت وتوسعه راهها</v>
      </c>
      <c r="AB560" s="1" t="str">
        <f>"95/04/08"</f>
        <v>95/04/08</v>
      </c>
      <c r="AC560" s="1" t="str">
        <f>"استان چهارمحال بختياري"</f>
        <v>استان چهارمحال بختياري</v>
      </c>
      <c r="AD560" s="1" t="str">
        <f>"95/04/09"</f>
        <v>95/04/09</v>
      </c>
      <c r="AE560" s="1" t="str">
        <f t="shared" si="128"/>
        <v>اختتام</v>
      </c>
      <c r="AF560" s="1" t="str">
        <f>""</f>
        <v/>
      </c>
      <c r="AG560" s="1" t="str">
        <f>""</f>
        <v/>
      </c>
      <c r="AH560" s="1" t="str">
        <f>""</f>
        <v/>
      </c>
      <c r="AI560" s="1" t="str">
        <f>""</f>
        <v/>
      </c>
      <c r="AJ560" s="1" t="str">
        <f>""</f>
        <v/>
      </c>
      <c r="AK560" s="1" t="str">
        <f>""</f>
        <v/>
      </c>
    </row>
    <row r="561" spans="1:37" x14ac:dyDescent="0.2">
      <c r="A561" s="1">
        <v>500000</v>
      </c>
      <c r="B561" s="1">
        <v>951900016</v>
      </c>
      <c r="C561" s="1" t="str">
        <f>"تخليه -چهارمحال وبختياري جاده مباركه بعدازشهرمجلسي معدن قامشلو-كارخانه آسفالت شركت تك شن"</f>
        <v>تخليه -چهارمحال وبختياري جاده مباركه بعدازشهرمجلسي معدن قامشلو-كارخانه آسفالت شركت تك شن</v>
      </c>
      <c r="D561" s="1">
        <v>5650</v>
      </c>
      <c r="E561" s="1">
        <v>500000</v>
      </c>
      <c r="F561" s="1">
        <v>95</v>
      </c>
      <c r="G561" s="1">
        <v>0</v>
      </c>
      <c r="H561" s="1" t="str">
        <f>"95/02/14"</f>
        <v>95/02/14</v>
      </c>
      <c r="I561" s="1" t="str">
        <f t="shared" si="114"/>
        <v>كيلوگرم</v>
      </c>
      <c r="J561" s="1" t="str">
        <f>"0000000088"</f>
        <v>0000000088</v>
      </c>
      <c r="K561" s="1" t="str">
        <f>"قير  PG58-22"</f>
        <v>قير  PG58-22</v>
      </c>
      <c r="L561" s="1">
        <v>100</v>
      </c>
      <c r="M561" s="1" t="str">
        <f t="shared" si="119"/>
        <v>مخازن قير اصفهان</v>
      </c>
      <c r="N561" s="1">
        <v>7190</v>
      </c>
      <c r="O561" s="1">
        <v>50030729</v>
      </c>
      <c r="P561" s="1" t="str">
        <f>"  اداره كل راه و شهرسازي چهارمحال وبختياري"</f>
        <v xml:space="preserve">  اداره كل راه و شهرسازي چهارمحال وبختياري</v>
      </c>
      <c r="Q561" s="1">
        <v>19</v>
      </c>
      <c r="R56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61" s="1" t="str">
        <f t="shared" si="115"/>
        <v>قرارداد فروش</v>
      </c>
      <c r="T561" s="1" t="str">
        <f t="shared" si="116"/>
        <v>ندارد</v>
      </c>
      <c r="U561" s="1" t="str">
        <f>"قره باغي مجيد(1871065)"</f>
        <v>قره باغي مجيد(1871065)</v>
      </c>
      <c r="V561" s="1">
        <v>951900016</v>
      </c>
      <c r="W561" s="1">
        <v>951900016</v>
      </c>
      <c r="X561" s="1" t="str">
        <f>"1395401952"</f>
        <v>1395401952</v>
      </c>
      <c r="Y561" s="1" t="str">
        <f>"95/02/14"</f>
        <v>95/02/14</v>
      </c>
      <c r="Z561" s="1" t="str">
        <f>"67884/510"</f>
        <v>67884/510</v>
      </c>
      <c r="AA561" s="1" t="str">
        <f>"سازمان راهداري وحمل نقل جاده اي"</f>
        <v>سازمان راهداري وحمل نقل جاده اي</v>
      </c>
      <c r="AB561" s="1" t="str">
        <f>"94/12/11"</f>
        <v>94/12/11</v>
      </c>
      <c r="AC561" s="1" t="str">
        <f>"استان چهارمحال بختياري"</f>
        <v>استان چهارمحال بختياري</v>
      </c>
      <c r="AD561" s="1" t="str">
        <f>"95/02/11"</f>
        <v>95/02/11</v>
      </c>
      <c r="AE561" s="1" t="str">
        <f t="shared" si="128"/>
        <v>اختتام</v>
      </c>
      <c r="AF561" s="1" t="str">
        <f>""</f>
        <v/>
      </c>
      <c r="AG561" s="1" t="str">
        <f>""</f>
        <v/>
      </c>
      <c r="AH561" s="1" t="str">
        <f>""</f>
        <v/>
      </c>
      <c r="AI561" s="1" t="str">
        <f>""</f>
        <v/>
      </c>
      <c r="AJ561" s="1" t="str">
        <f>""</f>
        <v/>
      </c>
      <c r="AK561" s="1" t="str">
        <f>""</f>
        <v/>
      </c>
    </row>
    <row r="562" spans="1:37" x14ac:dyDescent="0.2">
      <c r="A562" s="1">
        <v>120000</v>
      </c>
      <c r="B562" s="1">
        <v>951700322</v>
      </c>
      <c r="C562" s="1" t="str">
        <f>"تخليه -لردگان -كارخانه آسفالت لردگان"</f>
        <v>تخليه -لردگان -كارخانه آسفالت لردگان</v>
      </c>
      <c r="D562" s="1">
        <v>8998</v>
      </c>
      <c r="E562" s="1">
        <v>119960</v>
      </c>
      <c r="F562" s="1">
        <v>95</v>
      </c>
      <c r="G562" s="1">
        <v>40</v>
      </c>
      <c r="H562" s="1" t="str">
        <f>"95/11/05"</f>
        <v>95/11/05</v>
      </c>
      <c r="I562" s="1" t="str">
        <f t="shared" si="114"/>
        <v>كيلوگرم</v>
      </c>
      <c r="J562" s="1" t="str">
        <f>"0000000088"</f>
        <v>0000000088</v>
      </c>
      <c r="K562" s="1" t="str">
        <f>"قير  PG58-22"</f>
        <v>قير  PG58-22</v>
      </c>
      <c r="L562" s="1">
        <v>100</v>
      </c>
      <c r="M562" s="1" t="str">
        <f t="shared" si="119"/>
        <v>مخازن قير اصفهان</v>
      </c>
      <c r="N562" s="1">
        <v>7190</v>
      </c>
      <c r="O562" s="1">
        <v>50033520</v>
      </c>
      <c r="P562" s="1" t="str">
        <f>"  اداره كل راه و شهرسازي چهارمحال وبختياري"</f>
        <v xml:space="preserve">  اداره كل راه و شهرسازي چهارمحال وبختياري</v>
      </c>
      <c r="Q562" s="1">
        <v>17</v>
      </c>
      <c r="R562" s="1" t="str">
        <f>"فروش داخلي تهران - وزارت راه - راه روستايي - روکش"</f>
        <v>فروش داخلي تهران - وزارت راه - راه روستايي - روکش</v>
      </c>
      <c r="S562" s="1" t="str">
        <f t="shared" si="115"/>
        <v>قرارداد فروش</v>
      </c>
      <c r="T562" s="1" t="str">
        <f t="shared" si="116"/>
        <v>ندارد</v>
      </c>
      <c r="U562" s="1" t="str">
        <f>"قره باغي مجيد(1871065)"</f>
        <v>قره باغي مجيد(1871065)</v>
      </c>
      <c r="V562" s="1">
        <v>951700322</v>
      </c>
      <c r="W562" s="1">
        <v>951700322</v>
      </c>
      <c r="X562" s="1" t="str">
        <f>"1395460247"</f>
        <v>1395460247</v>
      </c>
      <c r="Y562" s="1" t="str">
        <f>"95/11/04"</f>
        <v>95/11/04</v>
      </c>
      <c r="Z562" s="1" t="str">
        <f>"52195/710"</f>
        <v>52195/710</v>
      </c>
      <c r="AA562" s="1" t="str">
        <f>"راه روستائي -روكش"</f>
        <v>راه روستائي -روكش</v>
      </c>
      <c r="AB562" s="1" t="str">
        <f>"95/10/22"</f>
        <v>95/10/22</v>
      </c>
      <c r="AC562" s="1" t="str">
        <f>"استان چهارمحال بختياري"</f>
        <v>استان چهارمحال بختياري</v>
      </c>
      <c r="AD562" s="1" t="str">
        <f>"95/11/04"</f>
        <v>95/11/04</v>
      </c>
      <c r="AE562" s="1" t="str">
        <f t="shared" si="128"/>
        <v>اختتام</v>
      </c>
      <c r="AF562" s="1" t="str">
        <f>""</f>
        <v/>
      </c>
      <c r="AG562" s="1" t="str">
        <f>""</f>
        <v/>
      </c>
      <c r="AH562" s="1" t="str">
        <f>""</f>
        <v/>
      </c>
      <c r="AI562" s="1" t="str">
        <f>""</f>
        <v/>
      </c>
      <c r="AJ562" s="1" t="str">
        <f>""</f>
        <v/>
      </c>
      <c r="AK562" s="1" t="str">
        <f>""</f>
        <v/>
      </c>
    </row>
    <row r="563" spans="1:37" x14ac:dyDescent="0.2">
      <c r="A563" s="1">
        <v>100000</v>
      </c>
      <c r="B563" s="1">
        <v>951700326</v>
      </c>
      <c r="C563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563" s="1">
        <v>8998</v>
      </c>
      <c r="E563" s="1">
        <v>99260</v>
      </c>
      <c r="F563" s="1">
        <v>95</v>
      </c>
      <c r="G563" s="1">
        <v>740</v>
      </c>
      <c r="H563" s="1" t="str">
        <f>"95/11/05"</f>
        <v>95/11/05</v>
      </c>
      <c r="I563" s="1" t="str">
        <f t="shared" si="114"/>
        <v>كيلوگرم</v>
      </c>
      <c r="J563" s="1" t="str">
        <f>"0000000088"</f>
        <v>0000000088</v>
      </c>
      <c r="K563" s="1" t="str">
        <f>"قير  PG58-22"</f>
        <v>قير  PG58-22</v>
      </c>
      <c r="L563" s="1">
        <v>100</v>
      </c>
      <c r="M563" s="1" t="str">
        <f t="shared" si="119"/>
        <v>مخازن قير اصفهان</v>
      </c>
      <c r="N563" s="1">
        <v>7190</v>
      </c>
      <c r="O563" s="1">
        <v>50033525</v>
      </c>
      <c r="P563" s="1" t="str">
        <f>"  اداره كل راه و شهرسازي چهارمحال وبختياري"</f>
        <v xml:space="preserve">  اداره كل راه و شهرسازي چهارمحال وبختياري</v>
      </c>
      <c r="Q563" s="1">
        <v>17</v>
      </c>
      <c r="R563" s="1" t="str">
        <f>"فروش داخلي تهران - وزارت راه - راه روستايي - روکش"</f>
        <v>فروش داخلي تهران - وزارت راه - راه روستايي - روکش</v>
      </c>
      <c r="S563" s="1" t="str">
        <f t="shared" si="115"/>
        <v>قرارداد فروش</v>
      </c>
      <c r="T563" s="1" t="str">
        <f t="shared" si="116"/>
        <v>ندارد</v>
      </c>
      <c r="U563" s="1" t="str">
        <f>"قره باغي مجيد(1871065)"</f>
        <v>قره باغي مجيد(1871065)</v>
      </c>
      <c r="V563" s="1">
        <v>951700326</v>
      </c>
      <c r="W563" s="1">
        <v>951700326</v>
      </c>
      <c r="X563" s="1" t="str">
        <f>"1395460247"</f>
        <v>1395460247</v>
      </c>
      <c r="Y563" s="1" t="str">
        <f>"95/11/04"</f>
        <v>95/11/04</v>
      </c>
      <c r="Z563" s="1" t="str">
        <f>"52247/710"</f>
        <v>52247/710</v>
      </c>
      <c r="AA563" s="1" t="str">
        <f>"راه روستائي -روكش"</f>
        <v>راه روستائي -روكش</v>
      </c>
      <c r="AB563" s="1" t="str">
        <f>"95/10/22"</f>
        <v>95/10/22</v>
      </c>
      <c r="AC563" s="1" t="str">
        <f>"استان چهارمحال بختياري"</f>
        <v>استان چهارمحال بختياري</v>
      </c>
      <c r="AD563" s="1" t="str">
        <f>"95/11/04"</f>
        <v>95/11/04</v>
      </c>
      <c r="AE563" s="1" t="str">
        <f t="shared" si="128"/>
        <v>اختتام</v>
      </c>
      <c r="AF563" s="1" t="str">
        <f>""</f>
        <v/>
      </c>
      <c r="AG563" s="1" t="str">
        <f>""</f>
        <v/>
      </c>
      <c r="AH563" s="1" t="str">
        <f>""</f>
        <v/>
      </c>
      <c r="AI563" s="1" t="str">
        <f>""</f>
        <v/>
      </c>
      <c r="AJ563" s="1" t="str">
        <f>""</f>
        <v/>
      </c>
      <c r="AK563" s="1" t="str">
        <f>""</f>
        <v/>
      </c>
    </row>
    <row r="564" spans="1:37" x14ac:dyDescent="0.2">
      <c r="A564" s="1">
        <v>350000</v>
      </c>
      <c r="B564" s="1">
        <v>951900010</v>
      </c>
      <c r="C564" s="1" t="str">
        <f>"تخليه خراسان رضوي كيلومتر3محورباخرزدولت آبادكارخانه آسفالت توس راديه"</f>
        <v>تخليه خراسان رضوي كيلومتر3محورباخرزدولت آبادكارخانه آسفالت توس راديه</v>
      </c>
      <c r="D564" s="1">
        <v>5650</v>
      </c>
      <c r="E564" s="1">
        <v>346800</v>
      </c>
      <c r="F564" s="1">
        <v>95</v>
      </c>
      <c r="G564" s="1">
        <v>3200</v>
      </c>
      <c r="H564" s="1" t="str">
        <f>"95/02/14"</f>
        <v>95/02/14</v>
      </c>
      <c r="I564" s="1" t="str">
        <f t="shared" si="114"/>
        <v>كيلوگرم</v>
      </c>
      <c r="J564" s="1" t="str">
        <f t="shared" ref="J564:J570" si="129">"0000000091"</f>
        <v>0000000091</v>
      </c>
      <c r="K564" s="1" t="str">
        <f t="shared" ref="K564:K570" si="130">"قير  PG64-22"</f>
        <v>قير  PG64-22</v>
      </c>
      <c r="L564" s="1">
        <v>100</v>
      </c>
      <c r="M564" s="1" t="str">
        <f t="shared" si="119"/>
        <v>مخازن قير اصفهان</v>
      </c>
      <c r="N564" s="1">
        <v>4026</v>
      </c>
      <c r="O564" s="1">
        <v>50030719</v>
      </c>
      <c r="P564" s="1" t="str">
        <f t="shared" ref="P564:P570" si="131">"  اداره كل راه و شهرسازي خراسان رضوي"</f>
        <v xml:space="preserve">  اداره كل راه و شهرسازي خراسان رضوي</v>
      </c>
      <c r="Q564" s="1">
        <v>19</v>
      </c>
      <c r="R56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64" s="1" t="str">
        <f t="shared" si="115"/>
        <v>قرارداد فروش</v>
      </c>
      <c r="T564" s="1" t="str">
        <f t="shared" si="116"/>
        <v>ندارد</v>
      </c>
      <c r="U564" s="1" t="str">
        <f>"بابامحمدي عنايت اله(4844000)"</f>
        <v>بابامحمدي عنايت اله(4844000)</v>
      </c>
      <c r="V564" s="1">
        <v>951900010</v>
      </c>
      <c r="W564" s="1">
        <v>951900010</v>
      </c>
      <c r="X564" s="1" t="str">
        <f>"1395402088"</f>
        <v>1395402088</v>
      </c>
      <c r="Y564" s="1" t="str">
        <f>"95/02/14"</f>
        <v>95/02/14</v>
      </c>
      <c r="Z564" s="1" t="str">
        <f>"67366/510"</f>
        <v>67366/510</v>
      </c>
      <c r="AA564" s="1" t="str">
        <f>"سازمان راهداري وحمل نقل جاده اي"</f>
        <v>سازمان راهداري وحمل نقل جاده اي</v>
      </c>
      <c r="AB564" s="1" t="str">
        <f>"94/12/09"</f>
        <v>94/12/09</v>
      </c>
      <c r="AC564" s="1" t="str">
        <f t="shared" ref="AC564:AC570" si="132">"خراسان رضوي"</f>
        <v>خراسان رضوي</v>
      </c>
      <c r="AD564" s="1" t="str">
        <f>"95/02/12"</f>
        <v>95/02/12</v>
      </c>
      <c r="AE564" s="1" t="str">
        <f t="shared" si="128"/>
        <v>اختتام</v>
      </c>
      <c r="AF564" s="1" t="str">
        <f>""</f>
        <v/>
      </c>
      <c r="AG564" s="1" t="str">
        <f>""</f>
        <v/>
      </c>
      <c r="AH564" s="1" t="str">
        <f>""</f>
        <v/>
      </c>
      <c r="AI564" s="1" t="str">
        <f>""</f>
        <v/>
      </c>
      <c r="AJ564" s="1" t="str">
        <f>""</f>
        <v/>
      </c>
      <c r="AK564" s="1" t="str">
        <f>""</f>
        <v/>
      </c>
    </row>
    <row r="565" spans="1:37" x14ac:dyDescent="0.2">
      <c r="A565" s="1">
        <v>500000</v>
      </c>
      <c r="B565" s="1">
        <v>951700010</v>
      </c>
      <c r="C565" s="1" t="str">
        <f>"تخليه -خراسان رضوي -سبزوار-كارخانه آسفالت ابريشم راه بيهق"</f>
        <v>تخليه -خراسان رضوي -سبزوار-كارخانه آسفالت ابريشم راه بيهق</v>
      </c>
      <c r="D565" s="1">
        <v>5650</v>
      </c>
      <c r="E565" s="1">
        <v>499380</v>
      </c>
      <c r="F565" s="1">
        <v>95</v>
      </c>
      <c r="G565" s="1">
        <v>620</v>
      </c>
      <c r="H565" s="1" t="str">
        <f>"95/02/15"</f>
        <v>95/02/15</v>
      </c>
      <c r="I565" s="1" t="str">
        <f t="shared" si="114"/>
        <v>كيلوگرم</v>
      </c>
      <c r="J565" s="1" t="str">
        <f t="shared" si="129"/>
        <v>0000000091</v>
      </c>
      <c r="K565" s="1" t="str">
        <f t="shared" si="130"/>
        <v>قير  PG64-22</v>
      </c>
      <c r="L565" s="1">
        <v>100</v>
      </c>
      <c r="M565" s="1" t="str">
        <f t="shared" si="119"/>
        <v>مخازن قير اصفهان</v>
      </c>
      <c r="N565" s="1">
        <v>4026</v>
      </c>
      <c r="O565" s="1">
        <v>50030755</v>
      </c>
      <c r="P565" s="1" t="str">
        <f t="shared" si="131"/>
        <v xml:space="preserve">  اداره كل راه و شهرسازي خراسان رضوي</v>
      </c>
      <c r="Q565" s="1">
        <v>17</v>
      </c>
      <c r="R565" s="1" t="str">
        <f t="shared" ref="R565:R571" si="133">"فروش داخلي تهران - وزارت راه - راه روستايي - روکش"</f>
        <v>فروش داخلي تهران - وزارت راه - راه روستايي - روکش</v>
      </c>
      <c r="S565" s="1" t="str">
        <f t="shared" si="115"/>
        <v>قرارداد فروش</v>
      </c>
      <c r="T565" s="1" t="str">
        <f t="shared" si="116"/>
        <v>ندارد</v>
      </c>
      <c r="U565" s="1" t="str">
        <f>"بابامحمدي عنايت اله(4844000)"</f>
        <v>بابامحمدي عنايت اله(4844000)</v>
      </c>
      <c r="V565" s="1">
        <v>951700010</v>
      </c>
      <c r="W565" s="1">
        <v>951700010</v>
      </c>
      <c r="X565" s="1" t="str">
        <f>"1395401990"</f>
        <v>1395401990</v>
      </c>
      <c r="Y565" s="1" t="str">
        <f>"95/02/15"</f>
        <v>95/02/15</v>
      </c>
      <c r="Z565" s="1" t="str">
        <f>"66777/510"</f>
        <v>66777/510</v>
      </c>
      <c r="AA565" s="1" t="str">
        <f t="shared" ref="AA565:AA571" si="134">"راه روستائي -روكش"</f>
        <v>راه روستائي -روكش</v>
      </c>
      <c r="AB565" s="1" t="str">
        <f>"94/12/04"</f>
        <v>94/12/04</v>
      </c>
      <c r="AC565" s="1" t="str">
        <f t="shared" si="132"/>
        <v>خراسان رضوي</v>
      </c>
      <c r="AD565" s="1" t="str">
        <f>"95/02/11"</f>
        <v>95/02/11</v>
      </c>
      <c r="AE565" s="1" t="str">
        <f t="shared" si="128"/>
        <v>اختتام</v>
      </c>
      <c r="AF565" s="1" t="str">
        <f>""</f>
        <v/>
      </c>
      <c r="AG565" s="1" t="str">
        <f>""</f>
        <v/>
      </c>
      <c r="AH565" s="1" t="str">
        <f>""</f>
        <v/>
      </c>
      <c r="AI565" s="1" t="str">
        <f>""</f>
        <v/>
      </c>
      <c r="AJ565" s="1" t="str">
        <f>""</f>
        <v/>
      </c>
      <c r="AK565" s="1" t="str">
        <f>""</f>
        <v/>
      </c>
    </row>
    <row r="566" spans="1:37" x14ac:dyDescent="0.2">
      <c r="A566" s="1">
        <v>335000</v>
      </c>
      <c r="B566" s="1">
        <v>951700012</v>
      </c>
      <c r="C566" s="1" t="str">
        <f>"تخليه-شرکت توس راديه-کيلومتر 15 جاده محسن آبادمحور مشهد چناران"</f>
        <v>تخليه-شرکت توس راديه-کيلومتر 15 جاده محسن آبادمحور مشهد چناران</v>
      </c>
      <c r="D566" s="1">
        <v>5650</v>
      </c>
      <c r="E566" s="1">
        <v>332460</v>
      </c>
      <c r="F566" s="1">
        <v>95</v>
      </c>
      <c r="G566" s="1">
        <v>2540</v>
      </c>
      <c r="H566" s="1" t="str">
        <f>"95/02/15"</f>
        <v>95/02/15</v>
      </c>
      <c r="I566" s="1" t="str">
        <f t="shared" si="114"/>
        <v>كيلوگرم</v>
      </c>
      <c r="J566" s="1" t="str">
        <f t="shared" si="129"/>
        <v>0000000091</v>
      </c>
      <c r="K566" s="1" t="str">
        <f t="shared" si="130"/>
        <v>قير  PG64-22</v>
      </c>
      <c r="L566" s="1">
        <v>100</v>
      </c>
      <c r="M566" s="1" t="str">
        <f t="shared" si="119"/>
        <v>مخازن قير اصفهان</v>
      </c>
      <c r="N566" s="1">
        <v>4026</v>
      </c>
      <c r="O566" s="1">
        <v>50030757</v>
      </c>
      <c r="P566" s="1" t="str">
        <f t="shared" si="131"/>
        <v xml:space="preserve">  اداره كل راه و شهرسازي خراسان رضوي</v>
      </c>
      <c r="Q566" s="1">
        <v>17</v>
      </c>
      <c r="R566" s="1" t="str">
        <f t="shared" si="133"/>
        <v>فروش داخلي تهران - وزارت راه - راه روستايي - روکش</v>
      </c>
      <c r="S566" s="1" t="str">
        <f t="shared" si="115"/>
        <v>قرارداد فروش</v>
      </c>
      <c r="T566" s="1" t="str">
        <f t="shared" si="116"/>
        <v>ندارد</v>
      </c>
      <c r="U566" s="1" t="str">
        <f>"بابامحمدي عنايت اله(4844000)"</f>
        <v>بابامحمدي عنايت اله(4844000)</v>
      </c>
      <c r="V566" s="1">
        <v>951700012</v>
      </c>
      <c r="W566" s="1">
        <v>951700012</v>
      </c>
      <c r="X566" s="1" t="str">
        <f>"1395401990"</f>
        <v>1395401990</v>
      </c>
      <c r="Y566" s="1" t="str">
        <f>"95/02/15"</f>
        <v>95/02/15</v>
      </c>
      <c r="Z566" s="1" t="str">
        <f>"67372/510"</f>
        <v>67372/510</v>
      </c>
      <c r="AA566" s="1" t="str">
        <f t="shared" si="134"/>
        <v>راه روستائي -روكش</v>
      </c>
      <c r="AB566" s="1" t="str">
        <f>"94/12/09"</f>
        <v>94/12/09</v>
      </c>
      <c r="AC566" s="1" t="str">
        <f t="shared" si="132"/>
        <v>خراسان رضوي</v>
      </c>
      <c r="AD566" s="1" t="str">
        <f>"95/02/11"</f>
        <v>95/02/11</v>
      </c>
      <c r="AE566" s="1" t="str">
        <f t="shared" si="128"/>
        <v>اختتام</v>
      </c>
      <c r="AF566" s="1" t="str">
        <f>""</f>
        <v/>
      </c>
      <c r="AG566" s="1" t="str">
        <f>""</f>
        <v/>
      </c>
      <c r="AH566" s="1" t="str">
        <f>""</f>
        <v/>
      </c>
      <c r="AI566" s="1" t="str">
        <f>""</f>
        <v/>
      </c>
      <c r="AJ566" s="1" t="str">
        <f>""</f>
        <v/>
      </c>
      <c r="AK566" s="1" t="str">
        <f>""</f>
        <v/>
      </c>
    </row>
    <row r="567" spans="1:37" x14ac:dyDescent="0.2">
      <c r="A567" s="1">
        <v>65000</v>
      </c>
      <c r="B567" s="1">
        <v>951700068</v>
      </c>
      <c r="C567" s="1" t="str">
        <f>"تخليه -خراسان رضوي كيلومتر22جاده كلات آخرين كوچه كارخانه آسفالت آتيه سازان"</f>
        <v>تخليه -خراسان رضوي كيلومتر22جاده كلات آخرين كوچه كارخانه آسفالت آتيه سازان</v>
      </c>
      <c r="D567" s="1">
        <v>6250</v>
      </c>
      <c r="E567" s="1">
        <v>64500</v>
      </c>
      <c r="F567" s="1">
        <v>95</v>
      </c>
      <c r="G567" s="1">
        <v>500</v>
      </c>
      <c r="H567" s="1" t="str">
        <f>"95/04/06"</f>
        <v>95/04/06</v>
      </c>
      <c r="I567" s="1" t="str">
        <f t="shared" si="114"/>
        <v>كيلوگرم</v>
      </c>
      <c r="J567" s="1" t="str">
        <f t="shared" si="129"/>
        <v>0000000091</v>
      </c>
      <c r="K567" s="1" t="str">
        <f t="shared" si="130"/>
        <v>قير  PG64-22</v>
      </c>
      <c r="L567" s="1">
        <v>100</v>
      </c>
      <c r="M567" s="1" t="str">
        <f t="shared" si="119"/>
        <v>مخازن قير اصفهان</v>
      </c>
      <c r="N567" s="1">
        <v>4026</v>
      </c>
      <c r="O567" s="1">
        <v>50031139</v>
      </c>
      <c r="P567" s="1" t="str">
        <f t="shared" si="131"/>
        <v xml:space="preserve">  اداره كل راه و شهرسازي خراسان رضوي</v>
      </c>
      <c r="Q567" s="1">
        <v>17</v>
      </c>
      <c r="R567" s="1" t="str">
        <f t="shared" si="133"/>
        <v>فروش داخلي تهران - وزارت راه - راه روستايي - روکش</v>
      </c>
      <c r="S567" s="1" t="str">
        <f t="shared" si="115"/>
        <v>قرارداد فروش</v>
      </c>
      <c r="T567" s="1" t="str">
        <f t="shared" si="116"/>
        <v>ندارد</v>
      </c>
      <c r="U567" s="1" t="str">
        <f>"حسيني سيدجواد(1841076)"</f>
        <v>حسيني سيدجواد(1841076)</v>
      </c>
      <c r="V567" s="1">
        <v>951700068</v>
      </c>
      <c r="W567" s="1">
        <v>951700068</v>
      </c>
      <c r="X567" s="1" t="str">
        <f>"1395411229"</f>
        <v>1395411229</v>
      </c>
      <c r="Y567" s="1" t="str">
        <f>"95/04/06"</f>
        <v>95/04/06</v>
      </c>
      <c r="Z567" s="1" t="str">
        <f>"13326/510"</f>
        <v>13326/510</v>
      </c>
      <c r="AA567" s="1" t="str">
        <f t="shared" si="134"/>
        <v>راه روستائي -روكش</v>
      </c>
      <c r="AB567" s="1" t="str">
        <f>"95/03/30"</f>
        <v>95/03/30</v>
      </c>
      <c r="AC567" s="1" t="str">
        <f t="shared" si="132"/>
        <v>خراسان رضوي</v>
      </c>
      <c r="AD567" s="1" t="str">
        <f>"95/04/05"</f>
        <v>95/04/05</v>
      </c>
      <c r="AE567" s="1" t="str">
        <f t="shared" si="128"/>
        <v>اختتام</v>
      </c>
      <c r="AF567" s="1" t="str">
        <f>""</f>
        <v/>
      </c>
      <c r="AG567" s="1" t="str">
        <f>""</f>
        <v/>
      </c>
      <c r="AH567" s="1" t="str">
        <f>""</f>
        <v/>
      </c>
      <c r="AI567" s="1" t="str">
        <f>""</f>
        <v/>
      </c>
      <c r="AJ567" s="1" t="str">
        <f>""</f>
        <v/>
      </c>
      <c r="AK567" s="1" t="str">
        <f>""</f>
        <v/>
      </c>
    </row>
    <row r="568" spans="1:37" x14ac:dyDescent="0.2">
      <c r="A568" s="1">
        <v>86000</v>
      </c>
      <c r="B568" s="1">
        <v>951700070</v>
      </c>
      <c r="C568" s="1" t="str">
        <f>"تخليه -خراسان رضوي كيلومتر63كنارگذرشمالي مشهدكارخانه آسفالت آب وخاك آستان قدس رضوي"</f>
        <v>تخليه -خراسان رضوي كيلومتر63كنارگذرشمالي مشهدكارخانه آسفالت آب وخاك آستان قدس رضوي</v>
      </c>
      <c r="D568" s="1">
        <v>6250</v>
      </c>
      <c r="E568" s="1">
        <v>86000</v>
      </c>
      <c r="F568" s="1">
        <v>95</v>
      </c>
      <c r="G568" s="1">
        <v>0</v>
      </c>
      <c r="H568" s="1" t="str">
        <f>"95/04/06"</f>
        <v>95/04/06</v>
      </c>
      <c r="I568" s="1" t="str">
        <f t="shared" si="114"/>
        <v>كيلوگرم</v>
      </c>
      <c r="J568" s="1" t="str">
        <f t="shared" si="129"/>
        <v>0000000091</v>
      </c>
      <c r="K568" s="1" t="str">
        <f t="shared" si="130"/>
        <v>قير  PG64-22</v>
      </c>
      <c r="L568" s="1">
        <v>100</v>
      </c>
      <c r="M568" s="1" t="str">
        <f t="shared" si="119"/>
        <v>مخازن قير اصفهان</v>
      </c>
      <c r="N568" s="1">
        <v>4026</v>
      </c>
      <c r="O568" s="1">
        <v>50031141</v>
      </c>
      <c r="P568" s="1" t="str">
        <f t="shared" si="131"/>
        <v xml:space="preserve">  اداره كل راه و شهرسازي خراسان رضوي</v>
      </c>
      <c r="Q568" s="1">
        <v>17</v>
      </c>
      <c r="R568" s="1" t="str">
        <f t="shared" si="133"/>
        <v>فروش داخلي تهران - وزارت راه - راه روستايي - روکش</v>
      </c>
      <c r="S568" s="1" t="str">
        <f t="shared" si="115"/>
        <v>قرارداد فروش</v>
      </c>
      <c r="T568" s="1" t="str">
        <f t="shared" si="116"/>
        <v>ندارد</v>
      </c>
      <c r="U568" s="1" t="str">
        <f>"نظام دوست امين (1911102)"</f>
        <v>نظام دوست امين (1911102)</v>
      </c>
      <c r="V568" s="1">
        <v>951700070</v>
      </c>
      <c r="W568" s="1">
        <v>951700070</v>
      </c>
      <c r="X568" s="1" t="str">
        <f>"1395411229"</f>
        <v>1395411229</v>
      </c>
      <c r="Y568" s="1" t="str">
        <f>"95/04/06"</f>
        <v>95/04/06</v>
      </c>
      <c r="Z568" s="1" t="str">
        <f>"13017/510"</f>
        <v>13017/510</v>
      </c>
      <c r="AA568" s="1" t="str">
        <f t="shared" si="134"/>
        <v>راه روستائي -روكش</v>
      </c>
      <c r="AB568" s="1" t="str">
        <f>"95/03/29"</f>
        <v>95/03/29</v>
      </c>
      <c r="AC568" s="1" t="str">
        <f t="shared" si="132"/>
        <v>خراسان رضوي</v>
      </c>
      <c r="AD568" s="1" t="str">
        <f>"95/04/05"</f>
        <v>95/04/05</v>
      </c>
      <c r="AE568" s="1" t="str">
        <f t="shared" si="128"/>
        <v>اختتام</v>
      </c>
      <c r="AF568" s="1" t="str">
        <f>""</f>
        <v/>
      </c>
      <c r="AG568" s="1" t="str">
        <f>""</f>
        <v/>
      </c>
      <c r="AH568" s="1" t="str">
        <f>""</f>
        <v/>
      </c>
      <c r="AI568" s="1" t="str">
        <f>""</f>
        <v/>
      </c>
      <c r="AJ568" s="1" t="str">
        <f>""</f>
        <v/>
      </c>
      <c r="AK568" s="1" t="str">
        <f>""</f>
        <v/>
      </c>
    </row>
    <row r="569" spans="1:37" x14ac:dyDescent="0.2">
      <c r="A569" s="1">
        <v>180000</v>
      </c>
      <c r="B569" s="1">
        <v>951700097</v>
      </c>
      <c r="C569" s="1" t="str">
        <f>"تخليه -خراسان رضوي -شهرستان خوشاب كيلومتر28جاده سبزوار-شاهرودشركت رعدراه بيهق"</f>
        <v>تخليه -خراسان رضوي -شهرستان خوشاب كيلومتر28جاده سبزوار-شاهرودشركت رعدراه بيهق</v>
      </c>
      <c r="D569" s="1">
        <v>6250</v>
      </c>
      <c r="E569" s="1">
        <v>165400</v>
      </c>
      <c r="F569" s="1">
        <v>95</v>
      </c>
      <c r="G569" s="1">
        <v>14600</v>
      </c>
      <c r="H569" s="1" t="str">
        <f>"95/04/19"</f>
        <v>95/04/19</v>
      </c>
      <c r="I569" s="1" t="str">
        <f t="shared" si="114"/>
        <v>كيلوگرم</v>
      </c>
      <c r="J569" s="1" t="str">
        <f t="shared" si="129"/>
        <v>0000000091</v>
      </c>
      <c r="K569" s="1" t="str">
        <f t="shared" si="130"/>
        <v>قير  PG64-22</v>
      </c>
      <c r="L569" s="1">
        <v>100</v>
      </c>
      <c r="M569" s="1" t="str">
        <f t="shared" si="119"/>
        <v>مخازن قير اصفهان</v>
      </c>
      <c r="N569" s="1">
        <v>4026</v>
      </c>
      <c r="O569" s="1">
        <v>50031238</v>
      </c>
      <c r="P569" s="1" t="str">
        <f t="shared" si="131"/>
        <v xml:space="preserve">  اداره كل راه و شهرسازي خراسان رضوي</v>
      </c>
      <c r="Q569" s="1">
        <v>17</v>
      </c>
      <c r="R569" s="1" t="str">
        <f t="shared" si="133"/>
        <v>فروش داخلي تهران - وزارت راه - راه روستايي - روکش</v>
      </c>
      <c r="S569" s="1" t="str">
        <f t="shared" si="115"/>
        <v>قرارداد فروش</v>
      </c>
      <c r="T569" s="1" t="str">
        <f t="shared" si="116"/>
        <v>ندارد</v>
      </c>
      <c r="U569" s="1" t="str">
        <f>"حسيني سيدجواد(1841076)"</f>
        <v>حسيني سيدجواد(1841076)</v>
      </c>
      <c r="V569" s="1">
        <v>951700097</v>
      </c>
      <c r="W569" s="1">
        <v>951700097</v>
      </c>
      <c r="X569" s="1" t="str">
        <f>"1394391633"</f>
        <v>1394391633</v>
      </c>
      <c r="Y569" s="1" t="str">
        <f>"95/04/19"</f>
        <v>95/04/19</v>
      </c>
      <c r="Z569" s="1" t="str">
        <f>"63790/510"</f>
        <v>63790/510</v>
      </c>
      <c r="AA569" s="1" t="str">
        <f t="shared" si="134"/>
        <v>راه روستائي -روكش</v>
      </c>
      <c r="AB569" s="1" t="str">
        <f>"94/11/19"</f>
        <v>94/11/19</v>
      </c>
      <c r="AC569" s="1" t="str">
        <f t="shared" si="132"/>
        <v>خراسان رضوي</v>
      </c>
      <c r="AD569" s="1" t="str">
        <f>"94/11/20"</f>
        <v>94/11/20</v>
      </c>
      <c r="AE569" s="1" t="str">
        <f t="shared" si="128"/>
        <v>اختتام</v>
      </c>
      <c r="AF569" s="1" t="str">
        <f>""</f>
        <v/>
      </c>
      <c r="AG569" s="1" t="str">
        <f>""</f>
        <v/>
      </c>
      <c r="AH569" s="1" t="str">
        <f>""</f>
        <v/>
      </c>
      <c r="AI569" s="1" t="str">
        <f>""</f>
        <v/>
      </c>
      <c r="AJ569" s="1" t="str">
        <f>""</f>
        <v/>
      </c>
      <c r="AK569" s="1" t="str">
        <f>""</f>
        <v/>
      </c>
    </row>
    <row r="570" spans="1:37" x14ac:dyDescent="0.2">
      <c r="A570" s="1">
        <v>678720</v>
      </c>
      <c r="B570" s="1">
        <v>951700101</v>
      </c>
      <c r="C570" s="1" t="str">
        <f>"تخليه -خراسان رضوي محورفيروزه عبداله كيلومتر11شركت دل حفره"</f>
        <v>تخليه -خراسان رضوي محورفيروزه عبداله كيلومتر11شركت دل حفره</v>
      </c>
      <c r="D570" s="1">
        <v>6250</v>
      </c>
      <c r="E570" s="1">
        <v>678720</v>
      </c>
      <c r="F570" s="1">
        <v>95</v>
      </c>
      <c r="G570" s="1">
        <v>0</v>
      </c>
      <c r="H570" s="1" t="str">
        <f>"95/04/19"</f>
        <v>95/04/19</v>
      </c>
      <c r="I570" s="1" t="str">
        <f t="shared" si="114"/>
        <v>كيلوگرم</v>
      </c>
      <c r="J570" s="1" t="str">
        <f t="shared" si="129"/>
        <v>0000000091</v>
      </c>
      <c r="K570" s="1" t="str">
        <f t="shared" si="130"/>
        <v>قير  PG64-22</v>
      </c>
      <c r="L570" s="1">
        <v>100</v>
      </c>
      <c r="M570" s="1" t="str">
        <f t="shared" si="119"/>
        <v>مخازن قير اصفهان</v>
      </c>
      <c r="N570" s="1">
        <v>4026</v>
      </c>
      <c r="O570" s="1">
        <v>50031243</v>
      </c>
      <c r="P570" s="1" t="str">
        <f t="shared" si="131"/>
        <v xml:space="preserve">  اداره كل راه و شهرسازي خراسان رضوي</v>
      </c>
      <c r="Q570" s="1">
        <v>17</v>
      </c>
      <c r="R570" s="1" t="str">
        <f t="shared" si="133"/>
        <v>فروش داخلي تهران - وزارت راه - راه روستايي - روکش</v>
      </c>
      <c r="S570" s="1" t="str">
        <f t="shared" si="115"/>
        <v>قرارداد فروش</v>
      </c>
      <c r="T570" s="1" t="str">
        <f t="shared" si="116"/>
        <v>ندارد</v>
      </c>
      <c r="U570" s="1" t="str">
        <f>"حسيني سيدجواد(1841076)"</f>
        <v>حسيني سيدجواد(1841076)</v>
      </c>
      <c r="V570" s="1">
        <v>951700101</v>
      </c>
      <c r="W570" s="1">
        <v>951700101</v>
      </c>
      <c r="X570" s="1" t="str">
        <f>"1394392492"</f>
        <v>1394392492</v>
      </c>
      <c r="Y570" s="1" t="str">
        <f>"95/04/19"</f>
        <v>95/04/19</v>
      </c>
      <c r="Z570" s="1" t="str">
        <f>"65015/510"</f>
        <v>65015/510</v>
      </c>
      <c r="AA570" s="1" t="str">
        <f t="shared" si="134"/>
        <v>راه روستائي -روكش</v>
      </c>
      <c r="AB570" s="1" t="str">
        <f>"94/11/25"</f>
        <v>94/11/25</v>
      </c>
      <c r="AC570" s="1" t="str">
        <f t="shared" si="132"/>
        <v>خراسان رضوي</v>
      </c>
      <c r="AD570" s="1" t="str">
        <f>"94/11/26"</f>
        <v>94/11/26</v>
      </c>
      <c r="AE570" s="1" t="str">
        <f t="shared" si="128"/>
        <v>اختتام</v>
      </c>
      <c r="AF570" s="1" t="str">
        <f>""</f>
        <v/>
      </c>
      <c r="AG570" s="1" t="str">
        <f>""</f>
        <v/>
      </c>
      <c r="AH570" s="1" t="str">
        <f>""</f>
        <v/>
      </c>
      <c r="AI570" s="1" t="str">
        <f>""</f>
        <v/>
      </c>
      <c r="AJ570" s="1" t="str">
        <f>""</f>
        <v/>
      </c>
      <c r="AK570" s="1" t="str">
        <f>""</f>
        <v/>
      </c>
    </row>
    <row r="571" spans="1:37" x14ac:dyDescent="0.2">
      <c r="A571" s="1">
        <v>184460</v>
      </c>
      <c r="B571" s="1">
        <v>951700364</v>
      </c>
      <c r="C571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571" s="1">
        <v>9068</v>
      </c>
      <c r="E571" s="1">
        <v>184200</v>
      </c>
      <c r="F571" s="1">
        <v>95</v>
      </c>
      <c r="G571" s="1">
        <v>260</v>
      </c>
      <c r="H571" s="1" t="str">
        <f>"95/12/28"</f>
        <v>95/12/28</v>
      </c>
      <c r="I571" s="1" t="str">
        <f t="shared" si="114"/>
        <v>كيلوگرم</v>
      </c>
      <c r="J571" s="1" t="str">
        <f>"0000000088"</f>
        <v>0000000088</v>
      </c>
      <c r="K571" s="1" t="str">
        <f>"قير  PG58-22"</f>
        <v>قير  PG58-22</v>
      </c>
      <c r="L571" s="1">
        <v>100</v>
      </c>
      <c r="M571" s="1" t="str">
        <f t="shared" si="119"/>
        <v>مخازن قير اصفهان</v>
      </c>
      <c r="N571" s="1">
        <v>7190</v>
      </c>
      <c r="O571" s="1">
        <v>50034308</v>
      </c>
      <c r="P571" s="1" t="str">
        <f>"  اداره كل راه و شهرسازي چهارمحال وبختياري"</f>
        <v xml:space="preserve">  اداره كل راه و شهرسازي چهارمحال وبختياري</v>
      </c>
      <c r="Q571" s="1">
        <v>17</v>
      </c>
      <c r="R571" s="1" t="str">
        <f t="shared" si="133"/>
        <v>فروش داخلي تهران - وزارت راه - راه روستايي - روکش</v>
      </c>
      <c r="S571" s="1" t="str">
        <f t="shared" si="115"/>
        <v>قرارداد فروش</v>
      </c>
      <c r="T571" s="1" t="str">
        <f t="shared" si="116"/>
        <v>ندارد</v>
      </c>
      <c r="U571" s="1" t="str">
        <f>"قره باغي مجيد(1871065)"</f>
        <v>قره باغي مجيد(1871065)</v>
      </c>
      <c r="V571" s="1">
        <v>951700364</v>
      </c>
      <c r="W571" s="1">
        <v>951700364</v>
      </c>
      <c r="X571" s="1" t="str">
        <f>"1395460247"</f>
        <v>1395460247</v>
      </c>
      <c r="Y571" s="1" t="str">
        <f>"95/12/28"</f>
        <v>95/12/28</v>
      </c>
      <c r="Z571" s="1" t="str">
        <f>"52029/710"</f>
        <v>52029/710</v>
      </c>
      <c r="AA571" s="1" t="str">
        <f t="shared" si="134"/>
        <v>راه روستائي -روكش</v>
      </c>
      <c r="AB571" s="1" t="str">
        <f>"95/10/20"</f>
        <v>95/10/20</v>
      </c>
      <c r="AC571" s="1" t="str">
        <f>"استان چهارمحال بختياري"</f>
        <v>استان چهارمحال بختياري</v>
      </c>
      <c r="AD571" s="1" t="str">
        <f>"95/11/04"</f>
        <v>95/11/04</v>
      </c>
      <c r="AE571" s="1" t="str">
        <f t="shared" si="128"/>
        <v>اختتام</v>
      </c>
      <c r="AF571" s="1" t="str">
        <f>""</f>
        <v/>
      </c>
      <c r="AG571" s="1" t="str">
        <f>""</f>
        <v/>
      </c>
      <c r="AH571" s="1" t="str">
        <f>""</f>
        <v/>
      </c>
      <c r="AI571" s="1" t="str">
        <f>""</f>
        <v/>
      </c>
      <c r="AJ571" s="1" t="str">
        <f>""</f>
        <v/>
      </c>
      <c r="AK571" s="1" t="str">
        <f>""</f>
        <v/>
      </c>
    </row>
    <row r="572" spans="1:37" x14ac:dyDescent="0.2">
      <c r="A572" s="1">
        <v>400000</v>
      </c>
      <c r="B572" s="1">
        <v>951800116</v>
      </c>
      <c r="C572" s="1" t="str">
        <f>"تخليه كيلومتر30جاده سنندج ديواندره گردنه ماموخ كارخانه آسفالت شركت آبيدركردستان"</f>
        <v>تخليه كيلومتر30جاده سنندج ديواندره گردنه ماموخ كارخانه آسفالت شركت آبيدركردستان</v>
      </c>
      <c r="D572" s="1">
        <v>9061</v>
      </c>
      <c r="E572" s="1">
        <v>144980</v>
      </c>
      <c r="F572" s="1">
        <v>95</v>
      </c>
      <c r="G572" s="1">
        <v>255020</v>
      </c>
      <c r="H572" s="1" t="str">
        <f>"95/10/07"</f>
        <v>95/10/07</v>
      </c>
      <c r="I572" s="1" t="str">
        <f t="shared" si="114"/>
        <v>كيلوگرم</v>
      </c>
      <c r="J572" s="1" t="str">
        <f>"0000000088"</f>
        <v>0000000088</v>
      </c>
      <c r="K572" s="1" t="str">
        <f>"قير  PG58-22"</f>
        <v>قير  PG58-22</v>
      </c>
      <c r="L572" s="1">
        <v>100</v>
      </c>
      <c r="M572" s="1" t="str">
        <f t="shared" si="119"/>
        <v>مخازن قير اصفهان</v>
      </c>
      <c r="N572" s="1">
        <v>8066</v>
      </c>
      <c r="O572" s="1">
        <v>50033185</v>
      </c>
      <c r="P572" s="1" t="str">
        <f>"  پاركت"</f>
        <v xml:space="preserve">  پاركت</v>
      </c>
      <c r="Q572" s="1">
        <v>18</v>
      </c>
      <c r="R572" s="1" t="str">
        <f>"فروش داخلي تهران - وزارت راه - شرکت ساخت و توسعه راهها"</f>
        <v>فروش داخلي تهران - وزارت راه - شرکت ساخت و توسعه راهها</v>
      </c>
      <c r="S572" s="1" t="str">
        <f t="shared" si="115"/>
        <v>قرارداد فروش</v>
      </c>
      <c r="T572" s="1" t="str">
        <f t="shared" si="116"/>
        <v>ندارد</v>
      </c>
      <c r="U572" s="1" t="str">
        <f>"پورصيادان حسين(1841022)"</f>
        <v>پورصيادان حسين(1841022)</v>
      </c>
      <c r="V572" s="1">
        <v>951800116</v>
      </c>
      <c r="W572" s="1">
        <v>951800116</v>
      </c>
      <c r="X572" s="1" t="str">
        <f>"1395454462"</f>
        <v>1395454462</v>
      </c>
      <c r="Y572" s="1" t="str">
        <f>"95/10/07"</f>
        <v>95/10/07</v>
      </c>
      <c r="Z572" s="1" t="str">
        <f>"42043/710"</f>
        <v>42043/710</v>
      </c>
      <c r="AA572" s="1" t="str">
        <f>"شركت  ساخت وتوسعه راهها"</f>
        <v>شركت  ساخت وتوسعه راهها</v>
      </c>
      <c r="AB572" s="1" t="str">
        <f>"95/08/29"</f>
        <v>95/08/29</v>
      </c>
      <c r="AC572" s="1" t="str">
        <f>"استان كرمانشاه"</f>
        <v>استان كرمانشاه</v>
      </c>
      <c r="AD572" s="1" t="str">
        <f>"95/10/05"</f>
        <v>95/10/05</v>
      </c>
      <c r="AE572" s="1" t="str">
        <f t="shared" si="128"/>
        <v>اختتام</v>
      </c>
      <c r="AF572" s="1" t="str">
        <f>""</f>
        <v/>
      </c>
      <c r="AG572" s="1" t="str">
        <f>""</f>
        <v/>
      </c>
      <c r="AH572" s="1" t="str">
        <f>""</f>
        <v/>
      </c>
      <c r="AI572" s="1" t="str">
        <f>""</f>
        <v/>
      </c>
      <c r="AJ572" s="1" t="str">
        <f>""</f>
        <v/>
      </c>
      <c r="AK572" s="1" t="str">
        <f>""</f>
        <v/>
      </c>
    </row>
    <row r="573" spans="1:37" x14ac:dyDescent="0.2">
      <c r="A573" s="1">
        <v>170000</v>
      </c>
      <c r="B573" s="1">
        <v>951700182</v>
      </c>
      <c r="C573" s="1" t="str">
        <f>"تخليه-کيلومتر 30اتوبان ذوب آهن کارخانه آسفالت زرين سپاهان"</f>
        <v>تخليه-کيلومتر 30اتوبان ذوب آهن کارخانه آسفالت زرين سپاهان</v>
      </c>
      <c r="D573" s="1">
        <v>7176</v>
      </c>
      <c r="E573" s="1">
        <v>154580</v>
      </c>
      <c r="F573" s="1">
        <v>95</v>
      </c>
      <c r="G573" s="1">
        <v>15420</v>
      </c>
      <c r="H573" s="1" t="str">
        <f>"95/06/07"</f>
        <v>95/06/07</v>
      </c>
      <c r="I573" s="1" t="str">
        <f t="shared" si="114"/>
        <v>كيلوگرم</v>
      </c>
      <c r="J573" s="1" t="str">
        <f>"0000000088"</f>
        <v>0000000088</v>
      </c>
      <c r="K573" s="1" t="str">
        <f>"قير  PG58-22"</f>
        <v>قير  PG58-22</v>
      </c>
      <c r="L573" s="1">
        <v>100</v>
      </c>
      <c r="M573" s="1" t="str">
        <f t="shared" si="119"/>
        <v>مخازن قير اصفهان</v>
      </c>
      <c r="N573" s="1">
        <v>8091</v>
      </c>
      <c r="O573" s="1">
        <v>50031669</v>
      </c>
      <c r="P573" s="1" t="str">
        <f>"  اداره كل راه وشهرسازي اصفهان"</f>
        <v xml:space="preserve">  اداره كل راه وشهرسازي اصفهان</v>
      </c>
      <c r="Q573" s="1">
        <v>17</v>
      </c>
      <c r="R573" s="1" t="str">
        <f>"فروش داخلي تهران - وزارت راه - راه روستايي - روکش"</f>
        <v>فروش داخلي تهران - وزارت راه - راه روستايي - روکش</v>
      </c>
      <c r="S573" s="1" t="str">
        <f t="shared" si="115"/>
        <v>قرارداد فروش</v>
      </c>
      <c r="T573" s="1" t="str">
        <f t="shared" si="116"/>
        <v>ندارد</v>
      </c>
      <c r="U573" s="1" t="str">
        <f>"شهبازي محمدرضا(1029ج89)"</f>
        <v>شهبازي محمدرضا(1029ج89)</v>
      </c>
      <c r="V573" s="1">
        <v>951700182</v>
      </c>
      <c r="W573" s="1">
        <v>951700182</v>
      </c>
      <c r="X573" s="1" t="str">
        <f>"1395426711"</f>
        <v>1395426711</v>
      </c>
      <c r="Y573" s="1" t="str">
        <f>"95/06/07"</f>
        <v>95/06/07</v>
      </c>
      <c r="Z573" s="1" t="str">
        <f>"23382/510"</f>
        <v>23382/510</v>
      </c>
      <c r="AA573" s="1" t="str">
        <f>"راه روستائي -روكش"</f>
        <v>راه روستائي -روكش</v>
      </c>
      <c r="AB573" s="1" t="str">
        <f>"95/05/24"</f>
        <v>95/05/24</v>
      </c>
      <c r="AC573" s="1" t="str">
        <f>"استان اصفهان"</f>
        <v>استان اصفهان</v>
      </c>
      <c r="AD573" s="1" t="str">
        <f>"95/06/03"</f>
        <v>95/06/03</v>
      </c>
      <c r="AE573" s="1" t="str">
        <f t="shared" si="128"/>
        <v>اختتام</v>
      </c>
      <c r="AF573" s="1" t="str">
        <f>""</f>
        <v/>
      </c>
      <c r="AG573" s="1" t="str">
        <f>""</f>
        <v/>
      </c>
      <c r="AH573" s="1" t="str">
        <f>""</f>
        <v/>
      </c>
      <c r="AI573" s="1" t="str">
        <f>""</f>
        <v/>
      </c>
      <c r="AJ573" s="1" t="str">
        <f>""</f>
        <v/>
      </c>
      <c r="AK573" s="1" t="str">
        <f>""</f>
        <v/>
      </c>
    </row>
    <row r="574" spans="1:37" x14ac:dyDescent="0.2">
      <c r="A574" s="1">
        <v>200000</v>
      </c>
      <c r="B574" s="1">
        <v>951900319</v>
      </c>
      <c r="C574" s="1" t="str">
        <f>"تخليه خراسان رضوي شهرستان سبزواركارخانه آسفالت شركت ثامن الحجج"</f>
        <v>تخليه خراسان رضوي شهرستان سبزواركارخانه آسفالت شركت ثامن الحجج</v>
      </c>
      <c r="D574" s="1">
        <v>9354</v>
      </c>
      <c r="E574" s="1">
        <v>197640</v>
      </c>
      <c r="F574" s="1">
        <v>95</v>
      </c>
      <c r="G574" s="1">
        <v>2360</v>
      </c>
      <c r="H574" s="1" t="str">
        <f>"95/12/26"</f>
        <v>95/12/26</v>
      </c>
      <c r="I574" s="1" t="str">
        <f t="shared" si="114"/>
        <v>كيلوگرم</v>
      </c>
      <c r="J574" s="1" t="str">
        <f>"0000000089"</f>
        <v>0000000089</v>
      </c>
      <c r="K574" s="1" t="str">
        <f>"قير  PG58-16"</f>
        <v>قير  PG58-16</v>
      </c>
      <c r="L574" s="1">
        <v>100</v>
      </c>
      <c r="M574" s="1" t="str">
        <f t="shared" si="119"/>
        <v>مخازن قير اصفهان</v>
      </c>
      <c r="N574" s="1">
        <v>11314</v>
      </c>
      <c r="O574" s="1">
        <v>50034279</v>
      </c>
      <c r="P574" s="1" t="str">
        <f>"  دژ گستران پارس كوير"</f>
        <v xml:space="preserve">  دژ گستران پارس كوير</v>
      </c>
      <c r="Q574" s="1">
        <v>19</v>
      </c>
      <c r="R57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74" s="1" t="str">
        <f t="shared" si="115"/>
        <v>قرارداد فروش</v>
      </c>
      <c r="T574" s="1" t="str">
        <f t="shared" si="116"/>
        <v>ندارد</v>
      </c>
      <c r="U574" s="1" t="str">
        <f>"هيزچي مرتضي(1841036)"</f>
        <v>هيزچي مرتضي(1841036)</v>
      </c>
      <c r="V574" s="1">
        <v>951900319</v>
      </c>
      <c r="W574" s="1">
        <v>951900319</v>
      </c>
      <c r="X574" s="1" t="str">
        <f>"1395471042"</f>
        <v>1395471042</v>
      </c>
      <c r="Y574" s="1" t="str">
        <f>"95/12/26"</f>
        <v>95/12/26</v>
      </c>
      <c r="Z574" s="1" t="str">
        <f>"66000/710"</f>
        <v>66000/710</v>
      </c>
      <c r="AA574" s="1" t="str">
        <f>"سازمان راهداري وحمل نقل جاده اي"</f>
        <v>سازمان راهداري وحمل نقل جاده اي</v>
      </c>
      <c r="AB574" s="1" t="str">
        <f>"95/12/22"</f>
        <v>95/12/22</v>
      </c>
      <c r="AC574" s="1" t="str">
        <f>"خراسان رضوي"</f>
        <v>خراسان رضوي</v>
      </c>
      <c r="AD574" s="1" t="str">
        <f>"95/12/25"</f>
        <v>95/12/25</v>
      </c>
      <c r="AE574" s="1" t="str">
        <f t="shared" si="128"/>
        <v>اختتام</v>
      </c>
      <c r="AF574" s="1" t="str">
        <f>""</f>
        <v/>
      </c>
      <c r="AG574" s="1" t="str">
        <f>""</f>
        <v/>
      </c>
      <c r="AH574" s="1" t="str">
        <f>""</f>
        <v/>
      </c>
      <c r="AI574" s="1" t="str">
        <f>""</f>
        <v/>
      </c>
      <c r="AJ574" s="1" t="str">
        <f>""</f>
        <v/>
      </c>
      <c r="AK574" s="1" t="str">
        <f>""</f>
        <v/>
      </c>
    </row>
    <row r="575" spans="1:37" x14ac:dyDescent="0.2">
      <c r="A575" s="1">
        <v>750000</v>
      </c>
      <c r="B575" s="1">
        <v>951400177</v>
      </c>
      <c r="C575" s="1" t="str">
        <f>"تخليه يزدشهرستان بافق كارخانه آسفالت فرش راه"</f>
        <v>تخليه يزدشهرستان بافق كارخانه آسفالت فرش راه</v>
      </c>
      <c r="D575" s="1">
        <v>9354</v>
      </c>
      <c r="E575" s="1">
        <v>749980</v>
      </c>
      <c r="F575" s="1">
        <v>95</v>
      </c>
      <c r="G575" s="1">
        <v>20</v>
      </c>
      <c r="H575" s="1" t="str">
        <f>"95/12/22"</f>
        <v>95/12/22</v>
      </c>
      <c r="I575" s="1" t="str">
        <f t="shared" si="114"/>
        <v>كيلوگرم</v>
      </c>
      <c r="J575" s="1" t="str">
        <f t="shared" ref="J575:J582" si="135">"0000000091"</f>
        <v>0000000091</v>
      </c>
      <c r="K575" s="1" t="str">
        <f t="shared" ref="K575:K582" si="136">"قير  PG64-22"</f>
        <v>قير  PG64-22</v>
      </c>
      <c r="L575" s="1">
        <v>100</v>
      </c>
      <c r="M575" s="1" t="str">
        <f t="shared" si="119"/>
        <v>مخازن قير اصفهان</v>
      </c>
      <c r="N575" s="1">
        <v>1602</v>
      </c>
      <c r="O575" s="1">
        <v>50034113</v>
      </c>
      <c r="P575" s="1" t="str">
        <f>"  اداره كل راه و شهرسازي يزد"</f>
        <v xml:space="preserve">  اداره كل راه و شهرسازي يزد</v>
      </c>
      <c r="Q575" s="1">
        <v>14</v>
      </c>
      <c r="R575" s="1" t="str">
        <f>"فروش داخلي - وزارت راه - حوزه راه روستايي ساخت"</f>
        <v>فروش داخلي - وزارت راه - حوزه راه روستايي ساخت</v>
      </c>
      <c r="S575" s="1" t="str">
        <f t="shared" si="115"/>
        <v>قرارداد فروش</v>
      </c>
      <c r="T575" s="1" t="str">
        <f t="shared" si="116"/>
        <v>ندارد</v>
      </c>
      <c r="U575" s="1" t="str">
        <f>"قانعي محمدرضا(1011ج89)"</f>
        <v>قانعي محمدرضا(1011ج89)</v>
      </c>
      <c r="V575" s="1">
        <v>951400177</v>
      </c>
      <c r="W575" s="1">
        <v>951400177</v>
      </c>
      <c r="X575" s="1" t="str">
        <f>"1395470429"</f>
        <v>1395470429</v>
      </c>
      <c r="Y575" s="1" t="str">
        <f>"95/12/22"</f>
        <v>95/12/22</v>
      </c>
      <c r="Z575" s="1" t="str">
        <f>"65428/710"</f>
        <v>65428/710</v>
      </c>
      <c r="AA575" s="1" t="str">
        <f>"راه روستائي -روكش"</f>
        <v>راه روستائي -روكش</v>
      </c>
      <c r="AB575" s="1" t="str">
        <f>"95/12/21"</f>
        <v>95/12/21</v>
      </c>
      <c r="AC575" s="1" t="str">
        <f>"استان يزد"</f>
        <v>استان يزد</v>
      </c>
      <c r="AD575" s="1" t="str">
        <f>"95/12/22"</f>
        <v>95/12/22</v>
      </c>
      <c r="AE575" s="1" t="str">
        <f t="shared" si="128"/>
        <v>اختتام</v>
      </c>
      <c r="AF575" s="1" t="str">
        <f>""</f>
        <v/>
      </c>
      <c r="AG575" s="1" t="str">
        <f>""</f>
        <v/>
      </c>
      <c r="AH575" s="1" t="str">
        <f>""</f>
        <v/>
      </c>
      <c r="AI575" s="1" t="str">
        <f>""</f>
        <v/>
      </c>
      <c r="AJ575" s="1" t="str">
        <f>""</f>
        <v/>
      </c>
      <c r="AK575" s="1" t="str">
        <f>""</f>
        <v/>
      </c>
    </row>
    <row r="576" spans="1:37" x14ac:dyDescent="0.2">
      <c r="A576" s="1">
        <v>145000</v>
      </c>
      <c r="B576" s="1">
        <v>951700118</v>
      </c>
      <c r="C576" s="1" t="str">
        <f>"تخليه -خراسان رضوي محورفيروزه عبداله كيلومتر11شركت دل حفره"</f>
        <v>تخليه -خراسان رضوي محورفيروزه عبداله كيلومتر11شركت دل حفره</v>
      </c>
      <c r="D576" s="1">
        <v>6726</v>
      </c>
      <c r="E576" s="1">
        <v>144800</v>
      </c>
      <c r="F576" s="1">
        <v>95</v>
      </c>
      <c r="G576" s="1">
        <v>200</v>
      </c>
      <c r="H576" s="1" t="str">
        <f>"95/05/05"</f>
        <v>95/05/05</v>
      </c>
      <c r="I576" s="1" t="str">
        <f t="shared" si="114"/>
        <v>كيلوگرم</v>
      </c>
      <c r="J576" s="1" t="str">
        <f t="shared" si="135"/>
        <v>0000000091</v>
      </c>
      <c r="K576" s="1" t="str">
        <f t="shared" si="136"/>
        <v>قير  PG64-22</v>
      </c>
      <c r="L576" s="1">
        <v>100</v>
      </c>
      <c r="M576" s="1" t="str">
        <f t="shared" si="119"/>
        <v>مخازن قير اصفهان</v>
      </c>
      <c r="N576" s="1">
        <v>4026</v>
      </c>
      <c r="O576" s="1">
        <v>50031368</v>
      </c>
      <c r="P576" s="1" t="str">
        <f t="shared" ref="P576:P582" si="137">"  اداره كل راه و شهرسازي خراسان رضوي"</f>
        <v xml:space="preserve">  اداره كل راه و شهرسازي خراسان رضوي</v>
      </c>
      <c r="Q576" s="1">
        <v>17</v>
      </c>
      <c r="R576" s="1" t="str">
        <f>"فروش داخلي تهران - وزارت راه - راه روستايي - روکش"</f>
        <v>فروش داخلي تهران - وزارت راه - راه روستايي - روکش</v>
      </c>
      <c r="S576" s="1" t="str">
        <f t="shared" si="115"/>
        <v>قرارداد فروش</v>
      </c>
      <c r="T576" s="1" t="str">
        <f t="shared" si="116"/>
        <v>ندارد</v>
      </c>
      <c r="U576" s="1" t="str">
        <f>"بابامحمدي عنايت اله(4844000)"</f>
        <v>بابامحمدي عنايت اله(4844000)</v>
      </c>
      <c r="V576" s="1">
        <v>951700118</v>
      </c>
      <c r="W576" s="1">
        <v>951700118</v>
      </c>
      <c r="X576" s="1" t="str">
        <f>"1395418062"</f>
        <v>1395418062</v>
      </c>
      <c r="Y576" s="1" t="str">
        <f>"95/05/05"</f>
        <v>95/05/05</v>
      </c>
      <c r="Z576" s="1" t="str">
        <f>"19101/510"</f>
        <v>19101/510</v>
      </c>
      <c r="AA576" s="1" t="str">
        <f>"راه روستائي -روكش"</f>
        <v>راه روستائي -روكش</v>
      </c>
      <c r="AB576" s="1" t="str">
        <f>"95/05/02"</f>
        <v>95/05/02</v>
      </c>
      <c r="AC576" s="1" t="str">
        <f t="shared" ref="AC576:AC582" si="138">"خراسان رضوي"</f>
        <v>خراسان رضوي</v>
      </c>
      <c r="AD576" s="1" t="str">
        <f>"95/05/05"</f>
        <v>95/05/05</v>
      </c>
      <c r="AE576" s="1" t="str">
        <f t="shared" si="128"/>
        <v>اختتام</v>
      </c>
      <c r="AF576" s="1" t="str">
        <f>""</f>
        <v/>
      </c>
      <c r="AG576" s="1" t="str">
        <f>""</f>
        <v/>
      </c>
      <c r="AH576" s="1" t="str">
        <f>""</f>
        <v/>
      </c>
      <c r="AI576" s="1" t="str">
        <f>""</f>
        <v/>
      </c>
      <c r="AJ576" s="1" t="str">
        <f>""</f>
        <v/>
      </c>
      <c r="AK576" s="1" t="str">
        <f>""</f>
        <v/>
      </c>
    </row>
    <row r="577" spans="1:37" x14ac:dyDescent="0.2">
      <c r="A577" s="1">
        <v>15000</v>
      </c>
      <c r="B577" s="1">
        <v>951700123</v>
      </c>
      <c r="C577" s="1" t="str">
        <f>"تخليه-جاده فردوسي بعداز اسفنديان شرکت آسفالت ثامن"</f>
        <v>تخليه-جاده فردوسي بعداز اسفنديان شرکت آسفالت ثامن</v>
      </c>
      <c r="D577" s="1">
        <v>6726</v>
      </c>
      <c r="E577" s="1">
        <v>14700</v>
      </c>
      <c r="F577" s="1">
        <v>95</v>
      </c>
      <c r="G577" s="1">
        <v>300</v>
      </c>
      <c r="H577" s="1" t="str">
        <f>"95/05/06"</f>
        <v>95/05/06</v>
      </c>
      <c r="I577" s="1" t="str">
        <f t="shared" si="114"/>
        <v>كيلوگرم</v>
      </c>
      <c r="J577" s="1" t="str">
        <f t="shared" si="135"/>
        <v>0000000091</v>
      </c>
      <c r="K577" s="1" t="str">
        <f t="shared" si="136"/>
        <v>قير  PG64-22</v>
      </c>
      <c r="L577" s="1">
        <v>100</v>
      </c>
      <c r="M577" s="1" t="str">
        <f t="shared" si="119"/>
        <v>مخازن قير اصفهان</v>
      </c>
      <c r="N577" s="1">
        <v>4026</v>
      </c>
      <c r="O577" s="1">
        <v>50031380</v>
      </c>
      <c r="P577" s="1" t="str">
        <f t="shared" si="137"/>
        <v xml:space="preserve">  اداره كل راه و شهرسازي خراسان رضوي</v>
      </c>
      <c r="Q577" s="1">
        <v>17</v>
      </c>
      <c r="R577" s="1" t="str">
        <f>"فروش داخلي تهران - وزارت راه - راه روستايي - روکش"</f>
        <v>فروش داخلي تهران - وزارت راه - راه روستايي - روکش</v>
      </c>
      <c r="S577" s="1" t="str">
        <f t="shared" si="115"/>
        <v>قرارداد فروش</v>
      </c>
      <c r="T577" s="1" t="str">
        <f t="shared" si="116"/>
        <v>ندارد</v>
      </c>
      <c r="U577" s="1" t="str">
        <f>"حسيني سيدجواد(1841076)"</f>
        <v>حسيني سيدجواد(1841076)</v>
      </c>
      <c r="V577" s="1">
        <v>951700123</v>
      </c>
      <c r="W577" s="1">
        <v>951700123</v>
      </c>
      <c r="X577" s="1" t="str">
        <f>"1395418062"</f>
        <v>1395418062</v>
      </c>
      <c r="Y577" s="1" t="str">
        <f>"95/05/06"</f>
        <v>95/05/06</v>
      </c>
      <c r="Z577" s="1" t="str">
        <f>"18189/510"</f>
        <v>18189/510</v>
      </c>
      <c r="AA577" s="1" t="str">
        <f>"راه روستائي -روكش"</f>
        <v>راه روستائي -روكش</v>
      </c>
      <c r="AB577" s="1" t="str">
        <f>"95/04/27"</f>
        <v>95/04/27</v>
      </c>
      <c r="AC577" s="1" t="str">
        <f t="shared" si="138"/>
        <v>خراسان رضوي</v>
      </c>
      <c r="AD577" s="1" t="str">
        <f>"95/05/05"</f>
        <v>95/05/05</v>
      </c>
      <c r="AE577" s="1" t="str">
        <f t="shared" si="128"/>
        <v>اختتام</v>
      </c>
      <c r="AF577" s="1" t="str">
        <f>""</f>
        <v/>
      </c>
      <c r="AG577" s="1" t="str">
        <f>""</f>
        <v/>
      </c>
      <c r="AH577" s="1" t="str">
        <f>""</f>
        <v/>
      </c>
      <c r="AI577" s="1" t="str">
        <f>""</f>
        <v/>
      </c>
      <c r="AJ577" s="1" t="str">
        <f>""</f>
        <v/>
      </c>
      <c r="AK577" s="1" t="str">
        <f>""</f>
        <v/>
      </c>
    </row>
    <row r="578" spans="1:37" x14ac:dyDescent="0.2">
      <c r="A578" s="1">
        <v>86000</v>
      </c>
      <c r="B578" s="1">
        <v>951700192</v>
      </c>
      <c r="C578" s="1" t="str">
        <f>"تخليه- خراسان رضوي - بجستان-کارخانه آسفالت شرق گستر"</f>
        <v>تخليه- خراسان رضوي - بجستان-کارخانه آسفالت شرق گستر</v>
      </c>
      <c r="D578" s="1">
        <v>7176</v>
      </c>
      <c r="E578" s="1">
        <v>86000</v>
      </c>
      <c r="F578" s="1">
        <v>95</v>
      </c>
      <c r="G578" s="1">
        <v>0</v>
      </c>
      <c r="H578" s="1" t="str">
        <f>"95/06/07"</f>
        <v>95/06/07</v>
      </c>
      <c r="I578" s="1" t="str">
        <f t="shared" ref="I578:I641" si="139">"كيلوگرم"</f>
        <v>كيلوگرم</v>
      </c>
      <c r="J578" s="1" t="str">
        <f t="shared" si="135"/>
        <v>0000000091</v>
      </c>
      <c r="K578" s="1" t="str">
        <f t="shared" si="136"/>
        <v>قير  PG64-22</v>
      </c>
      <c r="L578" s="1">
        <v>100</v>
      </c>
      <c r="M578" s="1" t="str">
        <f t="shared" si="119"/>
        <v>مخازن قير اصفهان</v>
      </c>
      <c r="N578" s="1">
        <v>4026</v>
      </c>
      <c r="O578" s="1">
        <v>50031914</v>
      </c>
      <c r="P578" s="1" t="str">
        <f t="shared" si="137"/>
        <v xml:space="preserve">  اداره كل راه و شهرسازي خراسان رضوي</v>
      </c>
      <c r="Q578" s="1">
        <v>17</v>
      </c>
      <c r="R578" s="1" t="str">
        <f>"فروش داخلي تهران - وزارت راه - راه روستايي - روکش"</f>
        <v>فروش داخلي تهران - وزارت راه - راه روستايي - روکش</v>
      </c>
      <c r="S578" s="1" t="str">
        <f t="shared" ref="S578:S641" si="140">"قرارداد فروش"</f>
        <v>قرارداد فروش</v>
      </c>
      <c r="T578" s="1" t="str">
        <f t="shared" ref="T578:T641" si="141">"ندارد"</f>
        <v>ندارد</v>
      </c>
      <c r="U578" s="1" t="str">
        <f>"حسيني سيدجواد(1841076)"</f>
        <v>حسيني سيدجواد(1841076)</v>
      </c>
      <c r="V578" s="1">
        <v>951700192</v>
      </c>
      <c r="W578" s="1">
        <v>951700192</v>
      </c>
      <c r="X578" s="1" t="str">
        <f>"1395426941"</f>
        <v>1395426941</v>
      </c>
      <c r="Y578" s="1" t="str">
        <f>"95/06/07"</f>
        <v>95/06/07</v>
      </c>
      <c r="Z578" s="1" t="str">
        <f>"25075/510"</f>
        <v>25075/510</v>
      </c>
      <c r="AA578" s="1" t="str">
        <f>"راه روستائي -روكش"</f>
        <v>راه روستائي -روكش</v>
      </c>
      <c r="AB578" s="1" t="str">
        <f>"95/05/31"</f>
        <v>95/05/31</v>
      </c>
      <c r="AC578" s="1" t="str">
        <f t="shared" si="138"/>
        <v>خراسان رضوي</v>
      </c>
      <c r="AD578" s="1" t="str">
        <f>"95/06/06"</f>
        <v>95/06/06</v>
      </c>
      <c r="AE578" s="1" t="str">
        <f t="shared" si="128"/>
        <v>اختتام</v>
      </c>
      <c r="AF578" s="1" t="str">
        <f>""</f>
        <v/>
      </c>
      <c r="AG578" s="1" t="str">
        <f>""</f>
        <v/>
      </c>
      <c r="AH578" s="1" t="str">
        <f>""</f>
        <v/>
      </c>
      <c r="AI578" s="1" t="str">
        <f>""</f>
        <v/>
      </c>
      <c r="AJ578" s="1" t="str">
        <f>""</f>
        <v/>
      </c>
      <c r="AK578" s="1" t="str">
        <f>""</f>
        <v/>
      </c>
    </row>
    <row r="579" spans="1:37" x14ac:dyDescent="0.2">
      <c r="A579" s="1">
        <v>1502000</v>
      </c>
      <c r="B579" s="1">
        <v>951400071</v>
      </c>
      <c r="C579" s="1" t="str">
        <f>"تخليه - خراسان رضوي - مشهد- جاده کلات شرکت پالايش قير زرين"</f>
        <v>تخليه - خراسان رضوي - مشهد- جاده کلات شرکت پالايش قير زرين</v>
      </c>
      <c r="D579" s="1">
        <v>7276</v>
      </c>
      <c r="E579" s="1">
        <v>1142400</v>
      </c>
      <c r="F579" s="1">
        <v>95</v>
      </c>
      <c r="G579" s="1">
        <v>359600</v>
      </c>
      <c r="H579" s="1" t="str">
        <f>"95/07/06"</f>
        <v>95/07/06</v>
      </c>
      <c r="I579" s="1" t="str">
        <f t="shared" si="139"/>
        <v>كيلوگرم</v>
      </c>
      <c r="J579" s="1" t="str">
        <f t="shared" si="135"/>
        <v>0000000091</v>
      </c>
      <c r="K579" s="1" t="str">
        <f t="shared" si="136"/>
        <v>قير  PG64-22</v>
      </c>
      <c r="L579" s="1">
        <v>100</v>
      </c>
      <c r="M579" s="1" t="str">
        <f t="shared" si="119"/>
        <v>مخازن قير اصفهان</v>
      </c>
      <c r="N579" s="1">
        <v>4026</v>
      </c>
      <c r="O579" s="1">
        <v>50031998</v>
      </c>
      <c r="P579" s="1" t="str">
        <f t="shared" si="137"/>
        <v xml:space="preserve">  اداره كل راه و شهرسازي خراسان رضوي</v>
      </c>
      <c r="Q579" s="1">
        <v>14</v>
      </c>
      <c r="R579" s="1" t="str">
        <f>"فروش داخلي - وزارت راه - حوزه راه روستايي ساخت"</f>
        <v>فروش داخلي - وزارت راه - حوزه راه روستايي ساخت</v>
      </c>
      <c r="S579" s="1" t="str">
        <f t="shared" si="140"/>
        <v>قرارداد فروش</v>
      </c>
      <c r="T579" s="1" t="str">
        <f t="shared" si="141"/>
        <v>ندارد</v>
      </c>
      <c r="U579" s="1" t="str">
        <f>"قره باغي مجيد(1871065)"</f>
        <v>قره باغي مجيد(1871065)</v>
      </c>
      <c r="V579" s="1">
        <v>951400071</v>
      </c>
      <c r="W579" s="1">
        <v>951400071</v>
      </c>
      <c r="X579" s="1" t="str">
        <f>"1395433846"</f>
        <v>1395433846</v>
      </c>
      <c r="Y579" s="1" t="str">
        <f>"95/07/06"</f>
        <v>95/07/06</v>
      </c>
      <c r="Z579" s="1" t="str">
        <f>"31274/510"</f>
        <v>31274/510</v>
      </c>
      <c r="AA579" s="1" t="str">
        <f>"راه وروستايي -ساخت"</f>
        <v>راه وروستايي -ساخت</v>
      </c>
      <c r="AB579" s="1" t="str">
        <f>"95/06/31"</f>
        <v>95/06/31</v>
      </c>
      <c r="AC579" s="1" t="str">
        <f t="shared" si="138"/>
        <v>خراسان رضوي</v>
      </c>
      <c r="AD579" s="1" t="str">
        <f>"95/07/05"</f>
        <v>95/07/05</v>
      </c>
      <c r="AE579" s="1" t="str">
        <f t="shared" si="128"/>
        <v>اختتام</v>
      </c>
      <c r="AF579" s="1" t="str">
        <f>""</f>
        <v/>
      </c>
      <c r="AG579" s="1" t="str">
        <f>""</f>
        <v/>
      </c>
      <c r="AH579" s="1" t="str">
        <f>""</f>
        <v/>
      </c>
      <c r="AI579" s="1" t="str">
        <f>""</f>
        <v/>
      </c>
      <c r="AJ579" s="1" t="str">
        <f>""</f>
        <v/>
      </c>
      <c r="AK579" s="1" t="str">
        <f>""</f>
        <v/>
      </c>
    </row>
    <row r="580" spans="1:37" x14ac:dyDescent="0.2">
      <c r="A580" s="1">
        <v>15000</v>
      </c>
      <c r="B580" s="1">
        <v>951400072</v>
      </c>
      <c r="C580" s="1" t="str">
        <f>"تخليه -خراسان رضوي -قوچان -كارخانه آسفالت توس راديه"</f>
        <v>تخليه -خراسان رضوي -قوچان -كارخانه آسفالت توس راديه</v>
      </c>
      <c r="D580" s="1">
        <v>7276</v>
      </c>
      <c r="E580" s="1">
        <v>14780</v>
      </c>
      <c r="F580" s="1">
        <v>95</v>
      </c>
      <c r="G580" s="1">
        <v>220</v>
      </c>
      <c r="H580" s="1" t="str">
        <f>"95/07/06"</f>
        <v>95/07/06</v>
      </c>
      <c r="I580" s="1" t="str">
        <f t="shared" si="139"/>
        <v>كيلوگرم</v>
      </c>
      <c r="J580" s="1" t="str">
        <f t="shared" si="135"/>
        <v>0000000091</v>
      </c>
      <c r="K580" s="1" t="str">
        <f t="shared" si="136"/>
        <v>قير  PG64-22</v>
      </c>
      <c r="L580" s="1">
        <v>100</v>
      </c>
      <c r="M580" s="1" t="str">
        <f t="shared" si="119"/>
        <v>مخازن قير اصفهان</v>
      </c>
      <c r="N580" s="1">
        <v>4026</v>
      </c>
      <c r="O580" s="1">
        <v>50032000</v>
      </c>
      <c r="P580" s="1" t="str">
        <f t="shared" si="137"/>
        <v xml:space="preserve">  اداره كل راه و شهرسازي خراسان رضوي</v>
      </c>
      <c r="Q580" s="1">
        <v>14</v>
      </c>
      <c r="R580" s="1" t="str">
        <f>"فروش داخلي - وزارت راه - حوزه راه روستايي ساخت"</f>
        <v>فروش داخلي - وزارت راه - حوزه راه روستايي ساخت</v>
      </c>
      <c r="S580" s="1" t="str">
        <f t="shared" si="140"/>
        <v>قرارداد فروش</v>
      </c>
      <c r="T580" s="1" t="str">
        <f t="shared" si="141"/>
        <v>ندارد</v>
      </c>
      <c r="U580" s="1" t="str">
        <f>"بابامحمدي عنايت اله(4844000)"</f>
        <v>بابامحمدي عنايت اله(4844000)</v>
      </c>
      <c r="V580" s="1">
        <v>951400072</v>
      </c>
      <c r="W580" s="1">
        <v>951400072</v>
      </c>
      <c r="X580" s="1" t="str">
        <f>"1395433846"</f>
        <v>1395433846</v>
      </c>
      <c r="Y580" s="1" t="str">
        <f>"95/07/06"</f>
        <v>95/07/06</v>
      </c>
      <c r="Z580" s="1" t="str">
        <f>"31274/510"</f>
        <v>31274/510</v>
      </c>
      <c r="AA580" s="1" t="str">
        <f>"راه وروستايي -ساخت"</f>
        <v>راه وروستايي -ساخت</v>
      </c>
      <c r="AB580" s="1" t="str">
        <f>"95/06/31"</f>
        <v>95/06/31</v>
      </c>
      <c r="AC580" s="1" t="str">
        <f t="shared" si="138"/>
        <v>خراسان رضوي</v>
      </c>
      <c r="AD580" s="1" t="str">
        <f>"95/07/05"</f>
        <v>95/07/05</v>
      </c>
      <c r="AE580" s="1" t="str">
        <f t="shared" si="128"/>
        <v>اختتام</v>
      </c>
      <c r="AF580" s="1" t="str">
        <f>""</f>
        <v/>
      </c>
      <c r="AG580" s="1" t="str">
        <f>""</f>
        <v/>
      </c>
      <c r="AH580" s="1" t="str">
        <f>""</f>
        <v/>
      </c>
      <c r="AI580" s="1" t="str">
        <f>""</f>
        <v/>
      </c>
      <c r="AJ580" s="1" t="str">
        <f>""</f>
        <v/>
      </c>
      <c r="AK580" s="1" t="str">
        <f>""</f>
        <v/>
      </c>
    </row>
    <row r="581" spans="1:37" x14ac:dyDescent="0.2">
      <c r="A581" s="1">
        <v>198940</v>
      </c>
      <c r="B581" s="1">
        <v>951700247</v>
      </c>
      <c r="C581" s="1" t="str">
        <f>"تخليه-مشهد-ابتداي جاده کلات کارخانه فراز راه بيرجند"</f>
        <v>تخليه-مشهد-ابتداي جاده کلات کارخانه فراز راه بيرجند</v>
      </c>
      <c r="D581" s="1">
        <v>8323</v>
      </c>
      <c r="E581" s="1">
        <v>192200</v>
      </c>
      <c r="F581" s="1">
        <v>95</v>
      </c>
      <c r="G581" s="1">
        <v>6740</v>
      </c>
      <c r="H581" s="1" t="str">
        <f>"95/08/06"</f>
        <v>95/08/06</v>
      </c>
      <c r="I581" s="1" t="str">
        <f t="shared" si="139"/>
        <v>كيلوگرم</v>
      </c>
      <c r="J581" s="1" t="str">
        <f t="shared" si="135"/>
        <v>0000000091</v>
      </c>
      <c r="K581" s="1" t="str">
        <f t="shared" si="136"/>
        <v>قير  PG64-22</v>
      </c>
      <c r="L581" s="1">
        <v>100</v>
      </c>
      <c r="M581" s="1" t="str">
        <f t="shared" si="119"/>
        <v>مخازن قير اصفهان</v>
      </c>
      <c r="N581" s="1">
        <v>4026</v>
      </c>
      <c r="O581" s="1">
        <v>50032295</v>
      </c>
      <c r="P581" s="1" t="str">
        <f t="shared" si="137"/>
        <v xml:space="preserve">  اداره كل راه و شهرسازي خراسان رضوي</v>
      </c>
      <c r="Q581" s="1">
        <v>17</v>
      </c>
      <c r="R581" s="1" t="str">
        <f>"فروش داخلي تهران - وزارت راه - راه روستايي - روکش"</f>
        <v>فروش داخلي تهران - وزارت راه - راه روستايي - روکش</v>
      </c>
      <c r="S581" s="1" t="str">
        <f t="shared" si="140"/>
        <v>قرارداد فروش</v>
      </c>
      <c r="T581" s="1" t="str">
        <f t="shared" si="141"/>
        <v>ندارد</v>
      </c>
      <c r="U581" s="1" t="str">
        <f>"حسيني سيدجواد(1841076)"</f>
        <v>حسيني سيدجواد(1841076)</v>
      </c>
      <c r="V581" s="1">
        <v>951700247</v>
      </c>
      <c r="W581" s="1">
        <v>951700247</v>
      </c>
      <c r="X581" s="1" t="str">
        <f>"1395433834"</f>
        <v>1395433834</v>
      </c>
      <c r="Y581" s="1" t="str">
        <f>"95/08/06"</f>
        <v>95/08/06</v>
      </c>
      <c r="Z581" s="1" t="str">
        <f>"30701/510"</f>
        <v>30701/510</v>
      </c>
      <c r="AA581" s="1" t="str">
        <f>"راه روستائي -روكش"</f>
        <v>راه روستائي -روكش</v>
      </c>
      <c r="AB581" s="1" t="str">
        <f>"95/06/28"</f>
        <v>95/06/28</v>
      </c>
      <c r="AC581" s="1" t="str">
        <f t="shared" si="138"/>
        <v>خراسان رضوي</v>
      </c>
      <c r="AD581" s="1" t="str">
        <f>"95/07/05"</f>
        <v>95/07/05</v>
      </c>
      <c r="AE581" s="1" t="str">
        <f t="shared" si="128"/>
        <v>اختتام</v>
      </c>
      <c r="AF581" s="1" t="str">
        <f>""</f>
        <v/>
      </c>
      <c r="AG581" s="1" t="str">
        <f>""</f>
        <v/>
      </c>
      <c r="AH581" s="1" t="str">
        <f>""</f>
        <v/>
      </c>
      <c r="AI581" s="1" t="str">
        <f>""</f>
        <v/>
      </c>
      <c r="AJ581" s="1" t="str">
        <f>""</f>
        <v/>
      </c>
      <c r="AK581" s="1" t="str">
        <f>""</f>
        <v/>
      </c>
    </row>
    <row r="582" spans="1:37" x14ac:dyDescent="0.2">
      <c r="A582" s="1">
        <v>198780</v>
      </c>
      <c r="B582" s="1">
        <v>951700253</v>
      </c>
      <c r="C582" s="1" t="str">
        <f>"تخليه -خراسان رضوي سبزواركارخانه آسفالت ترازگسترشرق"</f>
        <v>تخليه -خراسان رضوي سبزواركارخانه آسفالت ترازگسترشرق</v>
      </c>
      <c r="D582" s="1">
        <v>8323</v>
      </c>
      <c r="E582" s="1">
        <v>166600</v>
      </c>
      <c r="F582" s="1">
        <v>95</v>
      </c>
      <c r="G582" s="1">
        <v>32180</v>
      </c>
      <c r="H582" s="1" t="str">
        <f>"95/08/08"</f>
        <v>95/08/08</v>
      </c>
      <c r="I582" s="1" t="str">
        <f t="shared" si="139"/>
        <v>كيلوگرم</v>
      </c>
      <c r="J582" s="1" t="str">
        <f t="shared" si="135"/>
        <v>0000000091</v>
      </c>
      <c r="K582" s="1" t="str">
        <f t="shared" si="136"/>
        <v>قير  PG64-22</v>
      </c>
      <c r="L582" s="1">
        <v>100</v>
      </c>
      <c r="M582" s="1" t="str">
        <f t="shared" si="119"/>
        <v>مخازن قير اصفهان</v>
      </c>
      <c r="N582" s="1">
        <v>4026</v>
      </c>
      <c r="O582" s="1">
        <v>50032362</v>
      </c>
      <c r="P582" s="1" t="str">
        <f t="shared" si="137"/>
        <v xml:space="preserve">  اداره كل راه و شهرسازي خراسان رضوي</v>
      </c>
      <c r="Q582" s="1">
        <v>17</v>
      </c>
      <c r="R582" s="1" t="str">
        <f>"فروش داخلي تهران - وزارت راه - راه روستايي - روکش"</f>
        <v>فروش داخلي تهران - وزارت راه - راه روستايي - روکش</v>
      </c>
      <c r="S582" s="1" t="str">
        <f t="shared" si="140"/>
        <v>قرارداد فروش</v>
      </c>
      <c r="T582" s="1" t="str">
        <f t="shared" si="141"/>
        <v>ندارد</v>
      </c>
      <c r="U582" s="1" t="str">
        <f>"حسيني علي(1841001)"</f>
        <v>حسيني علي(1841001)</v>
      </c>
      <c r="V582" s="1">
        <v>951700253</v>
      </c>
      <c r="W582" s="1">
        <v>951700253</v>
      </c>
      <c r="X582" s="1" t="str">
        <f>"1395433834"</f>
        <v>1395433834</v>
      </c>
      <c r="Y582" s="1" t="str">
        <f>"95/08/08"</f>
        <v>95/08/08</v>
      </c>
      <c r="Z582" s="1" t="str">
        <f>"30261/510"</f>
        <v>30261/510</v>
      </c>
      <c r="AA582" s="1" t="str">
        <f>"راه روستائي -روكش"</f>
        <v>راه روستائي -روكش</v>
      </c>
      <c r="AB582" s="1" t="str">
        <f>"95/06/27"</f>
        <v>95/06/27</v>
      </c>
      <c r="AC582" s="1" t="str">
        <f t="shared" si="138"/>
        <v>خراسان رضوي</v>
      </c>
      <c r="AD582" s="1" t="str">
        <f>"95/07/05"</f>
        <v>95/07/05</v>
      </c>
      <c r="AE582" s="1" t="str">
        <f t="shared" si="128"/>
        <v>اختتام</v>
      </c>
      <c r="AF582" s="1" t="str">
        <f>""</f>
        <v/>
      </c>
      <c r="AG582" s="1" t="str">
        <f>""</f>
        <v/>
      </c>
      <c r="AH582" s="1" t="str">
        <f>""</f>
        <v/>
      </c>
      <c r="AI582" s="1" t="str">
        <f>""</f>
        <v/>
      </c>
      <c r="AJ582" s="1" t="str">
        <f>""</f>
        <v/>
      </c>
      <c r="AK582" s="1" t="str">
        <f>""</f>
        <v/>
      </c>
    </row>
    <row r="583" spans="1:37" x14ac:dyDescent="0.2">
      <c r="A583" s="1">
        <v>100000</v>
      </c>
      <c r="B583" s="1">
        <v>951100185</v>
      </c>
      <c r="C583" s="1" t="str">
        <f>"تخليه -تهران -فرودگاه بين المللي امام خميني"</f>
        <v>تخليه -تهران -فرودگاه بين المللي امام خميني</v>
      </c>
      <c r="D583" s="1">
        <v>9361</v>
      </c>
      <c r="E583" s="1">
        <v>100000</v>
      </c>
      <c r="F583" s="1">
        <v>95</v>
      </c>
      <c r="G583" s="1">
        <v>0</v>
      </c>
      <c r="H583" s="1" t="str">
        <f>"95/11/18"</f>
        <v>95/11/18</v>
      </c>
      <c r="I583" s="1" t="str">
        <f t="shared" si="139"/>
        <v>كيلوگرم</v>
      </c>
      <c r="J583" s="1" t="str">
        <f>"0000000076"</f>
        <v>0000000076</v>
      </c>
      <c r="K583" s="1" t="str">
        <f>"قير 60/70 - فله"</f>
        <v>قير 60/70 - فله</v>
      </c>
      <c r="L583" s="1">
        <v>100</v>
      </c>
      <c r="M583" s="1" t="str">
        <f t="shared" si="119"/>
        <v>مخازن قير اصفهان</v>
      </c>
      <c r="N583" s="1">
        <v>8025</v>
      </c>
      <c r="O583" s="1">
        <v>50033620</v>
      </c>
      <c r="P583" s="1" t="str">
        <f>"  ملي ساختمان"</f>
        <v xml:space="preserve">  ملي ساختمان</v>
      </c>
      <c r="Q583" s="1">
        <v>11</v>
      </c>
      <c r="R583" s="1" t="str">
        <f>"فروش داخلي تهران - بورس"</f>
        <v>فروش داخلي تهران - بورس</v>
      </c>
      <c r="S583" s="1" t="str">
        <f t="shared" si="140"/>
        <v>قرارداد فروش</v>
      </c>
      <c r="T583" s="1" t="str">
        <f t="shared" si="141"/>
        <v>ندارد</v>
      </c>
      <c r="U583" s="1" t="str">
        <f>"حسيني علي(1841001)"</f>
        <v>حسيني علي(1841001)</v>
      </c>
      <c r="V583" s="1">
        <v>951100185</v>
      </c>
      <c r="W583" s="1">
        <v>951100185</v>
      </c>
      <c r="X583" s="1" t="str">
        <f>"1395461989"</f>
        <v>1395461989</v>
      </c>
      <c r="Y583" s="1" t="str">
        <f>"95/11/18"</f>
        <v>95/11/18</v>
      </c>
      <c r="Z583" s="1" t="str">
        <f>"95-35131"</f>
        <v>95-35131</v>
      </c>
      <c r="AA583" s="1" t="str">
        <f>"راه سازي"</f>
        <v>راه سازي</v>
      </c>
      <c r="AB583" s="1" t="str">
        <f>"95/11/18"</f>
        <v>95/11/18</v>
      </c>
      <c r="AC583" s="1" t="str">
        <f>"استان تهران"</f>
        <v>استان تهران</v>
      </c>
      <c r="AD583" s="1" t="str">
        <f>"95/11/12"</f>
        <v>95/11/12</v>
      </c>
      <c r="AE583" s="1" t="str">
        <f>"تاييدشده"</f>
        <v>تاييدشده</v>
      </c>
      <c r="AF583" s="1" t="str">
        <f>""</f>
        <v/>
      </c>
      <c r="AG583" s="1" t="str">
        <f>""</f>
        <v/>
      </c>
      <c r="AH583" s="1" t="str">
        <f>""</f>
        <v/>
      </c>
      <c r="AI583" s="1" t="str">
        <f>""</f>
        <v/>
      </c>
      <c r="AJ583" s="1" t="str">
        <f>""</f>
        <v/>
      </c>
      <c r="AK583" s="1" t="str">
        <f>""</f>
        <v/>
      </c>
    </row>
    <row r="584" spans="1:37" x14ac:dyDescent="0.2">
      <c r="A584" s="1">
        <v>267700</v>
      </c>
      <c r="B584" s="1">
        <v>951900252</v>
      </c>
      <c r="C584" s="1" t="str">
        <f>"تخليه -يزدجاده فهرج -كارخانه آسفالت گسترنصريزد"</f>
        <v>تخليه -يزدجاده فهرج -كارخانه آسفالت گسترنصريزد</v>
      </c>
      <c r="D584" s="1">
        <v>8998</v>
      </c>
      <c r="E584" s="1">
        <v>261920</v>
      </c>
      <c r="F584" s="1">
        <v>95</v>
      </c>
      <c r="G584" s="1">
        <v>5780</v>
      </c>
      <c r="H584" s="1" t="str">
        <f>"95/11/03"</f>
        <v>95/11/03</v>
      </c>
      <c r="I584" s="1" t="str">
        <f t="shared" si="139"/>
        <v>كيلوگرم</v>
      </c>
      <c r="J584" s="1" t="str">
        <f>"0000000091"</f>
        <v>0000000091</v>
      </c>
      <c r="K584" s="1" t="str">
        <f>"قير  PG64-22"</f>
        <v>قير  PG64-22</v>
      </c>
      <c r="L584" s="1">
        <v>100</v>
      </c>
      <c r="M584" s="1" t="str">
        <f t="shared" ref="M584:M647" si="142">"مخازن قير اصفهان"</f>
        <v>مخازن قير اصفهان</v>
      </c>
      <c r="N584" s="1">
        <v>1665</v>
      </c>
      <c r="O584" s="1">
        <v>50033466</v>
      </c>
      <c r="P584" s="1" t="str">
        <f>"  جهاد نصر يزد"</f>
        <v xml:space="preserve">  جهاد نصر يزد</v>
      </c>
      <c r="Q584" s="1">
        <v>19</v>
      </c>
      <c r="R58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84" s="1" t="str">
        <f t="shared" si="140"/>
        <v>قرارداد فروش</v>
      </c>
      <c r="T584" s="1" t="str">
        <f t="shared" si="141"/>
        <v>ندارد</v>
      </c>
      <c r="U584" s="1" t="str">
        <f>"غلام نجفي سيامك‌‌‌‌‌‌(1881082)"</f>
        <v>غلام نجفي سيامك‌‌‌‌‌‌(1881082)</v>
      </c>
      <c r="V584" s="1">
        <v>951900252</v>
      </c>
      <c r="W584" s="1">
        <v>951900252</v>
      </c>
      <c r="X584" s="1" t="str">
        <f>"1395447677"</f>
        <v>1395447677</v>
      </c>
      <c r="Y584" s="1" t="str">
        <f>"95/11/03"</f>
        <v>95/11/03</v>
      </c>
      <c r="Z584" s="1" t="str">
        <f>"42077/710"</f>
        <v>42077/710</v>
      </c>
      <c r="AA584" s="1" t="str">
        <f>"سازمان راهداري وحمل نقل جاده اي"</f>
        <v>سازمان راهداري وحمل نقل جاده اي</v>
      </c>
      <c r="AB584" s="1" t="str">
        <f>"95/08/29"</f>
        <v>95/08/29</v>
      </c>
      <c r="AC584" s="1" t="str">
        <f>"استان يزد"</f>
        <v>استان يزد</v>
      </c>
      <c r="AD584" s="1" t="str">
        <f>"95/09/06"</f>
        <v>95/09/06</v>
      </c>
      <c r="AE584" s="1" t="str">
        <f t="shared" ref="AE584:AE615" si="143">"اختتام"</f>
        <v>اختتام</v>
      </c>
      <c r="AF584" s="1" t="str">
        <f>""</f>
        <v/>
      </c>
      <c r="AG584" s="1" t="str">
        <f>""</f>
        <v/>
      </c>
      <c r="AH584" s="1" t="str">
        <f>""</f>
        <v/>
      </c>
      <c r="AI584" s="1" t="str">
        <f>""</f>
        <v/>
      </c>
      <c r="AJ584" s="1" t="str">
        <f>""</f>
        <v/>
      </c>
      <c r="AK584" s="1" t="str">
        <f>""</f>
        <v/>
      </c>
    </row>
    <row r="585" spans="1:37" x14ac:dyDescent="0.2">
      <c r="A585" s="1">
        <v>143460</v>
      </c>
      <c r="B585" s="1">
        <v>951900226</v>
      </c>
      <c r="C585" s="1" t="str">
        <f>"تخليه -يزد كيلومتر15جاده يزد-مهريز-كارگاه حريتاش"</f>
        <v>تخليه -يزد كيلومتر15جاده يزد-مهريز-كارگاه حريتاش</v>
      </c>
      <c r="D585" s="1">
        <v>9061</v>
      </c>
      <c r="E585" s="1">
        <v>142880</v>
      </c>
      <c r="F585" s="1">
        <v>95</v>
      </c>
      <c r="G585" s="1">
        <v>580</v>
      </c>
      <c r="H585" s="1" t="str">
        <f>"95/10/02"</f>
        <v>95/10/02</v>
      </c>
      <c r="I585" s="1" t="str">
        <f t="shared" si="139"/>
        <v>كيلوگرم</v>
      </c>
      <c r="J585" s="1" t="str">
        <f>"0000000091"</f>
        <v>0000000091</v>
      </c>
      <c r="K585" s="1" t="str">
        <f>"قير  PG64-22"</f>
        <v>قير  PG64-22</v>
      </c>
      <c r="L585" s="1">
        <v>100</v>
      </c>
      <c r="M585" s="1" t="str">
        <f t="shared" si="142"/>
        <v>مخازن قير اصفهان</v>
      </c>
      <c r="N585" s="1">
        <v>1728</v>
      </c>
      <c r="O585" s="1">
        <v>50033121</v>
      </c>
      <c r="P585" s="1" t="str">
        <f>"  حريتاش"</f>
        <v xml:space="preserve">  حريتاش</v>
      </c>
      <c r="Q585" s="1">
        <v>19</v>
      </c>
      <c r="R5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85" s="1" t="str">
        <f t="shared" si="140"/>
        <v>قرارداد فروش</v>
      </c>
      <c r="T585" s="1" t="str">
        <f t="shared" si="141"/>
        <v>ندارد</v>
      </c>
      <c r="U585" s="1" t="str">
        <f>"عزيزي صفر(1006ج 89)"</f>
        <v>عزيزي صفر(1006ج 89)</v>
      </c>
      <c r="V585" s="1">
        <v>951900226</v>
      </c>
      <c r="W585" s="1">
        <v>951900226</v>
      </c>
      <c r="X585" s="1" t="str">
        <f>"1395447614"</f>
        <v>1395447614</v>
      </c>
      <c r="Y585" s="1" t="str">
        <f>"95/10/02"</f>
        <v>95/10/02</v>
      </c>
      <c r="Z585" s="1" t="str">
        <f>"42080/710"</f>
        <v>42080/710</v>
      </c>
      <c r="AA585" s="1" t="str">
        <f>"سازمان راهداري وحمل نقل جاده اي"</f>
        <v>سازمان راهداري وحمل نقل جاده اي</v>
      </c>
      <c r="AB585" s="1" t="str">
        <f>"95/08/29"</f>
        <v>95/08/29</v>
      </c>
      <c r="AC585" s="1" t="str">
        <f>"استان يزد"</f>
        <v>استان يزد</v>
      </c>
      <c r="AD585" s="1" t="str">
        <f>"95/09/06"</f>
        <v>95/09/06</v>
      </c>
      <c r="AE585" s="1" t="str">
        <f t="shared" si="143"/>
        <v>اختتام</v>
      </c>
      <c r="AF585" s="1" t="str">
        <f>""</f>
        <v/>
      </c>
      <c r="AG585" s="1" t="str">
        <f>""</f>
        <v/>
      </c>
      <c r="AH585" s="1" t="str">
        <f>""</f>
        <v/>
      </c>
      <c r="AI585" s="1" t="str">
        <f>""</f>
        <v/>
      </c>
      <c r="AJ585" s="1" t="str">
        <f>""</f>
        <v/>
      </c>
      <c r="AK585" s="1" t="str">
        <f>""</f>
        <v/>
      </c>
    </row>
    <row r="586" spans="1:37" x14ac:dyDescent="0.2">
      <c r="A586" s="1">
        <v>400000</v>
      </c>
      <c r="B586" s="1">
        <v>951900191</v>
      </c>
      <c r="C586" s="1" t="str">
        <f>"تخليه -چهارمحال بختياري -شهرستان لردگان كيلومتر6جاده ياسوج روبروي روستايرسلح چين -كارخانه آسفالت كوثر"</f>
        <v>تخليه -چهارمحال بختياري -شهرستان لردگان كيلومتر6جاده ياسوج روبروي روستايرسلح چين -كارخانه آسفالت كوثر</v>
      </c>
      <c r="D586" s="1">
        <v>8323</v>
      </c>
      <c r="E586" s="1">
        <v>399340</v>
      </c>
      <c r="F586" s="1">
        <v>95</v>
      </c>
      <c r="G586" s="1">
        <v>660</v>
      </c>
      <c r="H586" s="1" t="str">
        <f>"95/08/26"</f>
        <v>95/08/26</v>
      </c>
      <c r="I586" s="1" t="str">
        <f t="shared" si="139"/>
        <v>كيلوگرم</v>
      </c>
      <c r="J586" s="1" t="str">
        <f>"0000000088"</f>
        <v>0000000088</v>
      </c>
      <c r="K586" s="1" t="str">
        <f>"قير  PG58-22"</f>
        <v>قير  PG58-22</v>
      </c>
      <c r="L586" s="1">
        <v>100</v>
      </c>
      <c r="M586" s="1" t="str">
        <f t="shared" si="142"/>
        <v>مخازن قير اصفهان</v>
      </c>
      <c r="N586" s="1">
        <v>9130</v>
      </c>
      <c r="O586" s="1">
        <v>50032610</v>
      </c>
      <c r="P586" s="1" t="str">
        <f>"  مهندسي دورك عمران"</f>
        <v xml:space="preserve">  مهندسي دورك عمران</v>
      </c>
      <c r="Q586" s="1">
        <v>19</v>
      </c>
      <c r="R58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86" s="1" t="str">
        <f t="shared" si="140"/>
        <v>قرارداد فروش</v>
      </c>
      <c r="T586" s="1" t="str">
        <f t="shared" si="141"/>
        <v>ندارد</v>
      </c>
      <c r="U586" s="1" t="str">
        <f>"قره باغي مجيد(1871065)"</f>
        <v>قره باغي مجيد(1871065)</v>
      </c>
      <c r="V586" s="1">
        <v>951900191</v>
      </c>
      <c r="W586" s="1">
        <v>951900191</v>
      </c>
      <c r="X586" s="1" t="str">
        <f>"1395446083"</f>
        <v>1395446083</v>
      </c>
      <c r="Y586" s="1" t="str">
        <f>"95/08/26"</f>
        <v>95/08/26</v>
      </c>
      <c r="Z586" s="1" t="str">
        <f>"39755/710"</f>
        <v>39755/710</v>
      </c>
      <c r="AA586" s="1" t="str">
        <f>"سازمان راهداري وحمل نقل جاده اي"</f>
        <v>سازمان راهداري وحمل نقل جاده اي</v>
      </c>
      <c r="AB586" s="1" t="str">
        <f>"95/08/15"</f>
        <v>95/08/15</v>
      </c>
      <c r="AC586" s="1" t="str">
        <f>"استان چهارمحال بختياري"</f>
        <v>استان چهارمحال بختياري</v>
      </c>
      <c r="AD586" s="1" t="str">
        <f>"95/08/26"</f>
        <v>95/08/26</v>
      </c>
      <c r="AE586" s="1" t="str">
        <f t="shared" si="143"/>
        <v>اختتام</v>
      </c>
      <c r="AF586" s="1" t="str">
        <f>""</f>
        <v/>
      </c>
      <c r="AG586" s="1" t="str">
        <f>""</f>
        <v/>
      </c>
      <c r="AH586" s="1" t="str">
        <f>""</f>
        <v/>
      </c>
      <c r="AI586" s="1" t="str">
        <f>""</f>
        <v/>
      </c>
      <c r="AJ586" s="1" t="str">
        <f>""</f>
        <v/>
      </c>
      <c r="AK586" s="1" t="str">
        <f>""</f>
        <v/>
      </c>
    </row>
    <row r="587" spans="1:37" x14ac:dyDescent="0.2">
      <c r="A587" s="1">
        <v>250000</v>
      </c>
      <c r="B587" s="1">
        <v>951900202</v>
      </c>
      <c r="C587" s="1" t="str">
        <f>"تخليه -چهارمحال وبختياري -شهرستان اردل -ناحيه صنعتي -كارخانه آسفالت دشتاونددزپارت"</f>
        <v>تخليه -چهارمحال وبختياري -شهرستان اردل -ناحيه صنعتي -كارخانه آسفالت دشتاونددزپارت</v>
      </c>
      <c r="D587" s="1">
        <v>8323</v>
      </c>
      <c r="E587" s="1">
        <v>249400</v>
      </c>
      <c r="F587" s="1">
        <v>95</v>
      </c>
      <c r="G587" s="1">
        <v>600</v>
      </c>
      <c r="H587" s="1" t="str">
        <f>"95/08/29"</f>
        <v>95/08/29</v>
      </c>
      <c r="I587" s="1" t="str">
        <f t="shared" si="139"/>
        <v>كيلوگرم</v>
      </c>
      <c r="J587" s="1" t="str">
        <f>"0000000088"</f>
        <v>0000000088</v>
      </c>
      <c r="K587" s="1" t="str">
        <f>"قير  PG58-22"</f>
        <v>قير  PG58-22</v>
      </c>
      <c r="L587" s="1">
        <v>100</v>
      </c>
      <c r="M587" s="1" t="str">
        <f t="shared" si="142"/>
        <v>مخازن قير اصفهان</v>
      </c>
      <c r="N587" s="1">
        <v>9310</v>
      </c>
      <c r="O587" s="1">
        <v>50032635</v>
      </c>
      <c r="P587" s="1" t="str">
        <f>"  دشتاونددزپارت"</f>
        <v xml:space="preserve">  دشتاونددزپارت</v>
      </c>
      <c r="Q587" s="1">
        <v>19</v>
      </c>
      <c r="R5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87" s="1" t="str">
        <f t="shared" si="140"/>
        <v>قرارداد فروش</v>
      </c>
      <c r="T587" s="1" t="str">
        <f t="shared" si="141"/>
        <v>ندارد</v>
      </c>
      <c r="U587" s="1" t="str">
        <f>"قره باغي مجيد(1871065)"</f>
        <v>قره باغي مجيد(1871065)</v>
      </c>
      <c r="V587" s="1">
        <v>951900202</v>
      </c>
      <c r="W587" s="1">
        <v>951900202</v>
      </c>
      <c r="X587" s="1" t="str">
        <f>"1395446290"</f>
        <v>1395446290</v>
      </c>
      <c r="Y587" s="1" t="str">
        <f>"95/08/29"</f>
        <v>95/08/29</v>
      </c>
      <c r="Z587" s="1" t="str">
        <f>"39753/710"</f>
        <v>39753/710</v>
      </c>
      <c r="AA587" s="1" t="str">
        <f>"سازمان راهداري وحمل نقل جاده اي"</f>
        <v>سازمان راهداري وحمل نقل جاده اي</v>
      </c>
      <c r="AB587" s="1" t="str">
        <f>"95/08/15"</f>
        <v>95/08/15</v>
      </c>
      <c r="AC587" s="1" t="str">
        <f>"استان چهارمحال بختياري"</f>
        <v>استان چهارمحال بختياري</v>
      </c>
      <c r="AD587" s="1" t="str">
        <f>"95/08/29"</f>
        <v>95/08/29</v>
      </c>
      <c r="AE587" s="1" t="str">
        <f t="shared" si="143"/>
        <v>اختتام</v>
      </c>
      <c r="AF587" s="1" t="str">
        <f>""</f>
        <v/>
      </c>
      <c r="AG587" s="1" t="str">
        <f>""</f>
        <v/>
      </c>
      <c r="AH587" s="1" t="str">
        <f>""</f>
        <v/>
      </c>
      <c r="AI587" s="1" t="str">
        <f>""</f>
        <v/>
      </c>
      <c r="AJ587" s="1" t="str">
        <f>""</f>
        <v/>
      </c>
      <c r="AK587" s="1" t="str">
        <f>""</f>
        <v/>
      </c>
    </row>
    <row r="588" spans="1:37" x14ac:dyDescent="0.2">
      <c r="A588" s="1">
        <v>1000000</v>
      </c>
      <c r="B588" s="1">
        <v>951600091</v>
      </c>
      <c r="C588" s="1" t="str">
        <f>"تخليه -خراسان جنوبي -قاين -5كيلومترمانده به شهراسفدن كارخانه آسفالت توس راديه"</f>
        <v>تخليه -خراسان جنوبي -قاين -5كيلومترمانده به شهراسفدن كارخانه آسفالت توس راديه</v>
      </c>
      <c r="D588" s="1">
        <v>8348</v>
      </c>
      <c r="E588" s="1">
        <v>998900</v>
      </c>
      <c r="F588" s="1">
        <v>95</v>
      </c>
      <c r="G588" s="1">
        <v>1100</v>
      </c>
      <c r="H588" s="1" t="str">
        <f>"95/11/25"</f>
        <v>95/11/25</v>
      </c>
      <c r="I588" s="1" t="str">
        <f t="shared" si="139"/>
        <v>كيلوگرم</v>
      </c>
      <c r="J588" s="1" t="str">
        <f t="shared" ref="J588:J601" si="144">"0000000091"</f>
        <v>0000000091</v>
      </c>
      <c r="K588" s="1" t="str">
        <f t="shared" ref="K588:K601" si="145">"قير  PG64-22"</f>
        <v>قير  PG64-22</v>
      </c>
      <c r="L588" s="1">
        <v>100</v>
      </c>
      <c r="M588" s="1" t="str">
        <f t="shared" si="142"/>
        <v>مخازن قير اصفهان</v>
      </c>
      <c r="N588" s="1">
        <v>4060</v>
      </c>
      <c r="O588" s="1">
        <v>50033727</v>
      </c>
      <c r="P588" s="1" t="str">
        <f>"  توس راديه"</f>
        <v xml:space="preserve">  توس راديه</v>
      </c>
      <c r="Q588" s="1">
        <v>16</v>
      </c>
      <c r="R588" s="1" t="str">
        <f>"فروش داخلي تهران - وزارت راه - معاونت اقتصاد"</f>
        <v>فروش داخلي تهران - وزارت راه - معاونت اقتصاد</v>
      </c>
      <c r="S588" s="1" t="str">
        <f t="shared" si="140"/>
        <v>قرارداد فروش</v>
      </c>
      <c r="T588" s="1" t="str">
        <f t="shared" si="141"/>
        <v>ندارد</v>
      </c>
      <c r="U588" s="1" t="str">
        <f>"بابامحمدي عنايت اله(4844000)"</f>
        <v>بابامحمدي عنايت اله(4844000)</v>
      </c>
      <c r="V588" s="1">
        <v>951600091</v>
      </c>
      <c r="W588" s="1">
        <v>951600091</v>
      </c>
      <c r="X588" s="1" t="str">
        <f>"1395464560"</f>
        <v>1395464560</v>
      </c>
      <c r="Y588" s="1" t="str">
        <f>"95/11/25"</f>
        <v>95/11/25</v>
      </c>
      <c r="Z588" s="1" t="str">
        <f>"57808/710"</f>
        <v>57808/710</v>
      </c>
      <c r="AA588" s="1" t="str">
        <f>"معاونت اقتصادوزارت راه وشهرسازي"</f>
        <v>معاونت اقتصادوزارت راه وشهرسازي</v>
      </c>
      <c r="AB588" s="1" t="str">
        <f>"95/11/19"</f>
        <v>95/11/19</v>
      </c>
      <c r="AC588" s="1" t="str">
        <f>"خراسان جنوبي"</f>
        <v>خراسان جنوبي</v>
      </c>
      <c r="AD588" s="1" t="str">
        <f>"95/11/24"</f>
        <v>95/11/24</v>
      </c>
      <c r="AE588" s="1" t="str">
        <f t="shared" si="143"/>
        <v>اختتام</v>
      </c>
      <c r="AF588" s="1" t="str">
        <f>""</f>
        <v/>
      </c>
      <c r="AG588" s="1" t="str">
        <f>""</f>
        <v/>
      </c>
      <c r="AH588" s="1" t="str">
        <f>""</f>
        <v/>
      </c>
      <c r="AI588" s="1" t="str">
        <f>""</f>
        <v/>
      </c>
      <c r="AJ588" s="1" t="str">
        <f>""</f>
        <v/>
      </c>
      <c r="AK588" s="1" t="str">
        <f>""</f>
        <v/>
      </c>
    </row>
    <row r="589" spans="1:37" x14ac:dyDescent="0.2">
      <c r="A589" s="1">
        <v>980460</v>
      </c>
      <c r="B589" s="1">
        <v>951400079</v>
      </c>
      <c r="C589" s="1" t="str">
        <f>"تخليه -سيستان وبلوچستان -زاهدان -شهرك كامبوزيا-كارخانه آسفالت مهام هيرمند"</f>
        <v>تخليه -سيستان وبلوچستان -زاهدان -شهرك كامبوزيا-كارخانه آسفالت مهام هيرمند</v>
      </c>
      <c r="D589" s="1">
        <v>8323</v>
      </c>
      <c r="E589" s="1">
        <v>866120</v>
      </c>
      <c r="F589" s="1">
        <v>95</v>
      </c>
      <c r="G589" s="1">
        <v>114340</v>
      </c>
      <c r="H589" s="1" t="str">
        <f>"95/08/05"</f>
        <v>95/08/05</v>
      </c>
      <c r="I589" s="1" t="str">
        <f t="shared" si="139"/>
        <v>كيلوگرم</v>
      </c>
      <c r="J589" s="1" t="str">
        <f t="shared" si="144"/>
        <v>0000000091</v>
      </c>
      <c r="K589" s="1" t="str">
        <f t="shared" si="145"/>
        <v>قير  PG64-22</v>
      </c>
      <c r="L589" s="1">
        <v>100</v>
      </c>
      <c r="M589" s="1" t="str">
        <f t="shared" si="142"/>
        <v>مخازن قير اصفهان</v>
      </c>
      <c r="N589" s="1">
        <v>4095</v>
      </c>
      <c r="O589" s="1">
        <v>50032274</v>
      </c>
      <c r="P589" s="1" t="str">
        <f>"  اداره كل راه وشهرسازي سيستان وبلوچستان"</f>
        <v xml:space="preserve">  اداره كل راه وشهرسازي سيستان وبلوچستان</v>
      </c>
      <c r="Q589" s="1">
        <v>14</v>
      </c>
      <c r="R589" s="1" t="str">
        <f>"فروش داخلي - وزارت راه - حوزه راه روستايي ساخت"</f>
        <v>فروش داخلي - وزارت راه - حوزه راه روستايي ساخت</v>
      </c>
      <c r="S589" s="1" t="str">
        <f t="shared" si="140"/>
        <v>قرارداد فروش</v>
      </c>
      <c r="T589" s="1" t="str">
        <f t="shared" si="141"/>
        <v>ندارد</v>
      </c>
      <c r="U589" s="1" t="str">
        <f>"ميرحسيني چاپارحقيقت كرمان(4844008)"</f>
        <v>ميرحسيني چاپارحقيقت كرمان(4844008)</v>
      </c>
      <c r="V589" s="1">
        <v>951400079</v>
      </c>
      <c r="W589" s="1">
        <v>951400079</v>
      </c>
      <c r="X589" s="1" t="str">
        <f>"1395411202"</f>
        <v>1395411202</v>
      </c>
      <c r="Y589" s="1" t="str">
        <f>"95/08/05"</f>
        <v>95/08/05</v>
      </c>
      <c r="Z589" s="1" t="str">
        <f>"12458/510"</f>
        <v>12458/510</v>
      </c>
      <c r="AA589" s="1" t="str">
        <f>"راه وروستايي -ساخت"</f>
        <v>راه وروستايي -ساخت</v>
      </c>
      <c r="AB589" s="1" t="str">
        <f>"95/03/26"</f>
        <v>95/03/26</v>
      </c>
      <c r="AC589" s="1" t="str">
        <f>"استان سيستان بلوچستان"</f>
        <v>استان سيستان بلوچستان</v>
      </c>
      <c r="AD589" s="1" t="str">
        <f>"95/04/05"</f>
        <v>95/04/05</v>
      </c>
      <c r="AE589" s="1" t="str">
        <f t="shared" si="143"/>
        <v>اختتام</v>
      </c>
      <c r="AF589" s="1" t="str">
        <f>""</f>
        <v/>
      </c>
      <c r="AG589" s="1" t="str">
        <f>""</f>
        <v/>
      </c>
      <c r="AH589" s="1" t="str">
        <f>""</f>
        <v/>
      </c>
      <c r="AI589" s="1" t="str">
        <f>""</f>
        <v/>
      </c>
      <c r="AJ589" s="1" t="str">
        <f>""</f>
        <v/>
      </c>
      <c r="AK589" s="1" t="str">
        <f>""</f>
        <v/>
      </c>
    </row>
    <row r="590" spans="1:37" x14ac:dyDescent="0.2">
      <c r="A590" s="1">
        <v>215000</v>
      </c>
      <c r="B590" s="1">
        <v>951400162</v>
      </c>
      <c r="C590" s="1" t="str">
        <f>"تخليه -سيستان وبلوچستان -زابل كارخانه آسفالت عطارديان"</f>
        <v>تخليه -سيستان وبلوچستان -زابل كارخانه آسفالت عطارديان</v>
      </c>
      <c r="D590" s="1">
        <v>9354</v>
      </c>
      <c r="E590" s="1">
        <v>215000</v>
      </c>
      <c r="F590" s="1">
        <v>95</v>
      </c>
      <c r="G590" s="1">
        <v>0</v>
      </c>
      <c r="H590" s="1" t="str">
        <f>"95/11/27"</f>
        <v>95/11/27</v>
      </c>
      <c r="I590" s="1" t="str">
        <f t="shared" si="139"/>
        <v>كيلوگرم</v>
      </c>
      <c r="J590" s="1" t="str">
        <f t="shared" si="144"/>
        <v>0000000091</v>
      </c>
      <c r="K590" s="1" t="str">
        <f t="shared" si="145"/>
        <v>قير  PG64-22</v>
      </c>
      <c r="L590" s="1">
        <v>100</v>
      </c>
      <c r="M590" s="1" t="str">
        <f t="shared" si="142"/>
        <v>مخازن قير اصفهان</v>
      </c>
      <c r="N590" s="1">
        <v>4095</v>
      </c>
      <c r="O590" s="1">
        <v>50034292</v>
      </c>
      <c r="P590" s="1" t="str">
        <f>"  اداره كل راه وشهرسازي سيستان وبلوچستان"</f>
        <v xml:space="preserve">  اداره كل راه وشهرسازي سيستان وبلوچستان</v>
      </c>
      <c r="Q590" s="1">
        <v>14</v>
      </c>
      <c r="R590" s="1" t="str">
        <f>"فروش داخلي - وزارت راه - حوزه راه روستايي ساخت"</f>
        <v>فروش داخلي - وزارت راه - حوزه راه روستايي ساخت</v>
      </c>
      <c r="S590" s="1" t="str">
        <f t="shared" si="140"/>
        <v>قرارداد فروش</v>
      </c>
      <c r="T590" s="1" t="str">
        <f t="shared" si="141"/>
        <v>ندارد</v>
      </c>
      <c r="U590" s="1" t="str">
        <f>"ميرحسيني چاپارحقيقت كرمان(4844008)"</f>
        <v>ميرحسيني چاپارحقيقت كرمان(4844008)</v>
      </c>
      <c r="V590" s="1">
        <v>951400162</v>
      </c>
      <c r="W590" s="1">
        <v>951400162</v>
      </c>
      <c r="X590" s="1" t="str">
        <f>"1395464668"</f>
        <v>1395464668</v>
      </c>
      <c r="Y590" s="1" t="str">
        <f>"95/11/26"</f>
        <v>95/11/26</v>
      </c>
      <c r="Z590" s="1" t="str">
        <f>"56336/710"</f>
        <v>56336/710</v>
      </c>
      <c r="AA590" s="1" t="str">
        <f>"راه وروستايي -ساخت"</f>
        <v>راه وروستايي -ساخت</v>
      </c>
      <c r="AB590" s="1" t="str">
        <f>"95/11/12"</f>
        <v>95/11/12</v>
      </c>
      <c r="AC590" s="1" t="str">
        <f>"استان سيستان بلوچستان"</f>
        <v>استان سيستان بلوچستان</v>
      </c>
      <c r="AD590" s="1" t="str">
        <f>"95/11/25"</f>
        <v>95/11/25</v>
      </c>
      <c r="AE590" s="1" t="str">
        <f t="shared" si="143"/>
        <v>اختتام</v>
      </c>
      <c r="AF590" s="1" t="str">
        <f>""</f>
        <v/>
      </c>
      <c r="AG590" s="1" t="str">
        <f>""</f>
        <v/>
      </c>
      <c r="AH590" s="1" t="str">
        <f>""</f>
        <v/>
      </c>
      <c r="AI590" s="1" t="str">
        <f>""</f>
        <v/>
      </c>
      <c r="AJ590" s="1" t="str">
        <f>""</f>
        <v/>
      </c>
      <c r="AK590" s="1" t="str">
        <f>""</f>
        <v/>
      </c>
    </row>
    <row r="591" spans="1:37" x14ac:dyDescent="0.2">
      <c r="A591" s="1">
        <v>187000</v>
      </c>
      <c r="B591" s="1">
        <v>951700005</v>
      </c>
      <c r="C591" s="1" t="str">
        <f>"تخليه -خراسان جنوبي -بيرجند-كارخانه آسفالت شماره 2"</f>
        <v>تخليه -خراسان جنوبي -بيرجند-كارخانه آسفالت شماره 2</v>
      </c>
      <c r="D591" s="1">
        <v>5650</v>
      </c>
      <c r="E591" s="1">
        <v>184980</v>
      </c>
      <c r="F591" s="1">
        <v>95</v>
      </c>
      <c r="G591" s="1">
        <v>2020</v>
      </c>
      <c r="H591" s="1" t="str">
        <f>"95/02/14"</f>
        <v>95/02/14</v>
      </c>
      <c r="I591" s="1" t="str">
        <f t="shared" si="139"/>
        <v>كيلوگرم</v>
      </c>
      <c r="J591" s="1" t="str">
        <f t="shared" si="144"/>
        <v>0000000091</v>
      </c>
      <c r="K591" s="1" t="str">
        <f t="shared" si="145"/>
        <v>قير  PG64-22</v>
      </c>
      <c r="L591" s="1">
        <v>100</v>
      </c>
      <c r="M591" s="1" t="str">
        <f t="shared" si="142"/>
        <v>مخازن قير اصفهان</v>
      </c>
      <c r="N591" s="1">
        <v>4012</v>
      </c>
      <c r="O591" s="1">
        <v>50030735</v>
      </c>
      <c r="P591" s="1" t="str">
        <f t="shared" ref="P591:P601" si="146">"  اداره كل راه و شهرسازي خراسان جنوبي"</f>
        <v xml:space="preserve">  اداره كل راه و شهرسازي خراسان جنوبي</v>
      </c>
      <c r="Q591" s="1">
        <v>17</v>
      </c>
      <c r="R591" s="1" t="str">
        <f>"فروش داخلي تهران - وزارت راه - راه روستايي - روکش"</f>
        <v>فروش داخلي تهران - وزارت راه - راه روستايي - روکش</v>
      </c>
      <c r="S591" s="1" t="str">
        <f t="shared" si="140"/>
        <v>قرارداد فروش</v>
      </c>
      <c r="T591" s="1" t="str">
        <f t="shared" si="141"/>
        <v>ندارد</v>
      </c>
      <c r="U591" s="1" t="str">
        <f>"نگهبان چاپارسبزجاده عليرضا(1043ج 94)"</f>
        <v>نگهبان چاپارسبزجاده عليرضا(1043ج 94)</v>
      </c>
      <c r="V591" s="1">
        <v>951700005</v>
      </c>
      <c r="W591" s="1">
        <v>951700005</v>
      </c>
      <c r="X591" s="1" t="str">
        <f>"1395401944"</f>
        <v>1395401944</v>
      </c>
      <c r="Y591" s="1" t="str">
        <f>"95/02/14"</f>
        <v>95/02/14</v>
      </c>
      <c r="Z591" s="1" t="str">
        <f>"68245/510"</f>
        <v>68245/510</v>
      </c>
      <c r="AA591" s="1" t="str">
        <f>"راه روستائي -روكش"</f>
        <v>راه روستائي -روكش</v>
      </c>
      <c r="AB591" s="1" t="str">
        <f>"94/12/12"</f>
        <v>94/12/12</v>
      </c>
      <c r="AC591" s="1" t="str">
        <f t="shared" ref="AC591:AC601" si="147">"خراسان جنوبي"</f>
        <v>خراسان جنوبي</v>
      </c>
      <c r="AD591" s="1" t="str">
        <f>"95/02/11"</f>
        <v>95/02/11</v>
      </c>
      <c r="AE591" s="1" t="str">
        <f t="shared" si="143"/>
        <v>اختتام</v>
      </c>
      <c r="AF591" s="1" t="str">
        <f>""</f>
        <v/>
      </c>
      <c r="AG591" s="1" t="str">
        <f>""</f>
        <v/>
      </c>
      <c r="AH591" s="1" t="str">
        <f>""</f>
        <v/>
      </c>
      <c r="AI591" s="1" t="str">
        <f>""</f>
        <v/>
      </c>
      <c r="AJ591" s="1" t="str">
        <f>""</f>
        <v/>
      </c>
      <c r="AK591" s="1" t="str">
        <f>""</f>
        <v/>
      </c>
    </row>
    <row r="592" spans="1:37" x14ac:dyDescent="0.2">
      <c r="A592" s="1">
        <v>232000</v>
      </c>
      <c r="B592" s="1">
        <v>951700046</v>
      </c>
      <c r="C592" s="1" t="str">
        <f>"تخليه -خراسان جنوبي -شهرستان طبس -اداره راه وشهرسازي طبس"</f>
        <v>تخليه -خراسان جنوبي -شهرستان طبس -اداره راه وشهرسازي طبس</v>
      </c>
      <c r="D592" s="1">
        <v>6050</v>
      </c>
      <c r="E592" s="1">
        <v>231280</v>
      </c>
      <c r="F592" s="1">
        <v>95</v>
      </c>
      <c r="G592" s="1">
        <v>720</v>
      </c>
      <c r="H592" s="1" t="str">
        <f>"95/03/25"</f>
        <v>95/03/25</v>
      </c>
      <c r="I592" s="1" t="str">
        <f t="shared" si="139"/>
        <v>كيلوگرم</v>
      </c>
      <c r="J592" s="1" t="str">
        <f t="shared" si="144"/>
        <v>0000000091</v>
      </c>
      <c r="K592" s="1" t="str">
        <f t="shared" si="145"/>
        <v>قير  PG64-22</v>
      </c>
      <c r="L592" s="1">
        <v>100</v>
      </c>
      <c r="M592" s="1" t="str">
        <f t="shared" si="142"/>
        <v>مخازن قير اصفهان</v>
      </c>
      <c r="N592" s="1">
        <v>4012</v>
      </c>
      <c r="O592" s="1">
        <v>50031049</v>
      </c>
      <c r="P592" s="1" t="str">
        <f t="shared" si="146"/>
        <v xml:space="preserve">  اداره كل راه و شهرسازي خراسان جنوبي</v>
      </c>
      <c r="Q592" s="1">
        <v>17</v>
      </c>
      <c r="R592" s="1" t="str">
        <f>"فروش داخلي تهران - وزارت راه - راه روستايي - روکش"</f>
        <v>فروش داخلي تهران - وزارت راه - راه روستايي - روکش</v>
      </c>
      <c r="S592" s="1" t="str">
        <f t="shared" si="140"/>
        <v>قرارداد فروش</v>
      </c>
      <c r="T592" s="1" t="str">
        <f t="shared" si="141"/>
        <v>ندارد</v>
      </c>
      <c r="U592" s="1" t="str">
        <f>"قانعي محمدرضا(1011ج89)"</f>
        <v>قانعي محمدرضا(1011ج89)</v>
      </c>
      <c r="V592" s="1">
        <v>951700046</v>
      </c>
      <c r="W592" s="1">
        <v>951700046</v>
      </c>
      <c r="X592" s="1" t="str">
        <f>"1395409195"</f>
        <v>1395409195</v>
      </c>
      <c r="Y592" s="1" t="str">
        <f>"95/03/25"</f>
        <v>95/03/25</v>
      </c>
      <c r="Z592" s="1" t="str">
        <f>"11954/510"</f>
        <v>11954/510</v>
      </c>
      <c r="AA592" s="1" t="str">
        <f>"راه روستائي -روكش"</f>
        <v>راه روستائي -روكش</v>
      </c>
      <c r="AB592" s="1" t="str">
        <f>"95/03/23"</f>
        <v>95/03/23</v>
      </c>
      <c r="AC592" s="1" t="str">
        <f t="shared" si="147"/>
        <v>خراسان جنوبي</v>
      </c>
      <c r="AD592" s="1" t="str">
        <f>"95/03/25"</f>
        <v>95/03/25</v>
      </c>
      <c r="AE592" s="1" t="str">
        <f t="shared" si="143"/>
        <v>اختتام</v>
      </c>
      <c r="AF592" s="1" t="str">
        <f>""</f>
        <v/>
      </c>
      <c r="AG592" s="1" t="str">
        <f>""</f>
        <v/>
      </c>
      <c r="AH592" s="1" t="str">
        <f>""</f>
        <v/>
      </c>
      <c r="AI592" s="1" t="str">
        <f>""</f>
        <v/>
      </c>
      <c r="AJ592" s="1" t="str">
        <f>""</f>
        <v/>
      </c>
      <c r="AK592" s="1" t="str">
        <f>""</f>
        <v/>
      </c>
    </row>
    <row r="593" spans="1:37" x14ac:dyDescent="0.2">
      <c r="A593" s="1">
        <v>237000</v>
      </c>
      <c r="B593" s="1">
        <v>951700086</v>
      </c>
      <c r="C593" s="1" t="str">
        <f>"تخليه- خراسان جنوبي-سرايان-کارخانه شهرداري سرايان"</f>
        <v>تخليه- خراسان جنوبي-سرايان-کارخانه شهرداري سرايان</v>
      </c>
      <c r="D593" s="1">
        <v>6250</v>
      </c>
      <c r="E593" s="1">
        <v>218840</v>
      </c>
      <c r="F593" s="1">
        <v>95</v>
      </c>
      <c r="G593" s="1">
        <v>18160</v>
      </c>
      <c r="H593" s="1" t="str">
        <f>"95/04/19"</f>
        <v>95/04/19</v>
      </c>
      <c r="I593" s="1" t="str">
        <f t="shared" si="139"/>
        <v>كيلوگرم</v>
      </c>
      <c r="J593" s="1" t="str">
        <f t="shared" si="144"/>
        <v>0000000091</v>
      </c>
      <c r="K593" s="1" t="str">
        <f t="shared" si="145"/>
        <v>قير  PG64-22</v>
      </c>
      <c r="L593" s="1">
        <v>100</v>
      </c>
      <c r="M593" s="1" t="str">
        <f t="shared" si="142"/>
        <v>مخازن قير اصفهان</v>
      </c>
      <c r="N593" s="1">
        <v>4012</v>
      </c>
      <c r="O593" s="1">
        <v>50031224</v>
      </c>
      <c r="P593" s="1" t="str">
        <f t="shared" si="146"/>
        <v xml:space="preserve">  اداره كل راه و شهرسازي خراسان جنوبي</v>
      </c>
      <c r="Q593" s="1">
        <v>17</v>
      </c>
      <c r="R593" s="1" t="str">
        <f>"فروش داخلي تهران - وزارت راه - راه روستايي - روکش"</f>
        <v>فروش داخلي تهران - وزارت راه - راه روستايي - روکش</v>
      </c>
      <c r="S593" s="1" t="str">
        <f t="shared" si="140"/>
        <v>قرارداد فروش</v>
      </c>
      <c r="T593" s="1" t="str">
        <f t="shared" si="141"/>
        <v>ندارد</v>
      </c>
      <c r="U593" s="1" t="str">
        <f>"مظفري مرتضي(4844023)"</f>
        <v>مظفري مرتضي(4844023)</v>
      </c>
      <c r="V593" s="1">
        <v>951700086</v>
      </c>
      <c r="W593" s="1">
        <v>951700086</v>
      </c>
      <c r="X593" s="1" t="str">
        <f>"1394391339"</f>
        <v>1394391339</v>
      </c>
      <c r="Y593" s="1" t="str">
        <f>"95/04/19"</f>
        <v>95/04/19</v>
      </c>
      <c r="Z593" s="1" t="str">
        <f>"62592/510"</f>
        <v>62592/510</v>
      </c>
      <c r="AA593" s="1" t="str">
        <f>"راه روستائي -روكش"</f>
        <v>راه روستائي -روكش</v>
      </c>
      <c r="AB593" s="1" t="str">
        <f>"94/11/13"</f>
        <v>94/11/13</v>
      </c>
      <c r="AC593" s="1" t="str">
        <f t="shared" si="147"/>
        <v>خراسان جنوبي</v>
      </c>
      <c r="AD593" s="1" t="str">
        <f>"94/11/17"</f>
        <v>94/11/17</v>
      </c>
      <c r="AE593" s="1" t="str">
        <f t="shared" si="143"/>
        <v>اختتام</v>
      </c>
      <c r="AF593" s="1" t="str">
        <f>""</f>
        <v/>
      </c>
      <c r="AG593" s="1" t="str">
        <f>""</f>
        <v/>
      </c>
      <c r="AH593" s="1" t="str">
        <f>""</f>
        <v/>
      </c>
      <c r="AI593" s="1" t="str">
        <f>""</f>
        <v/>
      </c>
      <c r="AJ593" s="1" t="str">
        <f>""</f>
        <v/>
      </c>
      <c r="AK593" s="1" t="str">
        <f>""</f>
        <v/>
      </c>
    </row>
    <row r="594" spans="1:37" x14ac:dyDescent="0.2">
      <c r="A594" s="1">
        <v>370000</v>
      </c>
      <c r="B594" s="1">
        <v>951700095</v>
      </c>
      <c r="C594" s="1" t="str">
        <f>"تخليه -خراسان جنوبي سرايان اداره كل راه وشهرسازي"</f>
        <v>تخليه -خراسان جنوبي سرايان اداره كل راه وشهرسازي</v>
      </c>
      <c r="D594" s="1">
        <v>6250</v>
      </c>
      <c r="E594" s="1">
        <v>356460</v>
      </c>
      <c r="F594" s="1">
        <v>95</v>
      </c>
      <c r="G594" s="1">
        <v>13540</v>
      </c>
      <c r="H594" s="1" t="str">
        <f>"95/04/19"</f>
        <v>95/04/19</v>
      </c>
      <c r="I594" s="1" t="str">
        <f t="shared" si="139"/>
        <v>كيلوگرم</v>
      </c>
      <c r="J594" s="1" t="str">
        <f t="shared" si="144"/>
        <v>0000000091</v>
      </c>
      <c r="K594" s="1" t="str">
        <f t="shared" si="145"/>
        <v>قير  PG64-22</v>
      </c>
      <c r="L594" s="1">
        <v>100</v>
      </c>
      <c r="M594" s="1" t="str">
        <f t="shared" si="142"/>
        <v>مخازن قير اصفهان</v>
      </c>
      <c r="N594" s="1">
        <v>4012</v>
      </c>
      <c r="O594" s="1">
        <v>50031236</v>
      </c>
      <c r="P594" s="1" t="str">
        <f t="shared" si="146"/>
        <v xml:space="preserve">  اداره كل راه و شهرسازي خراسان جنوبي</v>
      </c>
      <c r="Q594" s="1">
        <v>17</v>
      </c>
      <c r="R594" s="1" t="str">
        <f>"فروش داخلي تهران - وزارت راه - راه روستايي - روکش"</f>
        <v>فروش داخلي تهران - وزارت راه - راه روستايي - روکش</v>
      </c>
      <c r="S594" s="1" t="str">
        <f t="shared" si="140"/>
        <v>قرارداد فروش</v>
      </c>
      <c r="T594" s="1" t="str">
        <f t="shared" si="141"/>
        <v>ندارد</v>
      </c>
      <c r="U594" s="1" t="str">
        <f>"مظفري مرتضي(4844023)"</f>
        <v>مظفري مرتضي(4844023)</v>
      </c>
      <c r="V594" s="1">
        <v>951700095</v>
      </c>
      <c r="W594" s="1">
        <v>951700095</v>
      </c>
      <c r="X594" s="1" t="str">
        <f>"1394391630"</f>
        <v>1394391630</v>
      </c>
      <c r="Y594" s="1" t="str">
        <f>"95/04/19"</f>
        <v>95/04/19</v>
      </c>
      <c r="Z594" s="1" t="str">
        <f>"63794/510"</f>
        <v>63794/510</v>
      </c>
      <c r="AA594" s="1" t="str">
        <f>"راه روستائي -روكش"</f>
        <v>راه روستائي -روكش</v>
      </c>
      <c r="AB594" s="1" t="str">
        <f>"94/11/19"</f>
        <v>94/11/19</v>
      </c>
      <c r="AC594" s="1" t="str">
        <f t="shared" si="147"/>
        <v>خراسان جنوبي</v>
      </c>
      <c r="AD594" s="1" t="str">
        <f>"94/11/20"</f>
        <v>94/11/20</v>
      </c>
      <c r="AE594" s="1" t="str">
        <f t="shared" si="143"/>
        <v>اختتام</v>
      </c>
      <c r="AF594" s="1" t="str">
        <f>""</f>
        <v/>
      </c>
      <c r="AG594" s="1" t="str">
        <f>""</f>
        <v/>
      </c>
      <c r="AH594" s="1" t="str">
        <f>""</f>
        <v/>
      </c>
      <c r="AI594" s="1" t="str">
        <f>""</f>
        <v/>
      </c>
      <c r="AJ594" s="1" t="str">
        <f>""</f>
        <v/>
      </c>
      <c r="AK594" s="1" t="str">
        <f>""</f>
        <v/>
      </c>
    </row>
    <row r="595" spans="1:37" x14ac:dyDescent="0.2">
      <c r="A595" s="1">
        <v>62000</v>
      </c>
      <c r="B595" s="1">
        <v>951700107</v>
      </c>
      <c r="C595" s="1" t="str">
        <f>"تخليه خراسان جنوبي -آرين شهركارخانه آب شن راه"</f>
        <v>تخليه خراسان جنوبي -آرين شهركارخانه آب شن راه</v>
      </c>
      <c r="D595" s="1">
        <v>6250</v>
      </c>
      <c r="E595" s="1">
        <v>61940</v>
      </c>
      <c r="F595" s="1">
        <v>95</v>
      </c>
      <c r="G595" s="1">
        <v>60</v>
      </c>
      <c r="H595" s="1" t="str">
        <f>"95/04/21"</f>
        <v>95/04/21</v>
      </c>
      <c r="I595" s="1" t="str">
        <f t="shared" si="139"/>
        <v>كيلوگرم</v>
      </c>
      <c r="J595" s="1" t="str">
        <f t="shared" si="144"/>
        <v>0000000091</v>
      </c>
      <c r="K595" s="1" t="str">
        <f t="shared" si="145"/>
        <v>قير  PG64-22</v>
      </c>
      <c r="L595" s="1">
        <v>100</v>
      </c>
      <c r="M595" s="1" t="str">
        <f t="shared" si="142"/>
        <v>مخازن قير اصفهان</v>
      </c>
      <c r="N595" s="1">
        <v>4012</v>
      </c>
      <c r="O595" s="1">
        <v>50031265</v>
      </c>
      <c r="P595" s="1" t="str">
        <f t="shared" si="146"/>
        <v xml:space="preserve">  اداره كل راه و شهرسازي خراسان جنوبي</v>
      </c>
      <c r="Q595" s="1">
        <v>17</v>
      </c>
      <c r="R595" s="1" t="str">
        <f>"فروش داخلي تهران - وزارت راه - راه روستايي - روکش"</f>
        <v>فروش داخلي تهران - وزارت راه - راه روستايي - روکش</v>
      </c>
      <c r="S595" s="1" t="str">
        <f t="shared" si="140"/>
        <v>قرارداد فروش</v>
      </c>
      <c r="T595" s="1" t="str">
        <f t="shared" si="141"/>
        <v>ندارد</v>
      </c>
      <c r="U595" s="1" t="str">
        <f>"كاردان اسپادان راه مصطفي  (1911100)"</f>
        <v>كاردان اسپادان راه مصطفي  (1911100)</v>
      </c>
      <c r="V595" s="1">
        <v>951700107</v>
      </c>
      <c r="W595" s="1">
        <v>951700107</v>
      </c>
      <c r="X595" s="1" t="str">
        <f>"1395414109"</f>
        <v>1395414109</v>
      </c>
      <c r="Y595" s="1" t="str">
        <f>"95/04/21"</f>
        <v>95/04/21</v>
      </c>
      <c r="Z595" s="1" t="str">
        <f>"16004/510"</f>
        <v>16004/510</v>
      </c>
      <c r="AA595" s="1" t="str">
        <f>"راه روستائي -روكش"</f>
        <v>راه روستائي -روكش</v>
      </c>
      <c r="AB595" s="1" t="str">
        <f>"95/04/14"</f>
        <v>95/04/14</v>
      </c>
      <c r="AC595" s="1" t="str">
        <f t="shared" si="147"/>
        <v>خراسان جنوبي</v>
      </c>
      <c r="AD595" s="1" t="str">
        <f>"95/04/19"</f>
        <v>95/04/19</v>
      </c>
      <c r="AE595" s="1" t="str">
        <f t="shared" si="143"/>
        <v>اختتام</v>
      </c>
      <c r="AF595" s="1" t="str">
        <f>""</f>
        <v/>
      </c>
      <c r="AG595" s="1" t="str">
        <f>""</f>
        <v/>
      </c>
      <c r="AH595" s="1" t="str">
        <f>""</f>
        <v/>
      </c>
      <c r="AI595" s="1" t="str">
        <f>""</f>
        <v/>
      </c>
      <c r="AJ595" s="1" t="str">
        <f>""</f>
        <v/>
      </c>
      <c r="AK595" s="1" t="str">
        <f>""</f>
        <v/>
      </c>
    </row>
    <row r="596" spans="1:37" x14ac:dyDescent="0.2">
      <c r="A596" s="1">
        <v>1000000</v>
      </c>
      <c r="B596" s="1">
        <v>951900136</v>
      </c>
      <c r="C596" s="1" t="str">
        <f>"تخليه -بيرجند-ادراه كل راه وشهرسازي خراسان جنوبي"</f>
        <v>تخليه -بيرجند-ادراه كل راه وشهرسازي خراسان جنوبي</v>
      </c>
      <c r="D596" s="1">
        <v>7176</v>
      </c>
      <c r="E596" s="1">
        <v>999400</v>
      </c>
      <c r="F596" s="1">
        <v>95</v>
      </c>
      <c r="G596" s="1">
        <v>600</v>
      </c>
      <c r="H596" s="1" t="str">
        <f>"95/06/07"</f>
        <v>95/06/07</v>
      </c>
      <c r="I596" s="1" t="str">
        <f t="shared" si="139"/>
        <v>كيلوگرم</v>
      </c>
      <c r="J596" s="1" t="str">
        <f t="shared" si="144"/>
        <v>0000000091</v>
      </c>
      <c r="K596" s="1" t="str">
        <f t="shared" si="145"/>
        <v>قير  PG64-22</v>
      </c>
      <c r="L596" s="1">
        <v>100</v>
      </c>
      <c r="M596" s="1" t="str">
        <f t="shared" si="142"/>
        <v>مخازن قير اصفهان</v>
      </c>
      <c r="N596" s="1">
        <v>4012</v>
      </c>
      <c r="O596" s="1">
        <v>50031666</v>
      </c>
      <c r="P596" s="1" t="str">
        <f t="shared" si="146"/>
        <v xml:space="preserve">  اداره كل راه و شهرسازي خراسان جنوبي</v>
      </c>
      <c r="Q596" s="1">
        <v>19</v>
      </c>
      <c r="R59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96" s="1" t="str">
        <f t="shared" si="140"/>
        <v>قرارداد فروش</v>
      </c>
      <c r="T596" s="1" t="str">
        <f t="shared" si="141"/>
        <v>ندارد</v>
      </c>
      <c r="U596" s="1" t="str">
        <f>"بابامحمدي عنايت اله(4844000)"</f>
        <v>بابامحمدي عنايت اله(4844000)</v>
      </c>
      <c r="V596" s="1">
        <v>951900136</v>
      </c>
      <c r="W596" s="1">
        <v>951900136</v>
      </c>
      <c r="X596" s="1" t="str">
        <f>"1395426943"</f>
        <v>1395426943</v>
      </c>
      <c r="Y596" s="1" t="str">
        <f>"95/06/07"</f>
        <v>95/06/07</v>
      </c>
      <c r="Z596" s="1" t="str">
        <f>"23588/510"</f>
        <v>23588/510</v>
      </c>
      <c r="AA596" s="1" t="str">
        <f>"سازمان راهداري وحمل نقل جاده اي"</f>
        <v>سازمان راهداري وحمل نقل جاده اي</v>
      </c>
      <c r="AB596" s="1" t="str">
        <f>"95/05/25"</f>
        <v>95/05/25</v>
      </c>
      <c r="AC596" s="1" t="str">
        <f t="shared" si="147"/>
        <v>خراسان جنوبي</v>
      </c>
      <c r="AD596" s="1" t="str">
        <f>"95/06/06"</f>
        <v>95/06/06</v>
      </c>
      <c r="AE596" s="1" t="str">
        <f t="shared" si="143"/>
        <v>اختتام</v>
      </c>
      <c r="AF596" s="1" t="str">
        <f>""</f>
        <v/>
      </c>
      <c r="AG596" s="1" t="str">
        <f>""</f>
        <v/>
      </c>
      <c r="AH596" s="1" t="str">
        <f>""</f>
        <v/>
      </c>
      <c r="AI596" s="1" t="str">
        <f>""</f>
        <v/>
      </c>
      <c r="AJ596" s="1" t="str">
        <f>""</f>
        <v/>
      </c>
      <c r="AK596" s="1" t="str">
        <f>""</f>
        <v/>
      </c>
    </row>
    <row r="597" spans="1:37" x14ac:dyDescent="0.2">
      <c r="A597" s="1">
        <v>1000000</v>
      </c>
      <c r="B597" s="1">
        <v>951900137</v>
      </c>
      <c r="C597" s="1" t="str">
        <f>"تخليه -خراسان جنوبي -شهرستان طبس -اداره راه وشهرسازي طبس"</f>
        <v>تخليه -خراسان جنوبي -شهرستان طبس -اداره راه وشهرسازي طبس</v>
      </c>
      <c r="D597" s="1">
        <v>7176</v>
      </c>
      <c r="E597" s="1">
        <v>438780</v>
      </c>
      <c r="F597" s="1">
        <v>95</v>
      </c>
      <c r="G597" s="1">
        <v>561220</v>
      </c>
      <c r="H597" s="1" t="str">
        <f>"95/06/07"</f>
        <v>95/06/07</v>
      </c>
      <c r="I597" s="1" t="str">
        <f t="shared" si="139"/>
        <v>كيلوگرم</v>
      </c>
      <c r="J597" s="1" t="str">
        <f t="shared" si="144"/>
        <v>0000000091</v>
      </c>
      <c r="K597" s="1" t="str">
        <f t="shared" si="145"/>
        <v>قير  PG64-22</v>
      </c>
      <c r="L597" s="1">
        <v>100</v>
      </c>
      <c r="M597" s="1" t="str">
        <f t="shared" si="142"/>
        <v>مخازن قير اصفهان</v>
      </c>
      <c r="N597" s="1">
        <v>4012</v>
      </c>
      <c r="O597" s="1">
        <v>50031667</v>
      </c>
      <c r="P597" s="1" t="str">
        <f t="shared" si="146"/>
        <v xml:space="preserve">  اداره كل راه و شهرسازي خراسان جنوبي</v>
      </c>
      <c r="Q597" s="1">
        <v>19</v>
      </c>
      <c r="R59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597" s="1" t="str">
        <f t="shared" si="140"/>
        <v>قرارداد فروش</v>
      </c>
      <c r="T597" s="1" t="str">
        <f t="shared" si="141"/>
        <v>ندارد</v>
      </c>
      <c r="U597" s="1" t="str">
        <f>"بابامحمدي عنايت اله(4844000)"</f>
        <v>بابامحمدي عنايت اله(4844000)</v>
      </c>
      <c r="V597" s="1">
        <v>951900137</v>
      </c>
      <c r="W597" s="1">
        <v>951900137</v>
      </c>
      <c r="X597" s="1" t="str">
        <f>"1395426943"</f>
        <v>1395426943</v>
      </c>
      <c r="Y597" s="1" t="str">
        <f>"95/06/07"</f>
        <v>95/06/07</v>
      </c>
      <c r="Z597" s="1" t="str">
        <f>"23544/510"</f>
        <v>23544/510</v>
      </c>
      <c r="AA597" s="1" t="str">
        <f>"سازمان راهداري وحمل نقل جاده اي"</f>
        <v>سازمان راهداري وحمل نقل جاده اي</v>
      </c>
      <c r="AB597" s="1" t="str">
        <f>"95/05/24"</f>
        <v>95/05/24</v>
      </c>
      <c r="AC597" s="1" t="str">
        <f t="shared" si="147"/>
        <v>خراسان جنوبي</v>
      </c>
      <c r="AD597" s="1" t="str">
        <f>"95/06/06"</f>
        <v>95/06/06</v>
      </c>
      <c r="AE597" s="1" t="str">
        <f t="shared" si="143"/>
        <v>اختتام</v>
      </c>
      <c r="AF597" s="1" t="str">
        <f>""</f>
        <v/>
      </c>
      <c r="AG597" s="1" t="str">
        <f>""</f>
        <v/>
      </c>
      <c r="AH597" s="1" t="str">
        <f>""</f>
        <v/>
      </c>
      <c r="AI597" s="1" t="str">
        <f>""</f>
        <v/>
      </c>
      <c r="AJ597" s="1" t="str">
        <f>""</f>
        <v/>
      </c>
      <c r="AK597" s="1" t="str">
        <f>""</f>
        <v/>
      </c>
    </row>
    <row r="598" spans="1:37" x14ac:dyDescent="0.2">
      <c r="A598" s="1">
        <v>114000</v>
      </c>
      <c r="B598" s="1">
        <v>951700231</v>
      </c>
      <c r="C598" s="1" t="str">
        <f>"تخليه -خراسان جنوبي بيرجندكارخانه محوربيرجند-خوسف"</f>
        <v>تخليه -خراسان جنوبي بيرجندكارخانه محوربيرجند-خوسف</v>
      </c>
      <c r="D598" s="1">
        <v>7276</v>
      </c>
      <c r="E598" s="1">
        <v>68860</v>
      </c>
      <c r="F598" s="1">
        <v>95</v>
      </c>
      <c r="G598" s="1">
        <v>45140</v>
      </c>
      <c r="H598" s="1" t="str">
        <f>"95/07/13"</f>
        <v>95/07/13</v>
      </c>
      <c r="I598" s="1" t="str">
        <f t="shared" si="139"/>
        <v>كيلوگرم</v>
      </c>
      <c r="J598" s="1" t="str">
        <f t="shared" si="144"/>
        <v>0000000091</v>
      </c>
      <c r="K598" s="1" t="str">
        <f t="shared" si="145"/>
        <v>قير  PG64-22</v>
      </c>
      <c r="L598" s="1">
        <v>100</v>
      </c>
      <c r="M598" s="1" t="str">
        <f t="shared" si="142"/>
        <v>مخازن قير اصفهان</v>
      </c>
      <c r="N598" s="1">
        <v>4012</v>
      </c>
      <c r="O598" s="1">
        <v>50032080</v>
      </c>
      <c r="P598" s="1" t="str">
        <f t="shared" si="146"/>
        <v xml:space="preserve">  اداره كل راه و شهرسازي خراسان جنوبي</v>
      </c>
      <c r="Q598" s="1">
        <v>17</v>
      </c>
      <c r="R598" s="1" t="str">
        <f>"فروش داخلي تهران - وزارت راه - راه روستايي - روکش"</f>
        <v>فروش داخلي تهران - وزارت راه - راه روستايي - روکش</v>
      </c>
      <c r="S598" s="1" t="str">
        <f t="shared" si="140"/>
        <v>قرارداد فروش</v>
      </c>
      <c r="T598" s="1" t="str">
        <f t="shared" si="141"/>
        <v>ندارد</v>
      </c>
      <c r="U598" s="1" t="str">
        <f>"كاردان اسپادان راه مصطفي  (1911100)"</f>
        <v>كاردان اسپادان راه مصطفي  (1911100)</v>
      </c>
      <c r="V598" s="1">
        <v>951700231</v>
      </c>
      <c r="W598" s="1">
        <v>951700231</v>
      </c>
      <c r="X598" s="1" t="str">
        <f>"1395435599"</f>
        <v>1395435599</v>
      </c>
      <c r="Y598" s="1" t="str">
        <f>"95/07/13"</f>
        <v>95/07/13</v>
      </c>
      <c r="Z598" s="1" t="str">
        <f>"32933/510"</f>
        <v>32933/510</v>
      </c>
      <c r="AA598" s="1" t="str">
        <f>"راه روستائي -روكش"</f>
        <v>راه روستائي -روكش</v>
      </c>
      <c r="AB598" s="1" t="str">
        <f>"95/07/11"</f>
        <v>95/07/11</v>
      </c>
      <c r="AC598" s="1" t="str">
        <f t="shared" si="147"/>
        <v>خراسان جنوبي</v>
      </c>
      <c r="AD598" s="1" t="str">
        <f>"95/07/13"</f>
        <v>95/07/13</v>
      </c>
      <c r="AE598" s="1" t="str">
        <f t="shared" si="143"/>
        <v>اختتام</v>
      </c>
      <c r="AF598" s="1" t="str">
        <f>""</f>
        <v/>
      </c>
      <c r="AG598" s="1" t="str">
        <f>""</f>
        <v/>
      </c>
      <c r="AH598" s="1" t="str">
        <f>""</f>
        <v/>
      </c>
      <c r="AI598" s="1" t="str">
        <f>""</f>
        <v/>
      </c>
      <c r="AJ598" s="1" t="str">
        <f>""</f>
        <v/>
      </c>
      <c r="AK598" s="1" t="str">
        <f>""</f>
        <v/>
      </c>
    </row>
    <row r="599" spans="1:37" x14ac:dyDescent="0.2">
      <c r="A599" s="1">
        <v>75860</v>
      </c>
      <c r="B599" s="1">
        <v>951700261</v>
      </c>
      <c r="C599" s="1" t="str">
        <f>"تخليه خراسان جنوبي -بيرجندكارخانه فدشك"</f>
        <v>تخليه خراسان جنوبي -بيرجندكارخانه فدشك</v>
      </c>
      <c r="D599" s="1">
        <v>8323</v>
      </c>
      <c r="E599" s="1">
        <v>75000</v>
      </c>
      <c r="F599" s="1">
        <v>95</v>
      </c>
      <c r="G599" s="1">
        <v>860</v>
      </c>
      <c r="H599" s="1" t="str">
        <f>"95/08/08"</f>
        <v>95/08/08</v>
      </c>
      <c r="I599" s="1" t="str">
        <f t="shared" si="139"/>
        <v>كيلوگرم</v>
      </c>
      <c r="J599" s="1" t="str">
        <f t="shared" si="144"/>
        <v>0000000091</v>
      </c>
      <c r="K599" s="1" t="str">
        <f t="shared" si="145"/>
        <v>قير  PG64-22</v>
      </c>
      <c r="L599" s="1">
        <v>100</v>
      </c>
      <c r="M599" s="1" t="str">
        <f t="shared" si="142"/>
        <v>مخازن قير اصفهان</v>
      </c>
      <c r="N599" s="1">
        <v>4012</v>
      </c>
      <c r="O599" s="1">
        <v>50032386</v>
      </c>
      <c r="P599" s="1" t="str">
        <f t="shared" si="146"/>
        <v xml:space="preserve">  اداره كل راه و شهرسازي خراسان جنوبي</v>
      </c>
      <c r="Q599" s="1">
        <v>17</v>
      </c>
      <c r="R599" s="1" t="str">
        <f>"فروش داخلي تهران - وزارت راه - راه روستايي - روکش"</f>
        <v>فروش داخلي تهران - وزارت راه - راه روستايي - روکش</v>
      </c>
      <c r="S599" s="1" t="str">
        <f t="shared" si="140"/>
        <v>قرارداد فروش</v>
      </c>
      <c r="T599" s="1" t="str">
        <f t="shared" si="141"/>
        <v>ندارد</v>
      </c>
      <c r="U599" s="1" t="str">
        <f>"شهبازي محمدرضا(1029ج89)"</f>
        <v>شهبازي محمدرضا(1029ج89)</v>
      </c>
      <c r="V599" s="1">
        <v>951700261</v>
      </c>
      <c r="W599" s="1">
        <v>951700261</v>
      </c>
      <c r="X599" s="1" t="str">
        <f>"1395435599"</f>
        <v>1395435599</v>
      </c>
      <c r="Y599" s="1" t="str">
        <f>"95/08/08"</f>
        <v>95/08/08</v>
      </c>
      <c r="Z599" s="1" t="str">
        <f>"32933/510"</f>
        <v>32933/510</v>
      </c>
      <c r="AA599" s="1" t="str">
        <f>"راه روستائي -روكش"</f>
        <v>راه روستائي -روكش</v>
      </c>
      <c r="AB599" s="1" t="str">
        <f>"95/07/11"</f>
        <v>95/07/11</v>
      </c>
      <c r="AC599" s="1" t="str">
        <f t="shared" si="147"/>
        <v>خراسان جنوبي</v>
      </c>
      <c r="AD599" s="1" t="str">
        <f>"95/07/13"</f>
        <v>95/07/13</v>
      </c>
      <c r="AE599" s="1" t="str">
        <f t="shared" si="143"/>
        <v>اختتام</v>
      </c>
      <c r="AF599" s="1" t="str">
        <f>""</f>
        <v/>
      </c>
      <c r="AG599" s="1" t="str">
        <f>""</f>
        <v/>
      </c>
      <c r="AH599" s="1" t="str">
        <f>""</f>
        <v/>
      </c>
      <c r="AI599" s="1" t="str">
        <f>""</f>
        <v/>
      </c>
      <c r="AJ599" s="1" t="str">
        <f>""</f>
        <v/>
      </c>
      <c r="AK599" s="1" t="str">
        <f>""</f>
        <v/>
      </c>
    </row>
    <row r="600" spans="1:37" x14ac:dyDescent="0.2">
      <c r="A600" s="1">
        <v>21760</v>
      </c>
      <c r="B600" s="1">
        <v>951700260</v>
      </c>
      <c r="C600" s="1" t="str">
        <f>"تخليه خراسان جنوبي بيرجندكارخانه قاين خضري"</f>
        <v>تخليه خراسان جنوبي بيرجندكارخانه قاين خضري</v>
      </c>
      <c r="D600" s="1">
        <v>8323</v>
      </c>
      <c r="E600" s="1">
        <v>20580</v>
      </c>
      <c r="F600" s="1">
        <v>95</v>
      </c>
      <c r="G600" s="1">
        <v>1180</v>
      </c>
      <c r="H600" s="1" t="str">
        <f>"95/08/08"</f>
        <v>95/08/08</v>
      </c>
      <c r="I600" s="1" t="str">
        <f t="shared" si="139"/>
        <v>كيلوگرم</v>
      </c>
      <c r="J600" s="1" t="str">
        <f t="shared" si="144"/>
        <v>0000000091</v>
      </c>
      <c r="K600" s="1" t="str">
        <f t="shared" si="145"/>
        <v>قير  PG64-22</v>
      </c>
      <c r="L600" s="1">
        <v>100</v>
      </c>
      <c r="M600" s="1" t="str">
        <f t="shared" si="142"/>
        <v>مخازن قير اصفهان</v>
      </c>
      <c r="N600" s="1">
        <v>4012</v>
      </c>
      <c r="O600" s="1">
        <v>50032387</v>
      </c>
      <c r="P600" s="1" t="str">
        <f t="shared" si="146"/>
        <v xml:space="preserve">  اداره كل راه و شهرسازي خراسان جنوبي</v>
      </c>
      <c r="Q600" s="1">
        <v>17</v>
      </c>
      <c r="R600" s="1" t="str">
        <f>"فروش داخلي تهران - وزارت راه - راه روستايي - روکش"</f>
        <v>فروش داخلي تهران - وزارت راه - راه روستايي - روکش</v>
      </c>
      <c r="S600" s="1" t="str">
        <f t="shared" si="140"/>
        <v>قرارداد فروش</v>
      </c>
      <c r="T600" s="1" t="str">
        <f t="shared" si="141"/>
        <v>ندارد</v>
      </c>
      <c r="U600" s="1" t="str">
        <f>"كاردان اسپادان راه مصطفي  (1911100)"</f>
        <v>كاردان اسپادان راه مصطفي  (1911100)</v>
      </c>
      <c r="V600" s="1">
        <v>951700260</v>
      </c>
      <c r="W600" s="1">
        <v>951700260</v>
      </c>
      <c r="X600" s="1" t="str">
        <f>"1395435599"</f>
        <v>1395435599</v>
      </c>
      <c r="Y600" s="1" t="str">
        <f>"95/08/08"</f>
        <v>95/08/08</v>
      </c>
      <c r="Z600" s="1" t="str">
        <f>"32933/510"</f>
        <v>32933/510</v>
      </c>
      <c r="AA600" s="1" t="str">
        <f>"راه روستائي -روكش"</f>
        <v>راه روستائي -روكش</v>
      </c>
      <c r="AB600" s="1" t="str">
        <f>"95/07/11"</f>
        <v>95/07/11</v>
      </c>
      <c r="AC600" s="1" t="str">
        <f t="shared" si="147"/>
        <v>خراسان جنوبي</v>
      </c>
      <c r="AD600" s="1" t="str">
        <f>"95/07/13"</f>
        <v>95/07/13</v>
      </c>
      <c r="AE600" s="1" t="str">
        <f t="shared" si="143"/>
        <v>اختتام</v>
      </c>
      <c r="AF600" s="1" t="str">
        <f>""</f>
        <v/>
      </c>
      <c r="AG600" s="1" t="str">
        <f>""</f>
        <v/>
      </c>
      <c r="AH600" s="1" t="str">
        <f>""</f>
        <v/>
      </c>
      <c r="AI600" s="1" t="str">
        <f>""</f>
        <v/>
      </c>
      <c r="AJ600" s="1" t="str">
        <f>""</f>
        <v/>
      </c>
      <c r="AK600" s="1" t="str">
        <f>""</f>
        <v/>
      </c>
    </row>
    <row r="601" spans="1:37" x14ac:dyDescent="0.2">
      <c r="A601" s="1">
        <v>35000</v>
      </c>
      <c r="B601" s="1">
        <v>951700343</v>
      </c>
      <c r="C601" s="1" t="str">
        <f>"تخليه -خراسان جنوبي -كارخانه آسفالت راه وشهرسازي خراسان جنوبي"</f>
        <v>تخليه -خراسان جنوبي -كارخانه آسفالت راه وشهرسازي خراسان جنوبي</v>
      </c>
      <c r="D601" s="1">
        <v>8854</v>
      </c>
      <c r="E601" s="1">
        <v>34840</v>
      </c>
      <c r="F601" s="1">
        <v>95</v>
      </c>
      <c r="G601" s="1">
        <v>160</v>
      </c>
      <c r="H601" s="1" t="str">
        <f>"95/12/07"</f>
        <v>95/12/07</v>
      </c>
      <c r="I601" s="1" t="str">
        <f t="shared" si="139"/>
        <v>كيلوگرم</v>
      </c>
      <c r="J601" s="1" t="str">
        <f t="shared" si="144"/>
        <v>0000000091</v>
      </c>
      <c r="K601" s="1" t="str">
        <f t="shared" si="145"/>
        <v>قير  PG64-22</v>
      </c>
      <c r="L601" s="1">
        <v>100</v>
      </c>
      <c r="M601" s="1" t="str">
        <f t="shared" si="142"/>
        <v>مخازن قير اصفهان</v>
      </c>
      <c r="N601" s="1">
        <v>4012</v>
      </c>
      <c r="O601" s="1">
        <v>50034956</v>
      </c>
      <c r="P601" s="1" t="str">
        <f t="shared" si="146"/>
        <v xml:space="preserve">  اداره كل راه و شهرسازي خراسان جنوبي</v>
      </c>
      <c r="Q601" s="1">
        <v>17</v>
      </c>
      <c r="R601" s="1" t="str">
        <f>"فروش داخلي تهران - وزارت راه - راه روستايي - روکش"</f>
        <v>فروش داخلي تهران - وزارت راه - راه روستايي - روکش</v>
      </c>
      <c r="S601" s="1" t="str">
        <f t="shared" si="140"/>
        <v>قرارداد فروش</v>
      </c>
      <c r="T601" s="1" t="str">
        <f t="shared" si="141"/>
        <v>ندارد</v>
      </c>
      <c r="U601" s="1" t="str">
        <f>"شيخي خيراله (1841012)"</f>
        <v>شيخي خيراله (1841012)</v>
      </c>
      <c r="V601" s="1">
        <v>951700343</v>
      </c>
      <c r="W601" s="1">
        <v>951700343</v>
      </c>
      <c r="X601" s="1" t="str">
        <f>"1395467559"</f>
        <v>1395467559</v>
      </c>
      <c r="Y601" s="1" t="str">
        <f>"95/12/07"</f>
        <v>95/12/07</v>
      </c>
      <c r="Z601" s="1" t="str">
        <f>"60548/710"</f>
        <v>60548/710</v>
      </c>
      <c r="AA601" s="1" t="str">
        <f>"راه روستائي -روكش"</f>
        <v>راه روستائي -روكش</v>
      </c>
      <c r="AB601" s="1" t="str">
        <f>"95/12/02"</f>
        <v>95/12/02</v>
      </c>
      <c r="AC601" s="1" t="str">
        <f t="shared" si="147"/>
        <v>خراسان جنوبي</v>
      </c>
      <c r="AD601" s="1" t="str">
        <f>""</f>
        <v/>
      </c>
      <c r="AE601" s="1" t="str">
        <f t="shared" si="143"/>
        <v>اختتام</v>
      </c>
      <c r="AF601" s="1" t="str">
        <f>""</f>
        <v/>
      </c>
      <c r="AG601" s="1" t="str">
        <f>""</f>
        <v/>
      </c>
      <c r="AH601" s="1" t="str">
        <f>""</f>
        <v/>
      </c>
      <c r="AI601" s="1" t="str">
        <f>""</f>
        <v/>
      </c>
      <c r="AJ601" s="1" t="str">
        <f>""</f>
        <v/>
      </c>
      <c r="AK601" s="1" t="str">
        <f>""</f>
        <v/>
      </c>
    </row>
    <row r="602" spans="1:37" x14ac:dyDescent="0.2">
      <c r="A602" s="1">
        <v>240000</v>
      </c>
      <c r="B602" s="1">
        <v>956100015</v>
      </c>
      <c r="C602" s="1" t="str">
        <f>"تخليه كردستان كيلومتر5جاده تكاب شهرداري بيجار"</f>
        <v>تخليه كردستان كيلومتر5جاده تكاب شهرداري بيجار</v>
      </c>
      <c r="D602" s="1">
        <v>7276</v>
      </c>
      <c r="E602" s="1">
        <v>238860</v>
      </c>
      <c r="F602" s="1">
        <v>95</v>
      </c>
      <c r="G602" s="1">
        <v>1140</v>
      </c>
      <c r="H602" s="1" t="str">
        <f>"95/07/04"</f>
        <v>95/07/04</v>
      </c>
      <c r="I602" s="1" t="str">
        <f t="shared" si="139"/>
        <v>كيلوگرم</v>
      </c>
      <c r="J602" s="1" t="str">
        <f>"0000000088"</f>
        <v>0000000088</v>
      </c>
      <c r="K602" s="1" t="str">
        <f>"قير  PG58-22"</f>
        <v>قير  PG58-22</v>
      </c>
      <c r="L602" s="1">
        <v>100</v>
      </c>
      <c r="M602" s="1" t="str">
        <f t="shared" si="142"/>
        <v>مخازن قير اصفهان</v>
      </c>
      <c r="N602" s="1">
        <v>10406</v>
      </c>
      <c r="O602" s="1">
        <v>50031928</v>
      </c>
      <c r="P602" s="1" t="str">
        <f>"  اداره كل راه وشهرسازي كردستان"</f>
        <v xml:space="preserve">  اداره كل راه وشهرسازي كردستان</v>
      </c>
      <c r="Q602" s="1">
        <v>61</v>
      </c>
      <c r="R602" s="1" t="str">
        <f>"فروش داخلي - وزارت راه - مسكن مهر"</f>
        <v>فروش داخلي - وزارت راه - مسكن مهر</v>
      </c>
      <c r="S602" s="1" t="str">
        <f t="shared" si="140"/>
        <v>قرارداد فروش</v>
      </c>
      <c r="T602" s="1" t="str">
        <f t="shared" si="141"/>
        <v>ندارد</v>
      </c>
      <c r="U602" s="1" t="str">
        <f>"ميهن دوست عبداله(2842010)"</f>
        <v>ميهن دوست عبداله(2842010)</v>
      </c>
      <c r="V602" s="1">
        <v>956100015</v>
      </c>
      <c r="W602" s="1">
        <v>956100015</v>
      </c>
      <c r="X602" s="1" t="str">
        <f>"1395433649"</f>
        <v>1395433649</v>
      </c>
      <c r="Y602" s="1" t="str">
        <f>"95/07/04"</f>
        <v>95/07/04</v>
      </c>
      <c r="Z602" s="1" t="str">
        <f>"31188/510"</f>
        <v>31188/510</v>
      </c>
      <c r="AA602" s="1" t="str">
        <f>"مسكن مهر-وزارت راه"</f>
        <v>مسكن مهر-وزارت راه</v>
      </c>
      <c r="AB602" s="1" t="str">
        <f>"95/06/31"</f>
        <v>95/06/31</v>
      </c>
      <c r="AC602" s="1" t="str">
        <f>"استان كردستان"</f>
        <v>استان كردستان</v>
      </c>
      <c r="AD602" s="1" t="str">
        <f>"95/07/04"</f>
        <v>95/07/04</v>
      </c>
      <c r="AE602" s="1" t="str">
        <f t="shared" si="143"/>
        <v>اختتام</v>
      </c>
      <c r="AF602" s="1" t="str">
        <f>""</f>
        <v/>
      </c>
      <c r="AG602" s="1" t="str">
        <f>""</f>
        <v/>
      </c>
      <c r="AH602" s="1" t="str">
        <f>""</f>
        <v/>
      </c>
      <c r="AI602" s="1" t="str">
        <f>""</f>
        <v/>
      </c>
      <c r="AJ602" s="1" t="str">
        <f>""</f>
        <v/>
      </c>
      <c r="AK602" s="1" t="str">
        <f>""</f>
        <v/>
      </c>
    </row>
    <row r="603" spans="1:37" x14ac:dyDescent="0.2">
      <c r="A603" s="1">
        <v>15680</v>
      </c>
      <c r="B603" s="1">
        <v>956100021</v>
      </c>
      <c r="C603" s="1" t="str">
        <f>"تخليه كردستان كيلومتر12جاده سقزديواندره كارخانه شهرداري سقز"</f>
        <v>تخليه كردستان كيلومتر12جاده سقزديواندره كارخانه شهرداري سقز</v>
      </c>
      <c r="D603" s="1">
        <v>8323</v>
      </c>
      <c r="E603" s="1">
        <v>14720</v>
      </c>
      <c r="F603" s="1">
        <v>95</v>
      </c>
      <c r="G603" s="1">
        <v>960</v>
      </c>
      <c r="H603" s="1" t="str">
        <f>"95/08/08"</f>
        <v>95/08/08</v>
      </c>
      <c r="I603" s="1" t="str">
        <f t="shared" si="139"/>
        <v>كيلوگرم</v>
      </c>
      <c r="J603" s="1" t="str">
        <f>"0000000088"</f>
        <v>0000000088</v>
      </c>
      <c r="K603" s="1" t="str">
        <f>"قير  PG58-22"</f>
        <v>قير  PG58-22</v>
      </c>
      <c r="L603" s="1">
        <v>100</v>
      </c>
      <c r="M603" s="1" t="str">
        <f t="shared" si="142"/>
        <v>مخازن قير اصفهان</v>
      </c>
      <c r="N603" s="1">
        <v>10406</v>
      </c>
      <c r="O603" s="1">
        <v>50032342</v>
      </c>
      <c r="P603" s="1" t="str">
        <f>"  اداره كل راه وشهرسازي كردستان"</f>
        <v xml:space="preserve">  اداره كل راه وشهرسازي كردستان</v>
      </c>
      <c r="Q603" s="1">
        <v>61</v>
      </c>
      <c r="R603" s="1" t="str">
        <f>"فروش داخلي - وزارت راه - مسكن مهر"</f>
        <v>فروش داخلي - وزارت راه - مسكن مهر</v>
      </c>
      <c r="S603" s="1" t="str">
        <f t="shared" si="140"/>
        <v>قرارداد فروش</v>
      </c>
      <c r="T603" s="1" t="str">
        <f t="shared" si="141"/>
        <v>ندارد</v>
      </c>
      <c r="U603" s="1" t="str">
        <f>"ميهن دوست عبداله(2842010)"</f>
        <v>ميهن دوست عبداله(2842010)</v>
      </c>
      <c r="V603" s="1">
        <v>956100021</v>
      </c>
      <c r="W603" s="1">
        <v>956100021</v>
      </c>
      <c r="X603" s="1" t="str">
        <f>"1395433649"</f>
        <v>1395433649</v>
      </c>
      <c r="Y603" s="1" t="str">
        <f>"95/08/08"</f>
        <v>95/08/08</v>
      </c>
      <c r="Z603" s="1" t="str">
        <f>"31188/510"</f>
        <v>31188/510</v>
      </c>
      <c r="AA603" s="1" t="str">
        <f>"مسكن مهر-وزارت راه"</f>
        <v>مسكن مهر-وزارت راه</v>
      </c>
      <c r="AB603" s="1" t="str">
        <f>"95/06/31"</f>
        <v>95/06/31</v>
      </c>
      <c r="AC603" s="1" t="str">
        <f>"استان كردستان"</f>
        <v>استان كردستان</v>
      </c>
      <c r="AD603" s="1" t="str">
        <f>"95/07/04"</f>
        <v>95/07/04</v>
      </c>
      <c r="AE603" s="1" t="str">
        <f t="shared" si="143"/>
        <v>اختتام</v>
      </c>
      <c r="AF603" s="1" t="str">
        <f>""</f>
        <v/>
      </c>
      <c r="AG603" s="1" t="str">
        <f>""</f>
        <v/>
      </c>
      <c r="AH603" s="1" t="str">
        <f>""</f>
        <v/>
      </c>
      <c r="AI603" s="1" t="str">
        <f>""</f>
        <v/>
      </c>
      <c r="AJ603" s="1" t="str">
        <f>""</f>
        <v/>
      </c>
      <c r="AK603" s="1" t="str">
        <f>""</f>
        <v/>
      </c>
    </row>
    <row r="604" spans="1:37" x14ac:dyDescent="0.2">
      <c r="A604" s="1">
        <v>70000</v>
      </c>
      <c r="B604" s="1">
        <v>956100010</v>
      </c>
      <c r="C604" s="1" t="str">
        <f>"تخليه -كردستان مريوان كارخانه آسفالت شركت"</f>
        <v>تخليه -كردستان مريوان كارخانه آسفالت شركت</v>
      </c>
      <c r="D604" s="1">
        <v>7176</v>
      </c>
      <c r="E604" s="1">
        <v>69060</v>
      </c>
      <c r="F604" s="1">
        <v>95</v>
      </c>
      <c r="G604" s="1">
        <v>940</v>
      </c>
      <c r="H604" s="1" t="str">
        <f>"95/06/15"</f>
        <v>95/06/15</v>
      </c>
      <c r="I604" s="1" t="str">
        <f t="shared" si="139"/>
        <v>كيلوگرم</v>
      </c>
      <c r="J604" s="1" t="str">
        <f>"0000000088"</f>
        <v>0000000088</v>
      </c>
      <c r="K604" s="1" t="str">
        <f>"قير  PG58-22"</f>
        <v>قير  PG58-22</v>
      </c>
      <c r="L604" s="1">
        <v>100</v>
      </c>
      <c r="M604" s="1" t="str">
        <f t="shared" si="142"/>
        <v>مخازن قير اصفهان</v>
      </c>
      <c r="N604" s="1">
        <v>11173</v>
      </c>
      <c r="O604" s="1">
        <v>50031782</v>
      </c>
      <c r="P604" s="1" t="str">
        <f>"  عمراني شرواني سازه"</f>
        <v xml:space="preserve">  عمراني شرواني سازه</v>
      </c>
      <c r="Q604" s="1">
        <v>61</v>
      </c>
      <c r="R604" s="1" t="str">
        <f>"فروش داخلي - وزارت راه - مسكن مهر"</f>
        <v>فروش داخلي - وزارت راه - مسكن مهر</v>
      </c>
      <c r="S604" s="1" t="str">
        <f t="shared" si="140"/>
        <v>قرارداد فروش</v>
      </c>
      <c r="T604" s="1" t="str">
        <f t="shared" si="141"/>
        <v>ندارد</v>
      </c>
      <c r="U604" s="1" t="str">
        <f>"ميهن دوست عبداله(2842010)"</f>
        <v>ميهن دوست عبداله(2842010)</v>
      </c>
      <c r="V604" s="1">
        <v>956100010</v>
      </c>
      <c r="W604" s="1">
        <v>956100010</v>
      </c>
      <c r="X604" s="1" t="str">
        <f>"1395428999"</f>
        <v>1395428999</v>
      </c>
      <c r="Y604" s="1" t="str">
        <f>"95/06/15"</f>
        <v>95/06/15</v>
      </c>
      <c r="Z604" s="1" t="str">
        <f>"27327/510"</f>
        <v>27327/510</v>
      </c>
      <c r="AA604" s="1" t="str">
        <f>"مسكن مهر-وزارت راه"</f>
        <v>مسكن مهر-وزارت راه</v>
      </c>
      <c r="AB604" s="1" t="str">
        <f>"95/06/10"</f>
        <v>95/06/10</v>
      </c>
      <c r="AC604" s="1" t="str">
        <f>"استان كردستان"</f>
        <v>استان كردستان</v>
      </c>
      <c r="AD604" s="1" t="str">
        <f>"95/06/14"</f>
        <v>95/06/14</v>
      </c>
      <c r="AE604" s="1" t="str">
        <f t="shared" si="143"/>
        <v>اختتام</v>
      </c>
      <c r="AF604" s="1" t="str">
        <f>""</f>
        <v/>
      </c>
      <c r="AG604" s="1" t="str">
        <f>""</f>
        <v/>
      </c>
      <c r="AH604" s="1" t="str">
        <f>""</f>
        <v/>
      </c>
      <c r="AI604" s="1" t="str">
        <f>""</f>
        <v/>
      </c>
      <c r="AJ604" s="1" t="str">
        <f>""</f>
        <v/>
      </c>
      <c r="AK604" s="1" t="str">
        <f>""</f>
        <v/>
      </c>
    </row>
    <row r="605" spans="1:37" x14ac:dyDescent="0.2">
      <c r="A605" s="1">
        <v>85640</v>
      </c>
      <c r="B605" s="1">
        <v>951700114</v>
      </c>
      <c r="C605" s="1" t="str">
        <f>"تخليه - کرمانشاه-پليس راه قزانچي-کارخانه آسفالت شرکت بنادر"</f>
        <v>تخليه - کرمانشاه-پليس راه قزانچي-کارخانه آسفالت شرکت بنادر</v>
      </c>
      <c r="D605" s="1">
        <v>6050</v>
      </c>
      <c r="E605" s="1">
        <v>46260</v>
      </c>
      <c r="F605" s="1">
        <v>95</v>
      </c>
      <c r="G605" s="1">
        <v>39380</v>
      </c>
      <c r="H605" s="1" t="str">
        <f>"95/04/30"</f>
        <v>95/04/30</v>
      </c>
      <c r="I605" s="1" t="str">
        <f t="shared" si="139"/>
        <v>كيلوگرم</v>
      </c>
      <c r="J605" s="1" t="str">
        <f t="shared" ref="J605:J617" si="148">"0000000091"</f>
        <v>0000000091</v>
      </c>
      <c r="K605" s="1" t="str">
        <f t="shared" ref="K605:K617" si="149">"قير  PG64-22"</f>
        <v>قير  PG64-22</v>
      </c>
      <c r="L605" s="1">
        <v>100</v>
      </c>
      <c r="M605" s="1" t="str">
        <f t="shared" si="142"/>
        <v>مخازن قير اصفهان</v>
      </c>
      <c r="N605" s="1">
        <v>4109</v>
      </c>
      <c r="O605" s="1">
        <v>50031325</v>
      </c>
      <c r="P605" s="1" t="str">
        <f>"  اداره كل راه و  شهرسازي كرمانشاه"</f>
        <v xml:space="preserve">  اداره كل راه و  شهرسازي كرمانشاه</v>
      </c>
      <c r="Q605" s="1">
        <v>17</v>
      </c>
      <c r="R605" s="1" t="str">
        <f>"فروش داخلي تهران - وزارت راه - راه روستايي - روکش"</f>
        <v>فروش داخلي تهران - وزارت راه - راه روستايي - روکش</v>
      </c>
      <c r="S605" s="1" t="str">
        <f t="shared" si="140"/>
        <v>قرارداد فروش</v>
      </c>
      <c r="T605" s="1" t="str">
        <f t="shared" si="141"/>
        <v>ندارد</v>
      </c>
      <c r="U605" s="1" t="str">
        <f>"قره باغي مجيد(1871065)"</f>
        <v>قره باغي مجيد(1871065)</v>
      </c>
      <c r="V605" s="1">
        <v>951700114</v>
      </c>
      <c r="W605" s="1">
        <v>951700114</v>
      </c>
      <c r="X605" s="1" t="str">
        <f>"1395409198"</f>
        <v>1395409198</v>
      </c>
      <c r="Y605" s="1" t="str">
        <f>"95/04/30"</f>
        <v>95/04/30</v>
      </c>
      <c r="Z605" s="1" t="str">
        <f>"11565/510"</f>
        <v>11565/510</v>
      </c>
      <c r="AA605" s="1" t="str">
        <f>"راه روستائي -روكش"</f>
        <v>راه روستائي -روكش</v>
      </c>
      <c r="AB605" s="1" t="str">
        <f>"95/03/22"</f>
        <v>95/03/22</v>
      </c>
      <c r="AC605" s="1" t="str">
        <f>"استان كرمانشاه"</f>
        <v>استان كرمانشاه</v>
      </c>
      <c r="AD605" s="1" t="str">
        <f>"95/03/25"</f>
        <v>95/03/25</v>
      </c>
      <c r="AE605" s="1" t="str">
        <f t="shared" si="143"/>
        <v>اختتام</v>
      </c>
      <c r="AF605" s="1" t="str">
        <f>""</f>
        <v/>
      </c>
      <c r="AG605" s="1" t="str">
        <f>""</f>
        <v/>
      </c>
      <c r="AH605" s="1" t="str">
        <f>""</f>
        <v/>
      </c>
      <c r="AI605" s="1" t="str">
        <f>""</f>
        <v/>
      </c>
      <c r="AJ605" s="1" t="str">
        <f>""</f>
        <v/>
      </c>
      <c r="AK605" s="1" t="str">
        <f>""</f>
        <v/>
      </c>
    </row>
    <row r="606" spans="1:37" x14ac:dyDescent="0.2">
      <c r="A606" s="1">
        <v>39380</v>
      </c>
      <c r="B606" s="1">
        <v>951700245</v>
      </c>
      <c r="C606" s="1" t="str">
        <f>"تخليه - کرمانشاه-پليس راه قزانچي-کارخانه آسفالت شرکت بنادر"</f>
        <v>تخليه - کرمانشاه-پليس راه قزانچي-کارخانه آسفالت شرکت بنادر</v>
      </c>
      <c r="D606" s="1">
        <v>8323</v>
      </c>
      <c r="E606" s="1">
        <v>38380</v>
      </c>
      <c r="F606" s="1">
        <v>95</v>
      </c>
      <c r="G606" s="1">
        <v>1000</v>
      </c>
      <c r="H606" s="1" t="str">
        <f>"95/08/05"</f>
        <v>95/08/05</v>
      </c>
      <c r="I606" s="1" t="str">
        <f t="shared" si="139"/>
        <v>كيلوگرم</v>
      </c>
      <c r="J606" s="1" t="str">
        <f t="shared" si="148"/>
        <v>0000000091</v>
      </c>
      <c r="K606" s="1" t="str">
        <f t="shared" si="149"/>
        <v>قير  PG64-22</v>
      </c>
      <c r="L606" s="1">
        <v>100</v>
      </c>
      <c r="M606" s="1" t="str">
        <f t="shared" si="142"/>
        <v>مخازن قير اصفهان</v>
      </c>
      <c r="N606" s="1">
        <v>4109</v>
      </c>
      <c r="O606" s="1">
        <v>50032261</v>
      </c>
      <c r="P606" s="1" t="str">
        <f>"  اداره كل راه و  شهرسازي كرمانشاه"</f>
        <v xml:space="preserve">  اداره كل راه و  شهرسازي كرمانشاه</v>
      </c>
      <c r="Q606" s="1">
        <v>17</v>
      </c>
      <c r="R606" s="1" t="str">
        <f>"فروش داخلي تهران - وزارت راه - راه روستايي - روکش"</f>
        <v>فروش داخلي تهران - وزارت راه - راه روستايي - روکش</v>
      </c>
      <c r="S606" s="1" t="str">
        <f t="shared" si="140"/>
        <v>قرارداد فروش</v>
      </c>
      <c r="T606" s="1" t="str">
        <f t="shared" si="141"/>
        <v>ندارد</v>
      </c>
      <c r="U606" s="1" t="str">
        <f>"قره باغي مجيد(1871065)"</f>
        <v>قره باغي مجيد(1871065)</v>
      </c>
      <c r="V606" s="1">
        <v>951700245</v>
      </c>
      <c r="W606" s="1">
        <v>951700245</v>
      </c>
      <c r="X606" s="1" t="str">
        <f>"1395409198"</f>
        <v>1395409198</v>
      </c>
      <c r="Y606" s="1" t="str">
        <f>"95/08/05"</f>
        <v>95/08/05</v>
      </c>
      <c r="Z606" s="1" t="str">
        <f>"11565/510"</f>
        <v>11565/510</v>
      </c>
      <c r="AA606" s="1" t="str">
        <f>"راه روستائي -روكش"</f>
        <v>راه روستائي -روكش</v>
      </c>
      <c r="AB606" s="1" t="str">
        <f>"95/03/22"</f>
        <v>95/03/22</v>
      </c>
      <c r="AC606" s="1" t="str">
        <f>"استان كرمانشاه"</f>
        <v>استان كرمانشاه</v>
      </c>
      <c r="AD606" s="1" t="str">
        <f>"95/03/25"</f>
        <v>95/03/25</v>
      </c>
      <c r="AE606" s="1" t="str">
        <f t="shared" si="143"/>
        <v>اختتام</v>
      </c>
      <c r="AF606" s="1" t="str">
        <f>""</f>
        <v/>
      </c>
      <c r="AG606" s="1" t="str">
        <f>""</f>
        <v/>
      </c>
      <c r="AH606" s="1" t="str">
        <f>""</f>
        <v/>
      </c>
      <c r="AI606" s="1" t="str">
        <f>""</f>
        <v/>
      </c>
      <c r="AJ606" s="1" t="str">
        <f>""</f>
        <v/>
      </c>
      <c r="AK606" s="1" t="str">
        <f>""</f>
        <v/>
      </c>
    </row>
    <row r="607" spans="1:37" x14ac:dyDescent="0.2">
      <c r="A607" s="1">
        <v>350000</v>
      </c>
      <c r="B607" s="1">
        <v>951900084</v>
      </c>
      <c r="C607" s="1" t="str">
        <f>"تخليه -اصفهان -كيلومتر7جاده علون آباد-كوهپايه -شركت راهسازي اسكان ده"</f>
        <v>تخليه -اصفهان -كيلومتر7جاده علون آباد-كوهپايه -شركت راهسازي اسكان ده</v>
      </c>
      <c r="D607" s="1">
        <v>6726</v>
      </c>
      <c r="E607" s="1">
        <v>350000</v>
      </c>
      <c r="F607" s="1">
        <v>95</v>
      </c>
      <c r="G607" s="1">
        <v>0</v>
      </c>
      <c r="H607" s="1" t="str">
        <f>"95/05/12"</f>
        <v>95/05/12</v>
      </c>
      <c r="I607" s="1" t="str">
        <f t="shared" si="139"/>
        <v>كيلوگرم</v>
      </c>
      <c r="J607" s="1" t="str">
        <f t="shared" si="148"/>
        <v>0000000091</v>
      </c>
      <c r="K607" s="1" t="str">
        <f t="shared" si="149"/>
        <v>قير  PG64-22</v>
      </c>
      <c r="L607" s="1">
        <v>100</v>
      </c>
      <c r="M607" s="1" t="str">
        <f t="shared" si="142"/>
        <v>مخازن قير اصفهان</v>
      </c>
      <c r="N607" s="1">
        <v>7013</v>
      </c>
      <c r="O607" s="1">
        <v>50031404</v>
      </c>
      <c r="P607" s="1" t="str">
        <f>"  راهسازي  اسكانده"</f>
        <v xml:space="preserve">  راهسازي  اسكانده</v>
      </c>
      <c r="Q607" s="1">
        <v>19</v>
      </c>
      <c r="R60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07" s="1" t="str">
        <f t="shared" si="140"/>
        <v>قرارداد فروش</v>
      </c>
      <c r="T607" s="1" t="str">
        <f t="shared" si="141"/>
        <v>ندارد</v>
      </c>
      <c r="U607" s="1" t="str">
        <f>"شهبازي محمدرضا(1029ج89)"</f>
        <v>شهبازي محمدرضا(1029ج89)</v>
      </c>
      <c r="V607" s="1">
        <v>951900084</v>
      </c>
      <c r="W607" s="1">
        <v>951900084</v>
      </c>
      <c r="X607" s="1" t="str">
        <f>"1395419808"</f>
        <v>1395419808</v>
      </c>
      <c r="Y607" s="1" t="str">
        <f>"95/05/12"</f>
        <v>95/05/12</v>
      </c>
      <c r="Z607" s="1" t="str">
        <f>"19783/510"</f>
        <v>19783/510</v>
      </c>
      <c r="AA607" s="1" t="str">
        <f>"سازمان راهداري وحمل نقل جاده اي"</f>
        <v>سازمان راهداري وحمل نقل جاده اي</v>
      </c>
      <c r="AB607" s="1" t="str">
        <f>"95/05/04"</f>
        <v>95/05/04</v>
      </c>
      <c r="AC607" s="1" t="str">
        <f>"استان اصفهان"</f>
        <v>استان اصفهان</v>
      </c>
      <c r="AD607" s="1" t="str">
        <f>"95/05/11"</f>
        <v>95/05/11</v>
      </c>
      <c r="AE607" s="1" t="str">
        <f t="shared" si="143"/>
        <v>اختتام</v>
      </c>
      <c r="AF607" s="1" t="str">
        <f>""</f>
        <v/>
      </c>
      <c r="AG607" s="1" t="str">
        <f>""</f>
        <v/>
      </c>
      <c r="AH607" s="1" t="str">
        <f>""</f>
        <v/>
      </c>
      <c r="AI607" s="1" t="str">
        <f>""</f>
        <v/>
      </c>
      <c r="AJ607" s="1" t="str">
        <f>""</f>
        <v/>
      </c>
      <c r="AK607" s="1" t="str">
        <f>""</f>
        <v/>
      </c>
    </row>
    <row r="608" spans="1:37" x14ac:dyDescent="0.2">
      <c r="A608" s="1">
        <v>350000</v>
      </c>
      <c r="B608" s="1">
        <v>951700238</v>
      </c>
      <c r="C608" s="1" t="str">
        <f>"تخليه -كرمان جاده جوبارجاده گلومك كارخانه راه وباندكويركرمان"</f>
        <v>تخليه -كرمان جاده جوبارجاده گلومك كارخانه راه وباندكويركرمان</v>
      </c>
      <c r="D608" s="1">
        <v>7276</v>
      </c>
      <c r="E608" s="1">
        <v>45480</v>
      </c>
      <c r="F608" s="1">
        <v>95</v>
      </c>
      <c r="G608" s="1">
        <v>304520</v>
      </c>
      <c r="H608" s="1" t="str">
        <f>"95/07/17"</f>
        <v>95/07/17</v>
      </c>
      <c r="I608" s="1" t="str">
        <f t="shared" si="139"/>
        <v>كيلوگرم</v>
      </c>
      <c r="J608" s="1" t="str">
        <f t="shared" si="148"/>
        <v>0000000091</v>
      </c>
      <c r="K608" s="1" t="str">
        <f t="shared" si="149"/>
        <v>قير  PG64-22</v>
      </c>
      <c r="L608" s="1">
        <v>100</v>
      </c>
      <c r="M608" s="1" t="str">
        <f t="shared" si="142"/>
        <v>مخازن قير اصفهان</v>
      </c>
      <c r="N608" s="1">
        <v>7034</v>
      </c>
      <c r="O608" s="1">
        <v>50032123</v>
      </c>
      <c r="P608" s="1" t="str">
        <f>"  اداره كل راه وشهرسازي كرمان"</f>
        <v xml:space="preserve">  اداره كل راه وشهرسازي كرمان</v>
      </c>
      <c r="Q608" s="1">
        <v>17</v>
      </c>
      <c r="R608" s="1" t="str">
        <f>"فروش داخلي تهران - وزارت راه - راه روستايي - روکش"</f>
        <v>فروش داخلي تهران - وزارت راه - راه روستايي - روکش</v>
      </c>
      <c r="S608" s="1" t="str">
        <f t="shared" si="140"/>
        <v>قرارداد فروش</v>
      </c>
      <c r="T608" s="1" t="str">
        <f t="shared" si="141"/>
        <v>ندارد</v>
      </c>
      <c r="U608" s="1" t="str">
        <f>"قانعي محمدرضا(1011ج89)"</f>
        <v>قانعي محمدرضا(1011ج89)</v>
      </c>
      <c r="V608" s="1">
        <v>951700238</v>
      </c>
      <c r="W608" s="1">
        <v>951700238</v>
      </c>
      <c r="X608" s="1" t="str">
        <f>"1395436740"</f>
        <v>1395436740</v>
      </c>
      <c r="Y608" s="1" t="str">
        <f>"95/07/17"</f>
        <v>95/07/17</v>
      </c>
      <c r="Z608" s="1" t="str">
        <f>"33743/510"</f>
        <v>33743/510</v>
      </c>
      <c r="AA608" s="1" t="str">
        <f>"راه روستائي -روكش"</f>
        <v>راه روستائي -روكش</v>
      </c>
      <c r="AB608" s="1" t="str">
        <f>"95/07/13"</f>
        <v>95/07/13</v>
      </c>
      <c r="AC608" s="1" t="str">
        <f>"استان كرمان"</f>
        <v>استان كرمان</v>
      </c>
      <c r="AD608" s="1" t="str">
        <f>"95/07/17"</f>
        <v>95/07/17</v>
      </c>
      <c r="AE608" s="1" t="str">
        <f t="shared" si="143"/>
        <v>اختتام</v>
      </c>
      <c r="AF608" s="1" t="str">
        <f>""</f>
        <v/>
      </c>
      <c r="AG608" s="1" t="str">
        <f>""</f>
        <v/>
      </c>
      <c r="AH608" s="1" t="str">
        <f>""</f>
        <v/>
      </c>
      <c r="AI608" s="1" t="str">
        <f>""</f>
        <v/>
      </c>
      <c r="AJ608" s="1" t="str">
        <f>""</f>
        <v/>
      </c>
      <c r="AK608" s="1" t="str">
        <f>""</f>
        <v/>
      </c>
    </row>
    <row r="609" spans="1:37" x14ac:dyDescent="0.2">
      <c r="A609" s="1">
        <v>500000</v>
      </c>
      <c r="B609" s="1">
        <v>951700257</v>
      </c>
      <c r="C609" s="1" t="str">
        <f>"تخليه كرمان باغين پشت كارخانه سيمان شركت كرمان فراراه"</f>
        <v>تخليه كرمان باغين پشت كارخانه سيمان شركت كرمان فراراه</v>
      </c>
      <c r="D609" s="1">
        <v>8323</v>
      </c>
      <c r="E609" s="1">
        <v>499540</v>
      </c>
      <c r="F609" s="1">
        <v>95</v>
      </c>
      <c r="G609" s="1">
        <v>460</v>
      </c>
      <c r="H609" s="1" t="str">
        <f>"95/08/08"</f>
        <v>95/08/08</v>
      </c>
      <c r="I609" s="1" t="str">
        <f t="shared" si="139"/>
        <v>كيلوگرم</v>
      </c>
      <c r="J609" s="1" t="str">
        <f t="shared" si="148"/>
        <v>0000000091</v>
      </c>
      <c r="K609" s="1" t="str">
        <f t="shared" si="149"/>
        <v>قير  PG64-22</v>
      </c>
      <c r="L609" s="1">
        <v>100</v>
      </c>
      <c r="M609" s="1" t="str">
        <f t="shared" si="142"/>
        <v>مخازن قير اصفهان</v>
      </c>
      <c r="N609" s="1">
        <v>7034</v>
      </c>
      <c r="O609" s="1">
        <v>50032376</v>
      </c>
      <c r="P609" s="1" t="str">
        <f>"  اداره كل راه وشهرسازي كرمان"</f>
        <v xml:space="preserve">  اداره كل راه وشهرسازي كرمان</v>
      </c>
      <c r="Q609" s="1">
        <v>17</v>
      </c>
      <c r="R609" s="1" t="str">
        <f>"فروش داخلي تهران - وزارت راه - راه روستايي - روکش"</f>
        <v>فروش داخلي تهران - وزارت راه - راه روستايي - روکش</v>
      </c>
      <c r="S609" s="1" t="str">
        <f t="shared" si="140"/>
        <v>قرارداد فروش</v>
      </c>
      <c r="T609" s="1" t="str">
        <f t="shared" si="141"/>
        <v>ندارد</v>
      </c>
      <c r="U609" s="1" t="str">
        <f>"ميرحسيني سيناترابر سيدمحمد(4854031)"</f>
        <v>ميرحسيني سيناترابر سيدمحمد(4854031)</v>
      </c>
      <c r="V609" s="1">
        <v>951700257</v>
      </c>
      <c r="W609" s="1">
        <v>951700257</v>
      </c>
      <c r="X609" s="1" t="str">
        <f>"1395435600"</f>
        <v>1395435600</v>
      </c>
      <c r="Y609" s="1" t="str">
        <f>"95/08/08"</f>
        <v>95/08/08</v>
      </c>
      <c r="Z609" s="1" t="str">
        <f>"32935/510"</f>
        <v>32935/510</v>
      </c>
      <c r="AA609" s="1" t="str">
        <f>"راه روستائي -روكش"</f>
        <v>راه روستائي -روكش</v>
      </c>
      <c r="AB609" s="1" t="str">
        <f>"95/07/11"</f>
        <v>95/07/11</v>
      </c>
      <c r="AC609" s="1" t="str">
        <f>"استان كرمان"</f>
        <v>استان كرمان</v>
      </c>
      <c r="AD609" s="1" t="str">
        <f>"95/07/13"</f>
        <v>95/07/13</v>
      </c>
      <c r="AE609" s="1" t="str">
        <f t="shared" si="143"/>
        <v>اختتام</v>
      </c>
      <c r="AF609" s="1" t="str">
        <f>""</f>
        <v/>
      </c>
      <c r="AG609" s="1" t="str">
        <f>""</f>
        <v/>
      </c>
      <c r="AH609" s="1" t="str">
        <f>""</f>
        <v/>
      </c>
      <c r="AI609" s="1" t="str">
        <f>""</f>
        <v/>
      </c>
      <c r="AJ609" s="1" t="str">
        <f>""</f>
        <v/>
      </c>
      <c r="AK609" s="1" t="str">
        <f>""</f>
        <v/>
      </c>
    </row>
    <row r="610" spans="1:37" x14ac:dyDescent="0.2">
      <c r="A610" s="1">
        <v>281660</v>
      </c>
      <c r="B610" s="1">
        <v>951700292</v>
      </c>
      <c r="C610" s="1" t="str">
        <f>"تخليه -كرمان جاده جوبارجاده گلومك كارخانه راه وباندكويركرمان"</f>
        <v>تخليه -كرمان جاده جوبارجاده گلومك كارخانه راه وباندكويركرمان</v>
      </c>
      <c r="D610" s="1">
        <v>9061</v>
      </c>
      <c r="E610" s="1">
        <v>161980</v>
      </c>
      <c r="F610" s="1">
        <v>95</v>
      </c>
      <c r="G610" s="1">
        <v>119680</v>
      </c>
      <c r="H610" s="1" t="str">
        <f>"95/10/05"</f>
        <v>95/10/05</v>
      </c>
      <c r="I610" s="1" t="str">
        <f t="shared" si="139"/>
        <v>كيلوگرم</v>
      </c>
      <c r="J610" s="1" t="str">
        <f t="shared" si="148"/>
        <v>0000000091</v>
      </c>
      <c r="K610" s="1" t="str">
        <f t="shared" si="149"/>
        <v>قير  PG64-22</v>
      </c>
      <c r="L610" s="1">
        <v>100</v>
      </c>
      <c r="M610" s="1" t="str">
        <f t="shared" si="142"/>
        <v>مخازن قير اصفهان</v>
      </c>
      <c r="N610" s="1">
        <v>7034</v>
      </c>
      <c r="O610" s="1">
        <v>50033136</v>
      </c>
      <c r="P610" s="1" t="str">
        <f>"  اداره كل راه وشهرسازي كرمان"</f>
        <v xml:space="preserve">  اداره كل راه وشهرسازي كرمان</v>
      </c>
      <c r="Q610" s="1">
        <v>17</v>
      </c>
      <c r="R610" s="1" t="str">
        <f>"فروش داخلي تهران - وزارت راه - راه روستايي - روکش"</f>
        <v>فروش داخلي تهران - وزارت راه - راه روستايي - روکش</v>
      </c>
      <c r="S610" s="1" t="str">
        <f t="shared" si="140"/>
        <v>قرارداد فروش</v>
      </c>
      <c r="T610" s="1" t="str">
        <f t="shared" si="141"/>
        <v>ندارد</v>
      </c>
      <c r="U610" s="1" t="str">
        <f>"قانعي محمدرضا(1011ج89)"</f>
        <v>قانعي محمدرضا(1011ج89)</v>
      </c>
      <c r="V610" s="1">
        <v>951700292</v>
      </c>
      <c r="W610" s="1">
        <v>951700292</v>
      </c>
      <c r="X610" s="1" t="str">
        <f>"1395436740"</f>
        <v>1395436740</v>
      </c>
      <c r="Y610" s="1" t="str">
        <f>"95/10/05"</f>
        <v>95/10/05</v>
      </c>
      <c r="Z610" s="1" t="str">
        <f>"33743/510"</f>
        <v>33743/510</v>
      </c>
      <c r="AA610" s="1" t="str">
        <f>"راه روستائي -روكش"</f>
        <v>راه روستائي -روكش</v>
      </c>
      <c r="AB610" s="1" t="str">
        <f>"95/07/13"</f>
        <v>95/07/13</v>
      </c>
      <c r="AC610" s="1" t="str">
        <f>"استان كرمان"</f>
        <v>استان كرمان</v>
      </c>
      <c r="AD610" s="1" t="str">
        <f>"95/07/17"</f>
        <v>95/07/17</v>
      </c>
      <c r="AE610" s="1" t="str">
        <f t="shared" si="143"/>
        <v>اختتام</v>
      </c>
      <c r="AF610" s="1" t="str">
        <f>""</f>
        <v/>
      </c>
      <c r="AG610" s="1" t="str">
        <f>""</f>
        <v/>
      </c>
      <c r="AH610" s="1" t="str">
        <f>""</f>
        <v/>
      </c>
      <c r="AI610" s="1" t="str">
        <f>""</f>
        <v/>
      </c>
      <c r="AJ610" s="1" t="str">
        <f>""</f>
        <v/>
      </c>
      <c r="AK610" s="1" t="str">
        <f>""</f>
        <v/>
      </c>
    </row>
    <row r="611" spans="1:37" x14ac:dyDescent="0.2">
      <c r="A611" s="1">
        <v>650000</v>
      </c>
      <c r="B611" s="1">
        <v>951900009</v>
      </c>
      <c r="C611" s="1" t="str">
        <f>"تخليه خراسان رضوي كيلومتر15محورتايبادتربت جام شركت استحكام آسفالت توس"</f>
        <v>تخليه خراسان رضوي كيلومتر15محورتايبادتربت جام شركت استحكام آسفالت توس</v>
      </c>
      <c r="D611" s="1">
        <v>5650</v>
      </c>
      <c r="E611" s="1">
        <v>648920</v>
      </c>
      <c r="F611" s="1">
        <v>95</v>
      </c>
      <c r="G611" s="1">
        <v>1080</v>
      </c>
      <c r="H611" s="1" t="str">
        <f>"95/02/14"</f>
        <v>95/02/14</v>
      </c>
      <c r="I611" s="1" t="str">
        <f t="shared" si="139"/>
        <v>كيلوگرم</v>
      </c>
      <c r="J611" s="1" t="str">
        <f t="shared" si="148"/>
        <v>0000000091</v>
      </c>
      <c r="K611" s="1" t="str">
        <f t="shared" si="149"/>
        <v>قير  PG64-22</v>
      </c>
      <c r="L611" s="1">
        <v>100</v>
      </c>
      <c r="M611" s="1" t="str">
        <f t="shared" si="142"/>
        <v>مخازن قير اصفهان</v>
      </c>
      <c r="N611" s="1">
        <v>4026</v>
      </c>
      <c r="O611" s="1">
        <v>50030718</v>
      </c>
      <c r="P611" s="1" t="str">
        <f>"  اداره كل راه و شهرسازي خراسان رضوي"</f>
        <v xml:space="preserve">  اداره كل راه و شهرسازي خراسان رضوي</v>
      </c>
      <c r="Q611" s="1">
        <v>19</v>
      </c>
      <c r="R6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11" s="1" t="str">
        <f t="shared" si="140"/>
        <v>قرارداد فروش</v>
      </c>
      <c r="T611" s="1" t="str">
        <f t="shared" si="141"/>
        <v>ندارد</v>
      </c>
      <c r="U611" s="1" t="str">
        <f>"نظام دوست امين (1911102)"</f>
        <v>نظام دوست امين (1911102)</v>
      </c>
      <c r="V611" s="1">
        <v>951900009</v>
      </c>
      <c r="W611" s="1">
        <v>951900009</v>
      </c>
      <c r="X611" s="1" t="str">
        <f>"1395402088"</f>
        <v>1395402088</v>
      </c>
      <c r="Y611" s="1" t="str">
        <f>"95/02/14"</f>
        <v>95/02/14</v>
      </c>
      <c r="Z611" s="1" t="str">
        <f>"67366/510"</f>
        <v>67366/510</v>
      </c>
      <c r="AA611" s="1" t="str">
        <f>"سازمان راهداري وحمل نقل جاده اي"</f>
        <v>سازمان راهداري وحمل نقل جاده اي</v>
      </c>
      <c r="AB611" s="1" t="str">
        <f>"94/12/09"</f>
        <v>94/12/09</v>
      </c>
      <c r="AC611" s="1" t="str">
        <f>"خراسان رضوي"</f>
        <v>خراسان رضوي</v>
      </c>
      <c r="AD611" s="1" t="str">
        <f>"95/02/12"</f>
        <v>95/02/12</v>
      </c>
      <c r="AE611" s="1" t="str">
        <f t="shared" si="143"/>
        <v>اختتام</v>
      </c>
      <c r="AF611" s="1" t="str">
        <f>""</f>
        <v/>
      </c>
      <c r="AG611" s="1" t="str">
        <f>""</f>
        <v/>
      </c>
      <c r="AH611" s="1" t="str">
        <f>""</f>
        <v/>
      </c>
      <c r="AI611" s="1" t="str">
        <f>""</f>
        <v/>
      </c>
      <c r="AJ611" s="1" t="str">
        <f>""</f>
        <v/>
      </c>
      <c r="AK611" s="1" t="str">
        <f>""</f>
        <v/>
      </c>
    </row>
    <row r="612" spans="1:37" x14ac:dyDescent="0.2">
      <c r="A612" s="1">
        <v>117000</v>
      </c>
      <c r="B612" s="1">
        <v>951700015</v>
      </c>
      <c r="C612" s="1" t="str">
        <f>"تخليه -خراسان رضوي -شهرستان باخرز-كارخانه آسفالت شهرداري باخرز"</f>
        <v>تخليه -خراسان رضوي -شهرستان باخرز-كارخانه آسفالت شهرداري باخرز</v>
      </c>
      <c r="D612" s="1">
        <v>5650</v>
      </c>
      <c r="E612" s="1">
        <v>114820</v>
      </c>
      <c r="F612" s="1">
        <v>95</v>
      </c>
      <c r="G612" s="1">
        <v>2180</v>
      </c>
      <c r="H612" s="1" t="str">
        <f>"95/02/15"</f>
        <v>95/02/15</v>
      </c>
      <c r="I612" s="1" t="str">
        <f t="shared" si="139"/>
        <v>كيلوگرم</v>
      </c>
      <c r="J612" s="1" t="str">
        <f t="shared" si="148"/>
        <v>0000000091</v>
      </c>
      <c r="K612" s="1" t="str">
        <f t="shared" si="149"/>
        <v>قير  PG64-22</v>
      </c>
      <c r="L612" s="1">
        <v>100</v>
      </c>
      <c r="M612" s="1" t="str">
        <f t="shared" si="142"/>
        <v>مخازن قير اصفهان</v>
      </c>
      <c r="N612" s="1">
        <v>4026</v>
      </c>
      <c r="O612" s="1">
        <v>50030760</v>
      </c>
      <c r="P612" s="1" t="str">
        <f>"  اداره كل راه و شهرسازي خراسان رضوي"</f>
        <v xml:space="preserve">  اداره كل راه و شهرسازي خراسان رضوي</v>
      </c>
      <c r="Q612" s="1">
        <v>17</v>
      </c>
      <c r="R612" s="1" t="str">
        <f>"فروش داخلي تهران - وزارت راه - راه روستايي - روکش"</f>
        <v>فروش داخلي تهران - وزارت راه - راه روستايي - روکش</v>
      </c>
      <c r="S612" s="1" t="str">
        <f t="shared" si="140"/>
        <v>قرارداد فروش</v>
      </c>
      <c r="T612" s="1" t="str">
        <f t="shared" si="141"/>
        <v>ندارد</v>
      </c>
      <c r="U612" s="1" t="str">
        <f>"بابامحمدي عنايت اله(4844000)"</f>
        <v>بابامحمدي عنايت اله(4844000)</v>
      </c>
      <c r="V612" s="1">
        <v>951700015</v>
      </c>
      <c r="W612" s="1">
        <v>951700015</v>
      </c>
      <c r="X612" s="1" t="str">
        <f>"1395401990"</f>
        <v>1395401990</v>
      </c>
      <c r="Y612" s="1" t="str">
        <f>"95/02/15"</f>
        <v>95/02/15</v>
      </c>
      <c r="Z612" s="1" t="str">
        <f>"67365/510"</f>
        <v>67365/510</v>
      </c>
      <c r="AA612" s="1" t="str">
        <f>"راه روستائي -روكش"</f>
        <v>راه روستائي -روكش</v>
      </c>
      <c r="AB612" s="1" t="str">
        <f>"94/12/09"</f>
        <v>94/12/09</v>
      </c>
      <c r="AC612" s="1" t="str">
        <f>"خراسان رضوي"</f>
        <v>خراسان رضوي</v>
      </c>
      <c r="AD612" s="1" t="str">
        <f>"95/02/11"</f>
        <v>95/02/11</v>
      </c>
      <c r="AE612" s="1" t="str">
        <f t="shared" si="143"/>
        <v>اختتام</v>
      </c>
      <c r="AF612" s="1" t="str">
        <f>""</f>
        <v/>
      </c>
      <c r="AG612" s="1" t="str">
        <f>""</f>
        <v/>
      </c>
      <c r="AH612" s="1" t="str">
        <f>""</f>
        <v/>
      </c>
      <c r="AI612" s="1" t="str">
        <f>""</f>
        <v/>
      </c>
      <c r="AJ612" s="1" t="str">
        <f>""</f>
        <v/>
      </c>
      <c r="AK612" s="1" t="str">
        <f>""</f>
        <v/>
      </c>
    </row>
    <row r="613" spans="1:37" x14ac:dyDescent="0.2">
      <c r="A613" s="1">
        <v>15360</v>
      </c>
      <c r="B613" s="1">
        <v>951700091</v>
      </c>
      <c r="C613" s="1" t="str">
        <f>"تخليه -خراسان رضوي سبزواركارخانه آسفالت ترازگسترشرق"</f>
        <v>تخليه -خراسان رضوي سبزواركارخانه آسفالت ترازگسترشرق</v>
      </c>
      <c r="D613" s="1">
        <v>6250</v>
      </c>
      <c r="E613" s="1">
        <v>14400</v>
      </c>
      <c r="F613" s="1">
        <v>95</v>
      </c>
      <c r="G613" s="1">
        <v>960</v>
      </c>
      <c r="H613" s="1" t="str">
        <f>"95/04/19"</f>
        <v>95/04/19</v>
      </c>
      <c r="I613" s="1" t="str">
        <f t="shared" si="139"/>
        <v>كيلوگرم</v>
      </c>
      <c r="J613" s="1" t="str">
        <f t="shared" si="148"/>
        <v>0000000091</v>
      </c>
      <c r="K613" s="1" t="str">
        <f t="shared" si="149"/>
        <v>قير  PG64-22</v>
      </c>
      <c r="L613" s="1">
        <v>100</v>
      </c>
      <c r="M613" s="1" t="str">
        <f t="shared" si="142"/>
        <v>مخازن قير اصفهان</v>
      </c>
      <c r="N613" s="1">
        <v>4026</v>
      </c>
      <c r="O613" s="1">
        <v>50031230</v>
      </c>
      <c r="P613" s="1" t="str">
        <f>"  اداره كل راه و شهرسازي خراسان رضوي"</f>
        <v xml:space="preserve">  اداره كل راه و شهرسازي خراسان رضوي</v>
      </c>
      <c r="Q613" s="1">
        <v>17</v>
      </c>
      <c r="R613" s="1" t="str">
        <f>"فروش داخلي تهران - وزارت راه - راه روستايي - روکش"</f>
        <v>فروش داخلي تهران - وزارت راه - راه روستايي - روکش</v>
      </c>
      <c r="S613" s="1" t="str">
        <f t="shared" si="140"/>
        <v>قرارداد فروش</v>
      </c>
      <c r="T613" s="1" t="str">
        <f t="shared" si="141"/>
        <v>ندارد</v>
      </c>
      <c r="U613" s="1" t="str">
        <f>"حسيني علي(1841001)"</f>
        <v>حسيني علي(1841001)</v>
      </c>
      <c r="V613" s="1">
        <v>951700091</v>
      </c>
      <c r="W613" s="1">
        <v>951700091</v>
      </c>
      <c r="X613" s="1" t="str">
        <f>"1394391512"</f>
        <v>1394391512</v>
      </c>
      <c r="Y613" s="1" t="str">
        <f>"95/04/19"</f>
        <v>95/04/19</v>
      </c>
      <c r="Z613" s="1" t="str">
        <f>"63436/510"</f>
        <v>63436/510</v>
      </c>
      <c r="AA613" s="1" t="str">
        <f>"راه روستائي -روكش"</f>
        <v>راه روستائي -روكش</v>
      </c>
      <c r="AB613" s="1" t="str">
        <f>"94/11/17"</f>
        <v>94/11/17</v>
      </c>
      <c r="AC613" s="1" t="str">
        <f>"خراسان رضوي"</f>
        <v>خراسان رضوي</v>
      </c>
      <c r="AD613" s="1" t="str">
        <f>"94/11/19"</f>
        <v>94/11/19</v>
      </c>
      <c r="AE613" s="1" t="str">
        <f t="shared" si="143"/>
        <v>اختتام</v>
      </c>
      <c r="AF613" s="1" t="str">
        <f>""</f>
        <v/>
      </c>
      <c r="AG613" s="1" t="str">
        <f>""</f>
        <v/>
      </c>
      <c r="AH613" s="1" t="str">
        <f>""</f>
        <v/>
      </c>
      <c r="AI613" s="1" t="str">
        <f>""</f>
        <v/>
      </c>
      <c r="AJ613" s="1" t="str">
        <f>""</f>
        <v/>
      </c>
      <c r="AK613" s="1" t="str">
        <f>""</f>
        <v/>
      </c>
    </row>
    <row r="614" spans="1:37" x14ac:dyDescent="0.2">
      <c r="A614" s="1">
        <v>700000</v>
      </c>
      <c r="B614" s="1">
        <v>951700142</v>
      </c>
      <c r="C614" s="1" t="str">
        <f>"تخليه -خراسان رضوي محورتربت جام -فريمان كيلومتر45كارخانه استحكام انديش توس"</f>
        <v>تخليه -خراسان رضوي محورتربت جام -فريمان كيلومتر45كارخانه استحكام انديش توس</v>
      </c>
      <c r="D614" s="1">
        <v>6726</v>
      </c>
      <c r="E614" s="1">
        <v>695700</v>
      </c>
      <c r="F614" s="1">
        <v>95</v>
      </c>
      <c r="G614" s="1">
        <v>4300</v>
      </c>
      <c r="H614" s="1" t="str">
        <f>"95/05/16"</f>
        <v>95/05/16</v>
      </c>
      <c r="I614" s="1" t="str">
        <f t="shared" si="139"/>
        <v>كيلوگرم</v>
      </c>
      <c r="J614" s="1" t="str">
        <f t="shared" si="148"/>
        <v>0000000091</v>
      </c>
      <c r="K614" s="1" t="str">
        <f t="shared" si="149"/>
        <v>قير  PG64-22</v>
      </c>
      <c r="L614" s="1">
        <v>100</v>
      </c>
      <c r="M614" s="1" t="str">
        <f t="shared" si="142"/>
        <v>مخازن قير اصفهان</v>
      </c>
      <c r="N614" s="1">
        <v>4026</v>
      </c>
      <c r="O614" s="1">
        <v>50031442</v>
      </c>
      <c r="P614" s="1" t="str">
        <f>"  اداره كل راه و شهرسازي خراسان رضوي"</f>
        <v xml:space="preserve">  اداره كل راه و شهرسازي خراسان رضوي</v>
      </c>
      <c r="Q614" s="1">
        <v>17</v>
      </c>
      <c r="R614" s="1" t="str">
        <f>"فروش داخلي تهران - وزارت راه - راه روستايي - روکش"</f>
        <v>فروش داخلي تهران - وزارت راه - راه روستايي - روکش</v>
      </c>
      <c r="S614" s="1" t="str">
        <f t="shared" si="140"/>
        <v>قرارداد فروش</v>
      </c>
      <c r="T614" s="1" t="str">
        <f t="shared" si="141"/>
        <v>ندارد</v>
      </c>
      <c r="U614" s="1" t="str">
        <f>"نظام دوست امين (1911102)"</f>
        <v>نظام دوست امين (1911102)</v>
      </c>
      <c r="V614" s="1">
        <v>951700142</v>
      </c>
      <c r="W614" s="1">
        <v>951700142</v>
      </c>
      <c r="X614" s="1" t="str">
        <f>"1395421160"</f>
        <v>1395421160</v>
      </c>
      <c r="Y614" s="1" t="str">
        <f>"95/05/16"</f>
        <v>95/05/16</v>
      </c>
      <c r="Z614" s="1" t="str">
        <f>"20817/510"</f>
        <v>20817/510</v>
      </c>
      <c r="AA614" s="1" t="str">
        <f>"راه روستائي -روكش"</f>
        <v>راه روستائي -روكش</v>
      </c>
      <c r="AB614" s="1" t="str">
        <f>"95/05/11"</f>
        <v>95/05/11</v>
      </c>
      <c r="AC614" s="1" t="str">
        <f>"خراسان رضوي"</f>
        <v>خراسان رضوي</v>
      </c>
      <c r="AD614" s="1" t="str">
        <f>"95/05/13"</f>
        <v>95/05/13</v>
      </c>
      <c r="AE614" s="1" t="str">
        <f t="shared" si="143"/>
        <v>اختتام</v>
      </c>
      <c r="AF614" s="1" t="str">
        <f>""</f>
        <v/>
      </c>
      <c r="AG614" s="1" t="str">
        <f>""</f>
        <v/>
      </c>
      <c r="AH614" s="1" t="str">
        <f>""</f>
        <v/>
      </c>
      <c r="AI614" s="1" t="str">
        <f>""</f>
        <v/>
      </c>
      <c r="AJ614" s="1" t="str">
        <f>""</f>
        <v/>
      </c>
      <c r="AK614" s="1" t="str">
        <f>""</f>
        <v/>
      </c>
    </row>
    <row r="615" spans="1:37" x14ac:dyDescent="0.2">
      <c r="A615" s="1">
        <v>500000</v>
      </c>
      <c r="B615" s="1">
        <v>951900210</v>
      </c>
      <c r="C615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615" s="1">
        <v>7276</v>
      </c>
      <c r="E615" s="1">
        <v>162620</v>
      </c>
      <c r="F615" s="1">
        <v>95</v>
      </c>
      <c r="G615" s="1">
        <v>337380</v>
      </c>
      <c r="H615" s="1" t="str">
        <f>"95/09/06"</f>
        <v>95/09/06</v>
      </c>
      <c r="I615" s="1" t="str">
        <f t="shared" si="139"/>
        <v>كيلوگرم</v>
      </c>
      <c r="J615" s="1" t="str">
        <f t="shared" si="148"/>
        <v>0000000091</v>
      </c>
      <c r="K615" s="1" t="str">
        <f t="shared" si="149"/>
        <v>قير  PG64-22</v>
      </c>
      <c r="L615" s="1">
        <v>100</v>
      </c>
      <c r="M615" s="1" t="str">
        <f t="shared" si="142"/>
        <v>مخازن قير اصفهان</v>
      </c>
      <c r="N615" s="1">
        <v>7035</v>
      </c>
      <c r="O615" s="1">
        <v>50032681</v>
      </c>
      <c r="P615" s="1" t="str">
        <f>"  سازمان همياري شهرداريهاي يزد"</f>
        <v xml:space="preserve">  سازمان همياري شهرداريهاي يزد</v>
      </c>
      <c r="Q615" s="1">
        <v>19</v>
      </c>
      <c r="R61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15" s="1" t="str">
        <f t="shared" si="140"/>
        <v>قرارداد فروش</v>
      </c>
      <c r="T615" s="1" t="str">
        <f t="shared" si="141"/>
        <v>ندارد</v>
      </c>
      <c r="U615" s="1" t="str">
        <f>"قانعي محمدرضا(1011ج89)"</f>
        <v>قانعي محمدرضا(1011ج89)</v>
      </c>
      <c r="V615" s="1">
        <v>951900210</v>
      </c>
      <c r="W615" s="1">
        <v>951900210</v>
      </c>
      <c r="X615" s="1" t="str">
        <f>"1395447615"</f>
        <v>1395447615</v>
      </c>
      <c r="Y615" s="1" t="str">
        <f>"95/09/06"</f>
        <v>95/09/06</v>
      </c>
      <c r="Z615" s="1" t="str">
        <f>"42118/710"</f>
        <v>42118/710</v>
      </c>
      <c r="AA615" s="1" t="str">
        <f>"سازمان راهداري وحمل نقل جاده اي"</f>
        <v>سازمان راهداري وحمل نقل جاده اي</v>
      </c>
      <c r="AB615" s="1" t="str">
        <f>"95/08/29"</f>
        <v>95/08/29</v>
      </c>
      <c r="AC615" s="1" t="str">
        <f>"استان يزد"</f>
        <v>استان يزد</v>
      </c>
      <c r="AD615" s="1" t="str">
        <f>"95/09/06"</f>
        <v>95/09/06</v>
      </c>
      <c r="AE615" s="1" t="str">
        <f t="shared" si="143"/>
        <v>اختتام</v>
      </c>
      <c r="AF615" s="1" t="str">
        <f>""</f>
        <v/>
      </c>
      <c r="AG615" s="1" t="str">
        <f>""</f>
        <v/>
      </c>
      <c r="AH615" s="1" t="str">
        <f>""</f>
        <v/>
      </c>
      <c r="AI615" s="1" t="str">
        <f>""</f>
        <v/>
      </c>
      <c r="AJ615" s="1" t="str">
        <f>""</f>
        <v/>
      </c>
      <c r="AK615" s="1" t="str">
        <f>""</f>
        <v/>
      </c>
    </row>
    <row r="616" spans="1:37" x14ac:dyDescent="0.2">
      <c r="A616" s="1">
        <v>1000000</v>
      </c>
      <c r="B616" s="1">
        <v>951900023</v>
      </c>
      <c r="C616" s="1" t="str">
        <f>"تخليه -خراسان رضوي -مشهدكيلومتر20مشهدبه باغچه بعدازپادگان جديدارتش -كارخانه آسفالت مسكن وعمران قدس رضوي"</f>
        <v>تخليه -خراسان رضوي -مشهدكيلومتر20مشهدبه باغچه بعدازپادگان جديدارتش -كارخانه آسفالت مسكن وعمران قدس رضوي</v>
      </c>
      <c r="D616" s="1">
        <v>6050</v>
      </c>
      <c r="E616" s="1">
        <v>999380</v>
      </c>
      <c r="F616" s="1">
        <v>95</v>
      </c>
      <c r="G616" s="1">
        <v>620</v>
      </c>
      <c r="H616" s="1" t="str">
        <f>"95/03/12"</f>
        <v>95/03/12</v>
      </c>
      <c r="I616" s="1" t="str">
        <f t="shared" si="139"/>
        <v>كيلوگرم</v>
      </c>
      <c r="J616" s="1" t="str">
        <f t="shared" si="148"/>
        <v>0000000091</v>
      </c>
      <c r="K616" s="1" t="str">
        <f t="shared" si="149"/>
        <v>قير  PG64-22</v>
      </c>
      <c r="L616" s="1">
        <v>100</v>
      </c>
      <c r="M616" s="1" t="str">
        <f t="shared" si="142"/>
        <v>مخازن قير اصفهان</v>
      </c>
      <c r="N616" s="1">
        <v>7091</v>
      </c>
      <c r="O616" s="1">
        <v>50030953</v>
      </c>
      <c r="P616" s="1" t="str">
        <f>"  مسكن وعمران قدس رضوي"</f>
        <v xml:space="preserve">  مسكن وعمران قدس رضوي</v>
      </c>
      <c r="Q616" s="1">
        <v>19</v>
      </c>
      <c r="R61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16" s="1" t="str">
        <f t="shared" si="140"/>
        <v>قرارداد فروش</v>
      </c>
      <c r="T616" s="1" t="str">
        <f t="shared" si="141"/>
        <v>ندارد</v>
      </c>
      <c r="U616" s="1" t="str">
        <f>"عابدي محمود(1018ج89)"</f>
        <v>عابدي محمود(1018ج89)</v>
      </c>
      <c r="V616" s="1">
        <v>951900023</v>
      </c>
      <c r="W616" s="1">
        <v>951900023</v>
      </c>
      <c r="X616" s="1" t="str">
        <f>"1395407386"</f>
        <v>1395407386</v>
      </c>
      <c r="Y616" s="1" t="str">
        <f>"95/03/12"</f>
        <v>95/03/12</v>
      </c>
      <c r="Z616" s="1" t="str">
        <f>"68726/510"</f>
        <v>68726/510</v>
      </c>
      <c r="AA616" s="1" t="str">
        <f>"سازمان راهداري وحمل نقل جاده اي"</f>
        <v>سازمان راهداري وحمل نقل جاده اي</v>
      </c>
      <c r="AB616" s="1" t="str">
        <f>"94/12/16"</f>
        <v>94/12/16</v>
      </c>
      <c r="AC616" s="1" t="str">
        <f>"خراسان رضوي"</f>
        <v>خراسان رضوي</v>
      </c>
      <c r="AD616" s="1" t="str">
        <f>"95/03/12"</f>
        <v>95/03/12</v>
      </c>
      <c r="AE616" s="1" t="str">
        <f t="shared" ref="AE616:AE647" si="150">"اختتام"</f>
        <v>اختتام</v>
      </c>
      <c r="AF616" s="1" t="str">
        <f>""</f>
        <v/>
      </c>
      <c r="AG616" s="1" t="str">
        <f>""</f>
        <v/>
      </c>
      <c r="AH616" s="1" t="str">
        <f>""</f>
        <v/>
      </c>
      <c r="AI616" s="1" t="str">
        <f>""</f>
        <v/>
      </c>
      <c r="AJ616" s="1" t="str">
        <f>""</f>
        <v/>
      </c>
      <c r="AK616" s="1" t="str">
        <f>""</f>
        <v/>
      </c>
    </row>
    <row r="617" spans="1:37" x14ac:dyDescent="0.2">
      <c r="A617" s="1">
        <v>1000000</v>
      </c>
      <c r="B617" s="1">
        <v>951900272</v>
      </c>
      <c r="C617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617" s="1">
        <v>8998</v>
      </c>
      <c r="E617" s="1">
        <v>998660</v>
      </c>
      <c r="F617" s="1">
        <v>95</v>
      </c>
      <c r="G617" s="1">
        <v>1340</v>
      </c>
      <c r="H617" s="1" t="str">
        <f>"95/12/10"</f>
        <v>95/12/10</v>
      </c>
      <c r="I617" s="1" t="str">
        <f t="shared" si="139"/>
        <v>كيلوگرم</v>
      </c>
      <c r="J617" s="1" t="str">
        <f t="shared" si="148"/>
        <v>0000000091</v>
      </c>
      <c r="K617" s="1" t="str">
        <f t="shared" si="149"/>
        <v>قير  PG64-22</v>
      </c>
      <c r="L617" s="1">
        <v>100</v>
      </c>
      <c r="M617" s="1" t="str">
        <f t="shared" si="142"/>
        <v>مخازن قير اصفهان</v>
      </c>
      <c r="N617" s="1">
        <v>7140</v>
      </c>
      <c r="O617" s="1">
        <v>50033945</v>
      </c>
      <c r="P617" s="1" t="str">
        <f>"  زرين سپاهان"</f>
        <v xml:space="preserve">  زرين سپاهان</v>
      </c>
      <c r="Q617" s="1">
        <v>19</v>
      </c>
      <c r="R6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17" s="1" t="str">
        <f t="shared" si="140"/>
        <v>قرارداد فروش</v>
      </c>
      <c r="T617" s="1" t="str">
        <f t="shared" si="141"/>
        <v>ندارد</v>
      </c>
      <c r="U617" s="1" t="str">
        <f>"دهقانيان بيژن (4954038)"</f>
        <v>دهقانيان بيژن (4954038)</v>
      </c>
      <c r="V617" s="1">
        <v>951900272</v>
      </c>
      <c r="W617" s="1">
        <v>951900272</v>
      </c>
      <c r="X617" s="1" t="str">
        <f>"1395468353"</f>
        <v>1395468353</v>
      </c>
      <c r="Y617" s="1" t="str">
        <f>"95/12/10"</f>
        <v>95/12/10</v>
      </c>
      <c r="Z617" s="1" t="str">
        <f>"62383/710"</f>
        <v>62383/710</v>
      </c>
      <c r="AA617" s="1" t="str">
        <f>"سازمان راهداري وحمل نقل جاده اي"</f>
        <v>سازمان راهداري وحمل نقل جاده اي</v>
      </c>
      <c r="AB617" s="1" t="str">
        <f>"95/12/09"</f>
        <v>95/12/09</v>
      </c>
      <c r="AC617" s="1" t="str">
        <f>"استان سمنان"</f>
        <v>استان سمنان</v>
      </c>
      <c r="AD617" s="1" t="str">
        <f>"95/12/10"</f>
        <v>95/12/10</v>
      </c>
      <c r="AE617" s="1" t="str">
        <f t="shared" si="150"/>
        <v>اختتام</v>
      </c>
      <c r="AF617" s="1" t="str">
        <f>""</f>
        <v/>
      </c>
      <c r="AG617" s="1" t="str">
        <f>""</f>
        <v/>
      </c>
      <c r="AH617" s="1" t="str">
        <f>""</f>
        <v/>
      </c>
      <c r="AI617" s="1" t="str">
        <f>""</f>
        <v/>
      </c>
      <c r="AJ617" s="1" t="str">
        <f>""</f>
        <v/>
      </c>
      <c r="AK617" s="1" t="str">
        <f>""</f>
        <v/>
      </c>
    </row>
    <row r="618" spans="1:37" x14ac:dyDescent="0.2">
      <c r="A618" s="1">
        <v>550000</v>
      </c>
      <c r="B618" s="1">
        <v>951800139</v>
      </c>
      <c r="C618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618" s="1">
        <v>8998</v>
      </c>
      <c r="E618" s="1">
        <v>549200</v>
      </c>
      <c r="F618" s="1">
        <v>95</v>
      </c>
      <c r="G618" s="1">
        <v>800</v>
      </c>
      <c r="H618" s="1" t="str">
        <f>"95/11/23"</f>
        <v>95/11/23</v>
      </c>
      <c r="I618" s="1" t="str">
        <f t="shared" si="139"/>
        <v>كيلوگرم</v>
      </c>
      <c r="J618" s="1" t="str">
        <f>"0000000089"</f>
        <v>0000000089</v>
      </c>
      <c r="K618" s="1" t="str">
        <f>"قير  PG58-16"</f>
        <v>قير  PG58-16</v>
      </c>
      <c r="L618" s="1">
        <v>100</v>
      </c>
      <c r="M618" s="1" t="str">
        <f t="shared" si="142"/>
        <v>مخازن قير اصفهان</v>
      </c>
      <c r="N618" s="1">
        <v>11081</v>
      </c>
      <c r="O618" s="1">
        <v>50033663</v>
      </c>
      <c r="P618" s="1" t="str">
        <f>"  استحكام بتون خرمي"</f>
        <v xml:space="preserve">  استحكام بتون خرمي</v>
      </c>
      <c r="Q618" s="1">
        <v>18</v>
      </c>
      <c r="R618" s="1" t="str">
        <f>"فروش داخلي تهران - وزارت راه - شرکت ساخت و توسعه راهها"</f>
        <v>فروش داخلي تهران - وزارت راه - شرکت ساخت و توسعه راهها</v>
      </c>
      <c r="S618" s="1" t="str">
        <f t="shared" si="140"/>
        <v>قرارداد فروش</v>
      </c>
      <c r="T618" s="1" t="str">
        <f t="shared" si="141"/>
        <v>ندارد</v>
      </c>
      <c r="U618" s="1" t="str">
        <f>"عظيمي محمد(2842015)"</f>
        <v>عظيمي محمد(2842015)</v>
      </c>
      <c r="V618" s="1">
        <v>951800139</v>
      </c>
      <c r="W618" s="1">
        <v>951800139</v>
      </c>
      <c r="X618" s="1" t="str">
        <f>"1395464407"</f>
        <v>1395464407</v>
      </c>
      <c r="Y618" s="1" t="str">
        <f>"95/11/23"</f>
        <v>95/11/23</v>
      </c>
      <c r="Z618" s="1" t="str">
        <f>"56288/710"</f>
        <v>56288/710</v>
      </c>
      <c r="AA618" s="1" t="str">
        <f>"شركت  ساخت وتوسعه راهها"</f>
        <v>شركت  ساخت وتوسعه راهها</v>
      </c>
      <c r="AB618" s="1" t="str">
        <f>"95/11/12"</f>
        <v>95/11/12</v>
      </c>
      <c r="AC618" s="1" t="str">
        <f>"لرستان"</f>
        <v>لرستان</v>
      </c>
      <c r="AD618" s="1" t="str">
        <f>"95/11/23"</f>
        <v>95/11/23</v>
      </c>
      <c r="AE618" s="1" t="str">
        <f t="shared" si="150"/>
        <v>اختتام</v>
      </c>
      <c r="AF618" s="1" t="str">
        <f>""</f>
        <v/>
      </c>
      <c r="AG618" s="1" t="str">
        <f>""</f>
        <v/>
      </c>
      <c r="AH618" s="1" t="str">
        <f>""</f>
        <v/>
      </c>
      <c r="AI618" s="1" t="str">
        <f>""</f>
        <v/>
      </c>
      <c r="AJ618" s="1" t="str">
        <f>""</f>
        <v/>
      </c>
      <c r="AK618" s="1" t="str">
        <f>""</f>
        <v/>
      </c>
    </row>
    <row r="619" spans="1:37" x14ac:dyDescent="0.2">
      <c r="A619" s="1">
        <v>180000</v>
      </c>
      <c r="B619" s="1">
        <v>951700154</v>
      </c>
      <c r="C619" s="1" t="str">
        <f>"تخليه خراسان رضوي كيلومتر80محوركلات مشهدسه راهي اورتكندكارخانه ريوندراه آريا"</f>
        <v>تخليه خراسان رضوي كيلومتر80محوركلات مشهدسه راهي اورتكندكارخانه ريوندراه آريا</v>
      </c>
      <c r="D619" s="1">
        <v>6726</v>
      </c>
      <c r="E619" s="1">
        <v>178560</v>
      </c>
      <c r="F619" s="1">
        <v>95</v>
      </c>
      <c r="G619" s="1">
        <v>1440</v>
      </c>
      <c r="H619" s="1" t="str">
        <f>"95/05/23"</f>
        <v>95/05/23</v>
      </c>
      <c r="I619" s="1" t="str">
        <f t="shared" si="139"/>
        <v>كيلوگرم</v>
      </c>
      <c r="J619" s="1" t="str">
        <f t="shared" ref="J619:J640" si="151">"0000000091"</f>
        <v>0000000091</v>
      </c>
      <c r="K619" s="1" t="str">
        <f t="shared" ref="K619:K640" si="152">"قير  PG64-22"</f>
        <v>قير  PG64-22</v>
      </c>
      <c r="L619" s="1">
        <v>100</v>
      </c>
      <c r="M619" s="1" t="str">
        <f t="shared" si="142"/>
        <v>مخازن قير اصفهان</v>
      </c>
      <c r="N619" s="1">
        <v>4026</v>
      </c>
      <c r="O619" s="1">
        <v>50031507</v>
      </c>
      <c r="P619" s="1" t="str">
        <f t="shared" ref="P619:P625" si="153">"  اداره كل راه و شهرسازي خراسان رضوي"</f>
        <v xml:space="preserve">  اداره كل راه و شهرسازي خراسان رضوي</v>
      </c>
      <c r="Q619" s="1">
        <v>17</v>
      </c>
      <c r="R619" s="1" t="str">
        <f t="shared" ref="R619:R625" si="154">"فروش داخلي تهران - وزارت راه - راه روستايي - روکش"</f>
        <v>فروش داخلي تهران - وزارت راه - راه روستايي - روکش</v>
      </c>
      <c r="S619" s="1" t="str">
        <f t="shared" si="140"/>
        <v>قرارداد فروش</v>
      </c>
      <c r="T619" s="1" t="str">
        <f t="shared" si="141"/>
        <v>ندارد</v>
      </c>
      <c r="U619" s="1" t="str">
        <f>"بابامحمدي عنايت اله(4844000)"</f>
        <v>بابامحمدي عنايت اله(4844000)</v>
      </c>
      <c r="V619" s="1">
        <v>951700154</v>
      </c>
      <c r="W619" s="1">
        <v>951700154</v>
      </c>
      <c r="X619" s="1" t="str">
        <f>"1395421989"</f>
        <v>1395421989</v>
      </c>
      <c r="Y619" s="1" t="str">
        <f>"95/05/23"</f>
        <v>95/05/23</v>
      </c>
      <c r="Z619" s="1" t="str">
        <f>"21001/510"</f>
        <v>21001/510</v>
      </c>
      <c r="AA619" s="1" t="str">
        <f t="shared" ref="AA619:AA625" si="155">"راه روستائي -روكش"</f>
        <v>راه روستائي -روكش</v>
      </c>
      <c r="AB619" s="1" t="str">
        <f>"95/05/11"</f>
        <v>95/05/11</v>
      </c>
      <c r="AC619" s="1" t="str">
        <f t="shared" ref="AC619:AC625" si="156">"خراسان رضوي"</f>
        <v>خراسان رضوي</v>
      </c>
      <c r="AD619" s="1" t="str">
        <f>"95/05/18"</f>
        <v>95/05/18</v>
      </c>
      <c r="AE619" s="1" t="str">
        <f t="shared" si="150"/>
        <v>اختتام</v>
      </c>
      <c r="AF619" s="1" t="str">
        <f>""</f>
        <v/>
      </c>
      <c r="AG619" s="1" t="str">
        <f>""</f>
        <v/>
      </c>
      <c r="AH619" s="1" t="str">
        <f>""</f>
        <v/>
      </c>
      <c r="AI619" s="1" t="str">
        <f>""</f>
        <v/>
      </c>
      <c r="AJ619" s="1" t="str">
        <f>""</f>
        <v/>
      </c>
      <c r="AK619" s="1" t="str">
        <f>""</f>
        <v/>
      </c>
    </row>
    <row r="620" spans="1:37" x14ac:dyDescent="0.2">
      <c r="A620" s="1">
        <v>205000</v>
      </c>
      <c r="B620" s="1">
        <v>951700159</v>
      </c>
      <c r="C620" s="1" t="str">
        <f>"تخليه -خراسان رضوي -جاده كلات كارخانه آسفالت مشكين راه توس"</f>
        <v>تخليه -خراسان رضوي -جاده كلات كارخانه آسفالت مشكين راه توس</v>
      </c>
      <c r="D620" s="1">
        <v>6726</v>
      </c>
      <c r="E620" s="1">
        <v>204540</v>
      </c>
      <c r="F620" s="1">
        <v>95</v>
      </c>
      <c r="G620" s="1">
        <v>460</v>
      </c>
      <c r="H620" s="1" t="str">
        <f>"95/05/26"</f>
        <v>95/05/26</v>
      </c>
      <c r="I620" s="1" t="str">
        <f t="shared" si="139"/>
        <v>كيلوگرم</v>
      </c>
      <c r="J620" s="1" t="str">
        <f t="shared" si="151"/>
        <v>0000000091</v>
      </c>
      <c r="K620" s="1" t="str">
        <f t="shared" si="152"/>
        <v>قير  PG64-22</v>
      </c>
      <c r="L620" s="1">
        <v>100</v>
      </c>
      <c r="M620" s="1" t="str">
        <f t="shared" si="142"/>
        <v>مخازن قير اصفهان</v>
      </c>
      <c r="N620" s="1">
        <v>4026</v>
      </c>
      <c r="O620" s="1">
        <v>50031554</v>
      </c>
      <c r="P620" s="1" t="str">
        <f t="shared" si="153"/>
        <v xml:space="preserve">  اداره كل راه و شهرسازي خراسان رضوي</v>
      </c>
      <c r="Q620" s="1">
        <v>17</v>
      </c>
      <c r="R620" s="1" t="str">
        <f t="shared" si="154"/>
        <v>فروش داخلي تهران - وزارت راه - راه روستايي - روکش</v>
      </c>
      <c r="S620" s="1" t="str">
        <f t="shared" si="140"/>
        <v>قرارداد فروش</v>
      </c>
      <c r="T620" s="1" t="str">
        <f t="shared" si="141"/>
        <v>ندارد</v>
      </c>
      <c r="U620" s="1" t="str">
        <f>"حسيني سيدجواد(1841076)"</f>
        <v>حسيني سيدجواد(1841076)</v>
      </c>
      <c r="V620" s="1">
        <v>951700159</v>
      </c>
      <c r="W620" s="1">
        <v>951700159</v>
      </c>
      <c r="X620" s="1" t="str">
        <f>"1395423817"</f>
        <v>1395423817</v>
      </c>
      <c r="Y620" s="1" t="str">
        <f>"95/05/26"</f>
        <v>95/05/26</v>
      </c>
      <c r="Z620" s="1" t="str">
        <f>"22688/510"</f>
        <v>22688/510</v>
      </c>
      <c r="AA620" s="1" t="str">
        <f t="shared" si="155"/>
        <v>راه روستائي -روكش</v>
      </c>
      <c r="AB620" s="1" t="str">
        <f>"95/05/19"</f>
        <v>95/05/19</v>
      </c>
      <c r="AC620" s="1" t="str">
        <f t="shared" si="156"/>
        <v>خراسان رضوي</v>
      </c>
      <c r="AD620" s="1" t="str">
        <f>"95/05/25"</f>
        <v>95/05/25</v>
      </c>
      <c r="AE620" s="1" t="str">
        <f t="shared" si="150"/>
        <v>اختتام</v>
      </c>
      <c r="AF620" s="1" t="str">
        <f>""</f>
        <v/>
      </c>
      <c r="AG620" s="1" t="str">
        <f>""</f>
        <v/>
      </c>
      <c r="AH620" s="1" t="str">
        <f>""</f>
        <v/>
      </c>
      <c r="AI620" s="1" t="str">
        <f>""</f>
        <v/>
      </c>
      <c r="AJ620" s="1" t="str">
        <f>""</f>
        <v/>
      </c>
      <c r="AK620" s="1" t="str">
        <f>""</f>
        <v/>
      </c>
    </row>
    <row r="621" spans="1:37" x14ac:dyDescent="0.2">
      <c r="A621" s="1">
        <v>26000</v>
      </c>
      <c r="B621" s="1">
        <v>951700185</v>
      </c>
      <c r="C621" s="1" t="str">
        <f>"تخليه-کاشمر-کارخانه آسفالت کيميا سروش پاسارگاد"</f>
        <v>تخليه-کاشمر-کارخانه آسفالت کيميا سروش پاسارگاد</v>
      </c>
      <c r="D621" s="1">
        <v>7176</v>
      </c>
      <c r="E621" s="1">
        <v>23100</v>
      </c>
      <c r="F621" s="1">
        <v>95</v>
      </c>
      <c r="G621" s="1">
        <v>2900</v>
      </c>
      <c r="H621" s="1" t="str">
        <f>"95/06/07"</f>
        <v>95/06/07</v>
      </c>
      <c r="I621" s="1" t="str">
        <f t="shared" si="139"/>
        <v>كيلوگرم</v>
      </c>
      <c r="J621" s="1" t="str">
        <f t="shared" si="151"/>
        <v>0000000091</v>
      </c>
      <c r="K621" s="1" t="str">
        <f t="shared" si="152"/>
        <v>قير  PG64-22</v>
      </c>
      <c r="L621" s="1">
        <v>100</v>
      </c>
      <c r="M621" s="1" t="str">
        <f t="shared" si="142"/>
        <v>مخازن قير اصفهان</v>
      </c>
      <c r="N621" s="1">
        <v>4026</v>
      </c>
      <c r="O621" s="1">
        <v>50031673</v>
      </c>
      <c r="P621" s="1" t="str">
        <f t="shared" si="153"/>
        <v xml:space="preserve">  اداره كل راه و شهرسازي خراسان رضوي</v>
      </c>
      <c r="Q621" s="1">
        <v>17</v>
      </c>
      <c r="R621" s="1" t="str">
        <f t="shared" si="154"/>
        <v>فروش داخلي تهران - وزارت راه - راه روستايي - روکش</v>
      </c>
      <c r="S621" s="1" t="str">
        <f t="shared" si="140"/>
        <v>قرارداد فروش</v>
      </c>
      <c r="T621" s="1" t="str">
        <f t="shared" si="141"/>
        <v>ندارد</v>
      </c>
      <c r="U621" s="1" t="str">
        <f>"ترك شاهسوندي مهدي(1022ج89)"</f>
        <v>ترك شاهسوندي مهدي(1022ج89)</v>
      </c>
      <c r="V621" s="1">
        <v>951700185</v>
      </c>
      <c r="W621" s="1">
        <v>951700185</v>
      </c>
      <c r="X621" s="1" t="str">
        <f>"1395426941"</f>
        <v>1395426941</v>
      </c>
      <c r="Y621" s="1" t="str">
        <f>"95/06/07"</f>
        <v>95/06/07</v>
      </c>
      <c r="Z621" s="1" t="str">
        <f>"25075/510"</f>
        <v>25075/510</v>
      </c>
      <c r="AA621" s="1" t="str">
        <f t="shared" si="155"/>
        <v>راه روستائي -روكش</v>
      </c>
      <c r="AB621" s="1" t="str">
        <f>"95/05/31"</f>
        <v>95/05/31</v>
      </c>
      <c r="AC621" s="1" t="str">
        <f t="shared" si="156"/>
        <v>خراسان رضوي</v>
      </c>
      <c r="AD621" s="1" t="str">
        <f>"95/06/06"</f>
        <v>95/06/06</v>
      </c>
      <c r="AE621" s="1" t="str">
        <f t="shared" si="150"/>
        <v>اختتام</v>
      </c>
      <c r="AF621" s="1" t="str">
        <f>""</f>
        <v/>
      </c>
      <c r="AG621" s="1" t="str">
        <f>""</f>
        <v/>
      </c>
      <c r="AH621" s="1" t="str">
        <f>""</f>
        <v/>
      </c>
      <c r="AI621" s="1" t="str">
        <f>""</f>
        <v/>
      </c>
      <c r="AJ621" s="1" t="str">
        <f>""</f>
        <v/>
      </c>
      <c r="AK621" s="1" t="str">
        <f>""</f>
        <v/>
      </c>
    </row>
    <row r="622" spans="1:37" x14ac:dyDescent="0.2">
      <c r="A622" s="1">
        <v>130000</v>
      </c>
      <c r="B622" s="1">
        <v>951700194</v>
      </c>
      <c r="C622" s="1" t="str">
        <f>"تخليه-کاشمر-کارخانه آسفالت کيميا سروش پاسارگاد"</f>
        <v>تخليه-کاشمر-کارخانه آسفالت کيميا سروش پاسارگاد</v>
      </c>
      <c r="D622" s="1">
        <v>7176</v>
      </c>
      <c r="E622" s="1">
        <v>124340</v>
      </c>
      <c r="F622" s="1">
        <v>95</v>
      </c>
      <c r="G622" s="1">
        <v>5660</v>
      </c>
      <c r="H622" s="1" t="str">
        <f>"95/06/08"</f>
        <v>95/06/08</v>
      </c>
      <c r="I622" s="1" t="str">
        <f t="shared" si="139"/>
        <v>كيلوگرم</v>
      </c>
      <c r="J622" s="1" t="str">
        <f t="shared" si="151"/>
        <v>0000000091</v>
      </c>
      <c r="K622" s="1" t="str">
        <f t="shared" si="152"/>
        <v>قير  PG64-22</v>
      </c>
      <c r="L622" s="1">
        <v>100</v>
      </c>
      <c r="M622" s="1" t="str">
        <f t="shared" si="142"/>
        <v>مخازن قير اصفهان</v>
      </c>
      <c r="N622" s="1">
        <v>4026</v>
      </c>
      <c r="O622" s="1">
        <v>50031703</v>
      </c>
      <c r="P622" s="1" t="str">
        <f t="shared" si="153"/>
        <v xml:space="preserve">  اداره كل راه و شهرسازي خراسان رضوي</v>
      </c>
      <c r="Q622" s="1">
        <v>17</v>
      </c>
      <c r="R622" s="1" t="str">
        <f t="shared" si="154"/>
        <v>فروش داخلي تهران - وزارت راه - راه روستايي - روکش</v>
      </c>
      <c r="S622" s="1" t="str">
        <f t="shared" si="140"/>
        <v>قرارداد فروش</v>
      </c>
      <c r="T622" s="1" t="str">
        <f t="shared" si="141"/>
        <v>ندارد</v>
      </c>
      <c r="U622" s="1" t="str">
        <f>"ترك شاهسوندي مهدي(1022ج89)"</f>
        <v>ترك شاهسوندي مهدي(1022ج89)</v>
      </c>
      <c r="V622" s="1">
        <v>951700194</v>
      </c>
      <c r="W622" s="1">
        <v>951700194</v>
      </c>
      <c r="X622" s="1" t="str">
        <f>"1395427130"</f>
        <v>1395427130</v>
      </c>
      <c r="Y622" s="1" t="str">
        <f>"95/06/08"</f>
        <v>95/06/08</v>
      </c>
      <c r="Z622" s="1" t="str">
        <f>"24475/510"</f>
        <v>24475/510</v>
      </c>
      <c r="AA622" s="1" t="str">
        <f t="shared" si="155"/>
        <v>راه روستائي -روكش</v>
      </c>
      <c r="AB622" s="1" t="str">
        <f>"95/05/30"</f>
        <v>95/05/30</v>
      </c>
      <c r="AC622" s="1" t="str">
        <f t="shared" si="156"/>
        <v>خراسان رضوي</v>
      </c>
      <c r="AD622" s="1" t="str">
        <f>"95/06/07"</f>
        <v>95/06/07</v>
      </c>
      <c r="AE622" s="1" t="str">
        <f t="shared" si="150"/>
        <v>اختتام</v>
      </c>
      <c r="AF622" s="1" t="str">
        <f>""</f>
        <v/>
      </c>
      <c r="AG622" s="1" t="str">
        <f>""</f>
        <v/>
      </c>
      <c r="AH622" s="1" t="str">
        <f>""</f>
        <v/>
      </c>
      <c r="AI622" s="1" t="str">
        <f>""</f>
        <v/>
      </c>
      <c r="AJ622" s="1" t="str">
        <f>""</f>
        <v/>
      </c>
      <c r="AK622" s="1" t="str">
        <f>""</f>
        <v/>
      </c>
    </row>
    <row r="623" spans="1:37" x14ac:dyDescent="0.2">
      <c r="A623" s="1">
        <v>400000</v>
      </c>
      <c r="B623" s="1">
        <v>951700202</v>
      </c>
      <c r="C623" s="1" t="str">
        <f>"تخليه خراسان رضوي -بجستان اداره اراه وشهرسازي بجستان"</f>
        <v>تخليه خراسان رضوي -بجستان اداره اراه وشهرسازي بجستان</v>
      </c>
      <c r="D623" s="1">
        <v>7176</v>
      </c>
      <c r="E623" s="1">
        <v>292900</v>
      </c>
      <c r="F623" s="1">
        <v>95</v>
      </c>
      <c r="G623" s="1">
        <v>107100</v>
      </c>
      <c r="H623" s="1" t="str">
        <f>"95/06/15"</f>
        <v>95/06/15</v>
      </c>
      <c r="I623" s="1" t="str">
        <f t="shared" si="139"/>
        <v>كيلوگرم</v>
      </c>
      <c r="J623" s="1" t="str">
        <f t="shared" si="151"/>
        <v>0000000091</v>
      </c>
      <c r="K623" s="1" t="str">
        <f t="shared" si="152"/>
        <v>قير  PG64-22</v>
      </c>
      <c r="L623" s="1">
        <v>100</v>
      </c>
      <c r="M623" s="1" t="str">
        <f t="shared" si="142"/>
        <v>مخازن قير اصفهان</v>
      </c>
      <c r="N623" s="1">
        <v>4026</v>
      </c>
      <c r="O623" s="1">
        <v>50031915</v>
      </c>
      <c r="P623" s="1" t="str">
        <f t="shared" si="153"/>
        <v xml:space="preserve">  اداره كل راه و شهرسازي خراسان رضوي</v>
      </c>
      <c r="Q623" s="1">
        <v>17</v>
      </c>
      <c r="R623" s="1" t="str">
        <f t="shared" si="154"/>
        <v>فروش داخلي تهران - وزارت راه - راه روستايي - روکش</v>
      </c>
      <c r="S623" s="1" t="str">
        <f t="shared" si="140"/>
        <v>قرارداد فروش</v>
      </c>
      <c r="T623" s="1" t="str">
        <f t="shared" si="141"/>
        <v>ندارد</v>
      </c>
      <c r="U623" s="1" t="str">
        <f>"حسيني سيدجواد(1841076)"</f>
        <v>حسيني سيدجواد(1841076)</v>
      </c>
      <c r="V623" s="1">
        <v>951700202</v>
      </c>
      <c r="W623" s="1">
        <v>951700202</v>
      </c>
      <c r="X623" s="1" t="str">
        <f>"1395428996"</f>
        <v>1395428996</v>
      </c>
      <c r="Y623" s="1" t="str">
        <f>"95/06/15"</f>
        <v>95/06/15</v>
      </c>
      <c r="Z623" s="1" t="str">
        <f>"27997/510"</f>
        <v>27997/510</v>
      </c>
      <c r="AA623" s="1" t="str">
        <f t="shared" si="155"/>
        <v>راه روستائي -روكش</v>
      </c>
      <c r="AB623" s="1" t="str">
        <f>"95/06/13"</f>
        <v>95/06/13</v>
      </c>
      <c r="AC623" s="1" t="str">
        <f t="shared" si="156"/>
        <v>خراسان رضوي</v>
      </c>
      <c r="AD623" s="1" t="str">
        <f>"95/06/14"</f>
        <v>95/06/14</v>
      </c>
      <c r="AE623" s="1" t="str">
        <f t="shared" si="150"/>
        <v>اختتام</v>
      </c>
      <c r="AF623" s="1" t="str">
        <f>""</f>
        <v/>
      </c>
      <c r="AG623" s="1" t="str">
        <f>""</f>
        <v/>
      </c>
      <c r="AH623" s="1" t="str">
        <f>""</f>
        <v/>
      </c>
      <c r="AI623" s="1" t="str">
        <f>""</f>
        <v/>
      </c>
      <c r="AJ623" s="1" t="str">
        <f>""</f>
        <v/>
      </c>
      <c r="AK623" s="1" t="str">
        <f>""</f>
        <v/>
      </c>
    </row>
    <row r="624" spans="1:37" x14ac:dyDescent="0.2">
      <c r="A624" s="1">
        <v>263000</v>
      </c>
      <c r="B624" s="1">
        <v>951700255</v>
      </c>
      <c r="C624" s="1" t="str">
        <f>"تخليه -خراسان رضوي -شهرستان باخرز-كارخانه آسفالت شهرداري باخرز"</f>
        <v>تخليه -خراسان رضوي -شهرستان باخرز-كارخانه آسفالت شهرداري باخرز</v>
      </c>
      <c r="D624" s="1">
        <v>8323</v>
      </c>
      <c r="E624" s="1">
        <v>208000</v>
      </c>
      <c r="F624" s="1">
        <v>95</v>
      </c>
      <c r="G624" s="1">
        <v>55000</v>
      </c>
      <c r="H624" s="1" t="str">
        <f>"95/08/08"</f>
        <v>95/08/08</v>
      </c>
      <c r="I624" s="1" t="str">
        <f t="shared" si="139"/>
        <v>كيلوگرم</v>
      </c>
      <c r="J624" s="1" t="str">
        <f t="shared" si="151"/>
        <v>0000000091</v>
      </c>
      <c r="K624" s="1" t="str">
        <f t="shared" si="152"/>
        <v>قير  PG64-22</v>
      </c>
      <c r="L624" s="1">
        <v>100</v>
      </c>
      <c r="M624" s="1" t="str">
        <f t="shared" si="142"/>
        <v>مخازن قير اصفهان</v>
      </c>
      <c r="N624" s="1">
        <v>4026</v>
      </c>
      <c r="O624" s="1">
        <v>50032366</v>
      </c>
      <c r="P624" s="1" t="str">
        <f t="shared" si="153"/>
        <v xml:space="preserve">  اداره كل راه و شهرسازي خراسان رضوي</v>
      </c>
      <c r="Q624" s="1">
        <v>17</v>
      </c>
      <c r="R624" s="1" t="str">
        <f t="shared" si="154"/>
        <v>فروش داخلي تهران - وزارت راه - راه روستايي - روکش</v>
      </c>
      <c r="S624" s="1" t="str">
        <f t="shared" si="140"/>
        <v>قرارداد فروش</v>
      </c>
      <c r="T624" s="1" t="str">
        <f t="shared" si="141"/>
        <v>ندارد</v>
      </c>
      <c r="U624" s="1" t="str">
        <f>"نظام دوست امين (1911102)"</f>
        <v>نظام دوست امين (1911102)</v>
      </c>
      <c r="V624" s="1">
        <v>951700255</v>
      </c>
      <c r="W624" s="1">
        <v>951700255</v>
      </c>
      <c r="X624" s="1" t="str">
        <f>"1395433846"</f>
        <v>1395433846</v>
      </c>
      <c r="Y624" s="1" t="str">
        <f>"95/08/08"</f>
        <v>95/08/08</v>
      </c>
      <c r="Z624" s="1" t="str">
        <f>"31275/510"</f>
        <v>31275/510</v>
      </c>
      <c r="AA624" s="1" t="str">
        <f t="shared" si="155"/>
        <v>راه روستائي -روكش</v>
      </c>
      <c r="AB624" s="1" t="str">
        <f>"95/06/31"</f>
        <v>95/06/31</v>
      </c>
      <c r="AC624" s="1" t="str">
        <f t="shared" si="156"/>
        <v>خراسان رضوي</v>
      </c>
      <c r="AD624" s="1" t="str">
        <f>"95/07/05"</f>
        <v>95/07/05</v>
      </c>
      <c r="AE624" s="1" t="str">
        <f t="shared" si="150"/>
        <v>اختتام</v>
      </c>
      <c r="AF624" s="1" t="str">
        <f>""</f>
        <v/>
      </c>
      <c r="AG624" s="1" t="str">
        <f>""</f>
        <v/>
      </c>
      <c r="AH624" s="1" t="str">
        <f>""</f>
        <v/>
      </c>
      <c r="AI624" s="1" t="str">
        <f>""</f>
        <v/>
      </c>
      <c r="AJ624" s="1" t="str">
        <f>""</f>
        <v/>
      </c>
      <c r="AK624" s="1" t="str">
        <f>""</f>
        <v/>
      </c>
    </row>
    <row r="625" spans="1:37" x14ac:dyDescent="0.2">
      <c r="A625" s="1">
        <v>200000</v>
      </c>
      <c r="B625" s="1">
        <v>951700290</v>
      </c>
      <c r="C625" s="1" t="str">
        <f>"تخليه -خراسان رضوي محورتربت جام -فريمان كيلومتر45كارخانه استحكام انديش توس"</f>
        <v>تخليه -خراسان رضوي محورتربت جام -فريمان كيلومتر45كارخانه استحكام انديش توس</v>
      </c>
      <c r="D625" s="1">
        <v>9061</v>
      </c>
      <c r="E625" s="1">
        <v>22200</v>
      </c>
      <c r="F625" s="1">
        <v>95</v>
      </c>
      <c r="G625" s="1">
        <v>177800</v>
      </c>
      <c r="H625" s="1" t="str">
        <f>"95/10/05"</f>
        <v>95/10/05</v>
      </c>
      <c r="I625" s="1" t="str">
        <f t="shared" si="139"/>
        <v>كيلوگرم</v>
      </c>
      <c r="J625" s="1" t="str">
        <f t="shared" si="151"/>
        <v>0000000091</v>
      </c>
      <c r="K625" s="1" t="str">
        <f t="shared" si="152"/>
        <v>قير  PG64-22</v>
      </c>
      <c r="L625" s="1">
        <v>100</v>
      </c>
      <c r="M625" s="1" t="str">
        <f t="shared" si="142"/>
        <v>مخازن قير اصفهان</v>
      </c>
      <c r="N625" s="1">
        <v>4026</v>
      </c>
      <c r="O625" s="1">
        <v>50033134</v>
      </c>
      <c r="P625" s="1" t="str">
        <f t="shared" si="153"/>
        <v xml:space="preserve">  اداره كل راه و شهرسازي خراسان رضوي</v>
      </c>
      <c r="Q625" s="1">
        <v>17</v>
      </c>
      <c r="R625" s="1" t="str">
        <f t="shared" si="154"/>
        <v>فروش داخلي تهران - وزارت راه - راه روستايي - روکش</v>
      </c>
      <c r="S625" s="1" t="str">
        <f t="shared" si="140"/>
        <v>قرارداد فروش</v>
      </c>
      <c r="T625" s="1" t="str">
        <f t="shared" si="141"/>
        <v>ندارد</v>
      </c>
      <c r="U625" s="1" t="str">
        <f>"نظام دوست امين (1911102)"</f>
        <v>نظام دوست امين (1911102)</v>
      </c>
      <c r="V625" s="1">
        <v>951700290</v>
      </c>
      <c r="W625" s="1">
        <v>951700290</v>
      </c>
      <c r="X625" s="1" t="str">
        <f>"1395433834"</f>
        <v>1395433834</v>
      </c>
      <c r="Y625" s="1" t="str">
        <f>"95/10/05"</f>
        <v>95/10/05</v>
      </c>
      <c r="Z625" s="1" t="str">
        <f>"31304/510"</f>
        <v>31304/510</v>
      </c>
      <c r="AA625" s="1" t="str">
        <f t="shared" si="155"/>
        <v>راه روستائي -روكش</v>
      </c>
      <c r="AB625" s="1" t="str">
        <f>"95/06/31"</f>
        <v>95/06/31</v>
      </c>
      <c r="AC625" s="1" t="str">
        <f t="shared" si="156"/>
        <v>خراسان رضوي</v>
      </c>
      <c r="AD625" s="1" t="str">
        <f>"95/07/05"</f>
        <v>95/07/05</v>
      </c>
      <c r="AE625" s="1" t="str">
        <f t="shared" si="150"/>
        <v>اختتام</v>
      </c>
      <c r="AF625" s="1" t="str">
        <f>""</f>
        <v/>
      </c>
      <c r="AG625" s="1" t="str">
        <f>""</f>
        <v/>
      </c>
      <c r="AH625" s="1" t="str">
        <f>""</f>
        <v/>
      </c>
      <c r="AI625" s="1" t="str">
        <f>""</f>
        <v/>
      </c>
      <c r="AJ625" s="1" t="str">
        <f>""</f>
        <v/>
      </c>
      <c r="AK625" s="1" t="str">
        <f>""</f>
        <v/>
      </c>
    </row>
    <row r="626" spans="1:37" x14ac:dyDescent="0.2">
      <c r="A626" s="1">
        <v>1000000</v>
      </c>
      <c r="B626" s="1">
        <v>951900318</v>
      </c>
      <c r="C626" s="1" t="str">
        <f>"تخليه -كرمانشاه -كنارگذرشرقي كرمانشاه -جهادنصركرمانشاه"</f>
        <v>تخليه -كرمانشاه -كنارگذرشرقي كرمانشاه -جهادنصركرمانشاه</v>
      </c>
      <c r="D626" s="1">
        <v>9068</v>
      </c>
      <c r="E626" s="1">
        <v>999900</v>
      </c>
      <c r="F626" s="1">
        <v>95</v>
      </c>
      <c r="G626" s="1">
        <v>100</v>
      </c>
      <c r="H626" s="1" t="str">
        <f>"95/12/25"</f>
        <v>95/12/25</v>
      </c>
      <c r="I626" s="1" t="str">
        <f t="shared" si="139"/>
        <v>كيلوگرم</v>
      </c>
      <c r="J626" s="1" t="str">
        <f t="shared" si="151"/>
        <v>0000000091</v>
      </c>
      <c r="K626" s="1" t="str">
        <f t="shared" si="152"/>
        <v>قير  PG64-22</v>
      </c>
      <c r="L626" s="1">
        <v>100</v>
      </c>
      <c r="M626" s="1" t="str">
        <f t="shared" si="142"/>
        <v>مخازن قير اصفهان</v>
      </c>
      <c r="N626" s="1">
        <v>4039</v>
      </c>
      <c r="O626" s="1">
        <v>50034267</v>
      </c>
      <c r="P626" s="1" t="str">
        <f>"  جهاد نصركرمانشاه(2912047)"</f>
        <v xml:space="preserve">  جهاد نصركرمانشاه(2912047)</v>
      </c>
      <c r="Q626" s="1">
        <v>19</v>
      </c>
      <c r="R6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26" s="1" t="str">
        <f t="shared" si="140"/>
        <v>قرارداد فروش</v>
      </c>
      <c r="T626" s="1" t="str">
        <f t="shared" si="141"/>
        <v>ندارد</v>
      </c>
      <c r="U626" s="1" t="str">
        <f>"عظيمي محمد(2842015)"</f>
        <v>عظيمي محمد(2842015)</v>
      </c>
      <c r="V626" s="1">
        <v>951900318</v>
      </c>
      <c r="W626" s="1">
        <v>951900318</v>
      </c>
      <c r="X626" s="1" t="str">
        <f>"1395470939"</f>
        <v>1395470939</v>
      </c>
      <c r="Y626" s="1" t="str">
        <f>"95/12/25"</f>
        <v>95/12/25</v>
      </c>
      <c r="Z626" s="1" t="str">
        <f>"65985/710"</f>
        <v>65985/710</v>
      </c>
      <c r="AA626" s="1" t="str">
        <f>"سازمان راهداري وحمل نقل جاده اي"</f>
        <v>سازمان راهداري وحمل نقل جاده اي</v>
      </c>
      <c r="AB626" s="1" t="str">
        <f>"95/12/22"</f>
        <v>95/12/22</v>
      </c>
      <c r="AC626" s="1" t="str">
        <f>"استان كرمانشاه"</f>
        <v>استان كرمانشاه</v>
      </c>
      <c r="AD626" s="1" t="str">
        <f>"95/12/24"</f>
        <v>95/12/24</v>
      </c>
      <c r="AE626" s="1" t="str">
        <f t="shared" si="150"/>
        <v>اختتام</v>
      </c>
      <c r="AF626" s="1" t="str">
        <f>""</f>
        <v/>
      </c>
      <c r="AG626" s="1" t="str">
        <f>""</f>
        <v/>
      </c>
      <c r="AH626" s="1" t="str">
        <f>""</f>
        <v/>
      </c>
      <c r="AI626" s="1" t="str">
        <f>""</f>
        <v/>
      </c>
      <c r="AJ626" s="1" t="str">
        <f>""</f>
        <v/>
      </c>
      <c r="AK626" s="1" t="str">
        <f>""</f>
        <v/>
      </c>
    </row>
    <row r="627" spans="1:37" x14ac:dyDescent="0.2">
      <c r="A627" s="1">
        <v>500000</v>
      </c>
      <c r="B627" s="1">
        <v>951800011</v>
      </c>
      <c r="C627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627" s="1">
        <v>6050</v>
      </c>
      <c r="E627" s="1">
        <v>491680</v>
      </c>
      <c r="F627" s="1">
        <v>95</v>
      </c>
      <c r="G627" s="1">
        <v>8320</v>
      </c>
      <c r="H627" s="1" t="str">
        <f>"95/03/22"</f>
        <v>95/03/22</v>
      </c>
      <c r="I627" s="1" t="str">
        <f t="shared" si="139"/>
        <v>كيلوگرم</v>
      </c>
      <c r="J627" s="1" t="str">
        <f t="shared" si="151"/>
        <v>0000000091</v>
      </c>
      <c r="K627" s="1" t="str">
        <f t="shared" si="152"/>
        <v>قير  PG64-22</v>
      </c>
      <c r="L627" s="1">
        <v>100</v>
      </c>
      <c r="M627" s="1" t="str">
        <f t="shared" si="142"/>
        <v>مخازن قير اصفهان</v>
      </c>
      <c r="N627" s="1">
        <v>8072</v>
      </c>
      <c r="O627" s="1">
        <v>50031001</v>
      </c>
      <c r="P627" s="1" t="str">
        <f>"  بنادر"</f>
        <v xml:space="preserve">  بنادر</v>
      </c>
      <c r="Q627" s="1">
        <v>18</v>
      </c>
      <c r="R627" s="1" t="str">
        <f>"فروش داخلي تهران - وزارت راه - شرکت ساخت و توسعه راهها"</f>
        <v>فروش داخلي تهران - وزارت راه - شرکت ساخت و توسعه راهها</v>
      </c>
      <c r="S627" s="1" t="str">
        <f t="shared" si="140"/>
        <v>قرارداد فروش</v>
      </c>
      <c r="T627" s="1" t="str">
        <f t="shared" si="141"/>
        <v>ندارد</v>
      </c>
      <c r="U627" s="1" t="str">
        <f>"عزيزي صفر(1006ج 89)"</f>
        <v>عزيزي صفر(1006ج 89)</v>
      </c>
      <c r="V627" s="1">
        <v>951800011</v>
      </c>
      <c r="W627" s="1">
        <v>951800011</v>
      </c>
      <c r="X627" s="1" t="str">
        <f>"1395408771"</f>
        <v>1395408771</v>
      </c>
      <c r="Y627" s="1" t="str">
        <f>"95/03/22"</f>
        <v>95/03/22</v>
      </c>
      <c r="Z627" s="1" t="str">
        <f>"11090/510"</f>
        <v>11090/510</v>
      </c>
      <c r="AA627" s="1" t="str">
        <f>"شركت  ساخت وتوسعه راهها"</f>
        <v>شركت  ساخت وتوسعه راهها</v>
      </c>
      <c r="AB627" s="1" t="str">
        <f>"95/03/18"</f>
        <v>95/03/18</v>
      </c>
      <c r="AC627" s="1" t="str">
        <f>"استان كرمانشاه"</f>
        <v>استان كرمانشاه</v>
      </c>
      <c r="AD627" s="1" t="str">
        <f>"95/03/22"</f>
        <v>95/03/22</v>
      </c>
      <c r="AE627" s="1" t="str">
        <f t="shared" si="150"/>
        <v>اختتام</v>
      </c>
      <c r="AF627" s="1" t="str">
        <f>""</f>
        <v/>
      </c>
      <c r="AG627" s="1" t="str">
        <f>""</f>
        <v/>
      </c>
      <c r="AH627" s="1" t="str">
        <f>""</f>
        <v/>
      </c>
      <c r="AI627" s="1" t="str">
        <f>""</f>
        <v/>
      </c>
      <c r="AJ627" s="1" t="str">
        <f>""</f>
        <v/>
      </c>
      <c r="AK627" s="1" t="str">
        <f>""</f>
        <v/>
      </c>
    </row>
    <row r="628" spans="1:37" x14ac:dyDescent="0.2">
      <c r="A628" s="1">
        <v>26180</v>
      </c>
      <c r="B628" s="1">
        <v>951800124</v>
      </c>
      <c r="C628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628" s="1">
        <v>9511</v>
      </c>
      <c r="E628" s="1">
        <v>25020</v>
      </c>
      <c r="F628" s="1">
        <v>95</v>
      </c>
      <c r="G628" s="1">
        <v>1160</v>
      </c>
      <c r="H628" s="1" t="str">
        <f>"95/11/03"</f>
        <v>95/11/03</v>
      </c>
      <c r="I628" s="1" t="str">
        <f t="shared" si="139"/>
        <v>كيلوگرم</v>
      </c>
      <c r="J628" s="1" t="str">
        <f t="shared" si="151"/>
        <v>0000000091</v>
      </c>
      <c r="K628" s="1" t="str">
        <f t="shared" si="152"/>
        <v>قير  PG64-22</v>
      </c>
      <c r="L628" s="1">
        <v>100</v>
      </c>
      <c r="M628" s="1" t="str">
        <f t="shared" si="142"/>
        <v>مخازن قير اصفهان</v>
      </c>
      <c r="N628" s="1">
        <v>8072</v>
      </c>
      <c r="O628" s="1">
        <v>50033438</v>
      </c>
      <c r="P628" s="1" t="str">
        <f>"  بنادر"</f>
        <v xml:space="preserve">  بنادر</v>
      </c>
      <c r="Q628" s="1">
        <v>18</v>
      </c>
      <c r="R628" s="1" t="str">
        <f>"فروش داخلي تهران - وزارت راه - شرکت ساخت و توسعه راهها"</f>
        <v>فروش داخلي تهران - وزارت راه - شرکت ساخت و توسعه راهها</v>
      </c>
      <c r="S628" s="1" t="str">
        <f t="shared" si="140"/>
        <v>قرارداد فروش</v>
      </c>
      <c r="T628" s="1" t="str">
        <f t="shared" si="141"/>
        <v>ندارد</v>
      </c>
      <c r="U628" s="1" t="str">
        <f>"عزيزي صفر(1006ج 89)"</f>
        <v>عزيزي صفر(1006ج 89)</v>
      </c>
      <c r="V628" s="1">
        <v>951800124</v>
      </c>
      <c r="W628" s="1">
        <v>951800124</v>
      </c>
      <c r="X628" s="1" t="str">
        <f>"1395447767"</f>
        <v>1395447767</v>
      </c>
      <c r="Y628" s="1" t="str">
        <f>"95/11/03"</f>
        <v>95/11/03</v>
      </c>
      <c r="Z628" s="1" t="str">
        <f>"42744/710"</f>
        <v>42744/710</v>
      </c>
      <c r="AA628" s="1" t="str">
        <f>"شركت  ساخت وتوسعه راهها"</f>
        <v>شركت  ساخت وتوسعه راهها</v>
      </c>
      <c r="AB628" s="1" t="str">
        <f>"95/09/03"</f>
        <v>95/09/03</v>
      </c>
      <c r="AC628" s="1" t="str">
        <f>"استان كرمانشاه"</f>
        <v>استان كرمانشاه</v>
      </c>
      <c r="AD628" s="1" t="str">
        <f>"95/09/07"</f>
        <v>95/09/07</v>
      </c>
      <c r="AE628" s="1" t="str">
        <f t="shared" si="150"/>
        <v>اختتام</v>
      </c>
      <c r="AF628" s="1" t="str">
        <f>""</f>
        <v/>
      </c>
      <c r="AG628" s="1" t="str">
        <f>""</f>
        <v/>
      </c>
      <c r="AH628" s="1" t="str">
        <f>""</f>
        <v/>
      </c>
      <c r="AI628" s="1" t="str">
        <f>""</f>
        <v/>
      </c>
      <c r="AJ628" s="1" t="str">
        <f>""</f>
        <v/>
      </c>
      <c r="AK628" s="1" t="str">
        <f>""</f>
        <v/>
      </c>
    </row>
    <row r="629" spans="1:37" x14ac:dyDescent="0.2">
      <c r="A629" s="1">
        <v>243920</v>
      </c>
      <c r="B629" s="1">
        <v>951700269</v>
      </c>
      <c r="C629" s="1" t="str">
        <f>"تخليه اصفهان كارگاه ره آفرينان صفاهان محوررحمت آباد"</f>
        <v>تخليه اصفهان كارگاه ره آفرينان صفاهان محوررحمت آباد</v>
      </c>
      <c r="D629" s="1">
        <v>8323</v>
      </c>
      <c r="E629" s="1">
        <v>243140</v>
      </c>
      <c r="F629" s="1">
        <v>95</v>
      </c>
      <c r="G629" s="1">
        <v>780</v>
      </c>
      <c r="H629" s="1" t="str">
        <f>"95/08/09"</f>
        <v>95/08/09</v>
      </c>
      <c r="I629" s="1" t="str">
        <f t="shared" si="139"/>
        <v>كيلوگرم</v>
      </c>
      <c r="J629" s="1" t="str">
        <f t="shared" si="151"/>
        <v>0000000091</v>
      </c>
      <c r="K629" s="1" t="str">
        <f t="shared" si="152"/>
        <v>قير  PG64-22</v>
      </c>
      <c r="L629" s="1">
        <v>100</v>
      </c>
      <c r="M629" s="1" t="str">
        <f t="shared" si="142"/>
        <v>مخازن قير اصفهان</v>
      </c>
      <c r="N629" s="1">
        <v>8091</v>
      </c>
      <c r="O629" s="1">
        <v>50032396</v>
      </c>
      <c r="P629" s="1" t="str">
        <f>"  اداره كل راه وشهرسازي اصفهان"</f>
        <v xml:space="preserve">  اداره كل راه وشهرسازي اصفهان</v>
      </c>
      <c r="Q629" s="1">
        <v>17</v>
      </c>
      <c r="R629" s="1" t="str">
        <f>"فروش داخلي تهران - وزارت راه - راه روستايي - روکش"</f>
        <v>فروش داخلي تهران - وزارت راه - راه روستايي - روکش</v>
      </c>
      <c r="S629" s="1" t="str">
        <f t="shared" si="140"/>
        <v>قرارداد فروش</v>
      </c>
      <c r="T629" s="1" t="str">
        <f t="shared" si="141"/>
        <v>ندارد</v>
      </c>
      <c r="U629" s="1" t="str">
        <f>"شهبازي محمدرضا(1029ج89)"</f>
        <v>شهبازي محمدرضا(1029ج89)</v>
      </c>
      <c r="V629" s="1">
        <v>951700269</v>
      </c>
      <c r="W629" s="1">
        <v>951700269</v>
      </c>
      <c r="X629" s="1" t="str">
        <f>"1395433830"</f>
        <v>1395433830</v>
      </c>
      <c r="Y629" s="1" t="str">
        <f>"95/08/09"</f>
        <v>95/08/09</v>
      </c>
      <c r="Z629" s="1" t="str">
        <f>"31549/510"</f>
        <v>31549/510</v>
      </c>
      <c r="AA629" s="1" t="str">
        <f>"راه روستائي -روكش"</f>
        <v>راه روستائي -روكش</v>
      </c>
      <c r="AB629" s="1" t="str">
        <f>"95/07/03"</f>
        <v>95/07/03</v>
      </c>
      <c r="AC629" s="1" t="str">
        <f>"استان اصفهان"</f>
        <v>استان اصفهان</v>
      </c>
      <c r="AD629" s="1" t="str">
        <f>"95/07/05"</f>
        <v>95/07/05</v>
      </c>
      <c r="AE629" s="1" t="str">
        <f t="shared" si="150"/>
        <v>اختتام</v>
      </c>
      <c r="AF629" s="1" t="str">
        <f>""</f>
        <v/>
      </c>
      <c r="AG629" s="1" t="str">
        <f>""</f>
        <v/>
      </c>
      <c r="AH629" s="1" t="str">
        <f>""</f>
        <v/>
      </c>
      <c r="AI629" s="1" t="str">
        <f>""</f>
        <v/>
      </c>
      <c r="AJ629" s="1" t="str">
        <f>""</f>
        <v/>
      </c>
      <c r="AK629" s="1" t="str">
        <f>""</f>
        <v/>
      </c>
    </row>
    <row r="630" spans="1:37" x14ac:dyDescent="0.2">
      <c r="A630" s="1">
        <v>258000</v>
      </c>
      <c r="B630" s="1">
        <v>951400155</v>
      </c>
      <c r="C630" s="1" t="str">
        <f>"تخليه -سيستان وبلوچستان -زابل كارخانه آسفالت عطارديان"</f>
        <v>تخليه -سيستان وبلوچستان -زابل كارخانه آسفالت عطارديان</v>
      </c>
      <c r="D630" s="1">
        <v>9354</v>
      </c>
      <c r="E630" s="1">
        <v>258000</v>
      </c>
      <c r="F630" s="1">
        <v>95</v>
      </c>
      <c r="G630" s="1">
        <v>0</v>
      </c>
      <c r="H630" s="1" t="str">
        <f>"95/11/27"</f>
        <v>95/11/27</v>
      </c>
      <c r="I630" s="1" t="str">
        <f t="shared" si="139"/>
        <v>كيلوگرم</v>
      </c>
      <c r="J630" s="1" t="str">
        <f t="shared" si="151"/>
        <v>0000000091</v>
      </c>
      <c r="K630" s="1" t="str">
        <f t="shared" si="152"/>
        <v>قير  PG64-22</v>
      </c>
      <c r="L630" s="1">
        <v>100</v>
      </c>
      <c r="M630" s="1" t="str">
        <f t="shared" si="142"/>
        <v>مخازن قير اصفهان</v>
      </c>
      <c r="N630" s="1">
        <v>4095</v>
      </c>
      <c r="O630" s="1">
        <v>50034285</v>
      </c>
      <c r="P630" s="1" t="str">
        <f>"  اداره كل راه وشهرسازي سيستان وبلوچستان"</f>
        <v xml:space="preserve">  اداره كل راه وشهرسازي سيستان وبلوچستان</v>
      </c>
      <c r="Q630" s="1">
        <v>14</v>
      </c>
      <c r="R630" s="1" t="str">
        <f>"فروش داخلي - وزارت راه - حوزه راه روستايي ساخت"</f>
        <v>فروش داخلي - وزارت راه - حوزه راه روستايي ساخت</v>
      </c>
      <c r="S630" s="1" t="str">
        <f t="shared" si="140"/>
        <v>قرارداد فروش</v>
      </c>
      <c r="T630" s="1" t="str">
        <f t="shared" si="141"/>
        <v>ندارد</v>
      </c>
      <c r="U630" s="1" t="str">
        <f>"ميرحسيني چاپارحقيقت كرمان(4844008)"</f>
        <v>ميرحسيني چاپارحقيقت كرمان(4844008)</v>
      </c>
      <c r="V630" s="1">
        <v>951400155</v>
      </c>
      <c r="W630" s="1">
        <v>951400155</v>
      </c>
      <c r="X630" s="1" t="str">
        <f>"1395464668"</f>
        <v>1395464668</v>
      </c>
      <c r="Y630" s="1" t="str">
        <f>"95/11/26"</f>
        <v>95/11/26</v>
      </c>
      <c r="Z630" s="1" t="str">
        <f>"56321/710"</f>
        <v>56321/710</v>
      </c>
      <c r="AA630" s="1" t="str">
        <f>"راه وروستايي -ساخت"</f>
        <v>راه وروستايي -ساخت</v>
      </c>
      <c r="AB630" s="1" t="str">
        <f>"95/11/12"</f>
        <v>95/11/12</v>
      </c>
      <c r="AC630" s="1" t="str">
        <f>"استان سيستان بلوچستان"</f>
        <v>استان سيستان بلوچستان</v>
      </c>
      <c r="AD630" s="1" t="str">
        <f>"95/11/25"</f>
        <v>95/11/25</v>
      </c>
      <c r="AE630" s="1" t="str">
        <f t="shared" si="150"/>
        <v>اختتام</v>
      </c>
      <c r="AF630" s="1" t="str">
        <f>""</f>
        <v/>
      </c>
      <c r="AG630" s="1" t="str">
        <f>""</f>
        <v/>
      </c>
      <c r="AH630" s="1" t="str">
        <f>""</f>
        <v/>
      </c>
      <c r="AI630" s="1" t="str">
        <f>""</f>
        <v/>
      </c>
      <c r="AJ630" s="1" t="str">
        <f>""</f>
        <v/>
      </c>
      <c r="AK630" s="1" t="str">
        <f>""</f>
        <v/>
      </c>
    </row>
    <row r="631" spans="1:37" x14ac:dyDescent="0.2">
      <c r="A631" s="1">
        <v>86000</v>
      </c>
      <c r="B631" s="1">
        <v>951400160</v>
      </c>
      <c r="C631" s="1" t="str">
        <f>"تخليه -سيستان وبلوچستان -زابل كارخانه آسفالت عطارديان"</f>
        <v>تخليه -سيستان وبلوچستان -زابل كارخانه آسفالت عطارديان</v>
      </c>
      <c r="D631" s="1">
        <v>9354</v>
      </c>
      <c r="E631" s="1">
        <v>86000</v>
      </c>
      <c r="F631" s="1">
        <v>95</v>
      </c>
      <c r="G631" s="1">
        <v>0</v>
      </c>
      <c r="H631" s="1" t="str">
        <f>"95/11/27"</f>
        <v>95/11/27</v>
      </c>
      <c r="I631" s="1" t="str">
        <f t="shared" si="139"/>
        <v>كيلوگرم</v>
      </c>
      <c r="J631" s="1" t="str">
        <f t="shared" si="151"/>
        <v>0000000091</v>
      </c>
      <c r="K631" s="1" t="str">
        <f t="shared" si="152"/>
        <v>قير  PG64-22</v>
      </c>
      <c r="L631" s="1">
        <v>100</v>
      </c>
      <c r="M631" s="1" t="str">
        <f t="shared" si="142"/>
        <v>مخازن قير اصفهان</v>
      </c>
      <c r="N631" s="1">
        <v>4095</v>
      </c>
      <c r="O631" s="1">
        <v>50034290</v>
      </c>
      <c r="P631" s="1" t="str">
        <f>"  اداره كل راه وشهرسازي سيستان وبلوچستان"</f>
        <v xml:space="preserve">  اداره كل راه وشهرسازي سيستان وبلوچستان</v>
      </c>
      <c r="Q631" s="1">
        <v>14</v>
      </c>
      <c r="R631" s="1" t="str">
        <f>"فروش داخلي - وزارت راه - حوزه راه روستايي ساخت"</f>
        <v>فروش داخلي - وزارت راه - حوزه راه روستايي ساخت</v>
      </c>
      <c r="S631" s="1" t="str">
        <f t="shared" si="140"/>
        <v>قرارداد فروش</v>
      </c>
      <c r="T631" s="1" t="str">
        <f t="shared" si="141"/>
        <v>ندارد</v>
      </c>
      <c r="U631" s="1" t="str">
        <f>"ميرحسيني چاپارحقيقت كرمان(4844008)"</f>
        <v>ميرحسيني چاپارحقيقت كرمان(4844008)</v>
      </c>
      <c r="V631" s="1">
        <v>951400160</v>
      </c>
      <c r="W631" s="1">
        <v>951400160</v>
      </c>
      <c r="X631" s="1" t="str">
        <f>"1395464668"</f>
        <v>1395464668</v>
      </c>
      <c r="Y631" s="1" t="str">
        <f>"95/11/26"</f>
        <v>95/11/26</v>
      </c>
      <c r="Z631" s="1" t="str">
        <f>"56333/710"</f>
        <v>56333/710</v>
      </c>
      <c r="AA631" s="1" t="str">
        <f>"راه وروستايي -ساخت"</f>
        <v>راه وروستايي -ساخت</v>
      </c>
      <c r="AB631" s="1" t="str">
        <f>"95/11/12"</f>
        <v>95/11/12</v>
      </c>
      <c r="AC631" s="1" t="str">
        <f>"استان سيستان بلوچستان"</f>
        <v>استان سيستان بلوچستان</v>
      </c>
      <c r="AD631" s="1" t="str">
        <f>"95/11/25"</f>
        <v>95/11/25</v>
      </c>
      <c r="AE631" s="1" t="str">
        <f t="shared" si="150"/>
        <v>اختتام</v>
      </c>
      <c r="AF631" s="1" t="str">
        <f>""</f>
        <v/>
      </c>
      <c r="AG631" s="1" t="str">
        <f>""</f>
        <v/>
      </c>
      <c r="AH631" s="1" t="str">
        <f>""</f>
        <v/>
      </c>
      <c r="AI631" s="1" t="str">
        <f>""</f>
        <v/>
      </c>
      <c r="AJ631" s="1" t="str">
        <f>""</f>
        <v/>
      </c>
      <c r="AK631" s="1" t="str">
        <f>""</f>
        <v/>
      </c>
    </row>
    <row r="632" spans="1:37" x14ac:dyDescent="0.2">
      <c r="A632" s="1">
        <v>215000</v>
      </c>
      <c r="B632" s="1">
        <v>951400164</v>
      </c>
      <c r="C632" s="1" t="str">
        <f>"تخليه -سيستان وبلوچستان -زابل كارخانه آسفالت عطارديان"</f>
        <v>تخليه -سيستان وبلوچستان -زابل كارخانه آسفالت عطارديان</v>
      </c>
      <c r="D632" s="1">
        <v>9354</v>
      </c>
      <c r="E632" s="1">
        <v>215000</v>
      </c>
      <c r="F632" s="1">
        <v>95</v>
      </c>
      <c r="G632" s="1">
        <v>0</v>
      </c>
      <c r="H632" s="1" t="str">
        <f>"95/11/27"</f>
        <v>95/11/27</v>
      </c>
      <c r="I632" s="1" t="str">
        <f t="shared" si="139"/>
        <v>كيلوگرم</v>
      </c>
      <c r="J632" s="1" t="str">
        <f t="shared" si="151"/>
        <v>0000000091</v>
      </c>
      <c r="K632" s="1" t="str">
        <f t="shared" si="152"/>
        <v>قير  PG64-22</v>
      </c>
      <c r="L632" s="1">
        <v>100</v>
      </c>
      <c r="M632" s="1" t="str">
        <f t="shared" si="142"/>
        <v>مخازن قير اصفهان</v>
      </c>
      <c r="N632" s="1">
        <v>4095</v>
      </c>
      <c r="O632" s="1">
        <v>50034294</v>
      </c>
      <c r="P632" s="1" t="str">
        <f>"  اداره كل راه وشهرسازي سيستان وبلوچستان"</f>
        <v xml:space="preserve">  اداره كل راه وشهرسازي سيستان وبلوچستان</v>
      </c>
      <c r="Q632" s="1">
        <v>14</v>
      </c>
      <c r="R632" s="1" t="str">
        <f>"فروش داخلي - وزارت راه - حوزه راه روستايي ساخت"</f>
        <v>فروش داخلي - وزارت راه - حوزه راه روستايي ساخت</v>
      </c>
      <c r="S632" s="1" t="str">
        <f t="shared" si="140"/>
        <v>قرارداد فروش</v>
      </c>
      <c r="T632" s="1" t="str">
        <f t="shared" si="141"/>
        <v>ندارد</v>
      </c>
      <c r="U632" s="1" t="str">
        <f>"ميرحسيني چاپارحقيقت كرمان(4844008)"</f>
        <v>ميرحسيني چاپارحقيقت كرمان(4844008)</v>
      </c>
      <c r="V632" s="1">
        <v>951400164</v>
      </c>
      <c r="W632" s="1">
        <v>951400164</v>
      </c>
      <c r="X632" s="1" t="str">
        <f>"1395464668"</f>
        <v>1395464668</v>
      </c>
      <c r="Y632" s="1" t="str">
        <f>"95/11/26"</f>
        <v>95/11/26</v>
      </c>
      <c r="Z632" s="1" t="str">
        <f>"56338/710"</f>
        <v>56338/710</v>
      </c>
      <c r="AA632" s="1" t="str">
        <f>"راه وروستايي -ساخت"</f>
        <v>راه وروستايي -ساخت</v>
      </c>
      <c r="AB632" s="1" t="str">
        <f>"95/11/12"</f>
        <v>95/11/12</v>
      </c>
      <c r="AC632" s="1" t="str">
        <f>"استان سيستان بلوچستان"</f>
        <v>استان سيستان بلوچستان</v>
      </c>
      <c r="AD632" s="1" t="str">
        <f>"95/11/25"</f>
        <v>95/11/25</v>
      </c>
      <c r="AE632" s="1" t="str">
        <f t="shared" si="150"/>
        <v>اختتام</v>
      </c>
      <c r="AF632" s="1" t="str">
        <f>""</f>
        <v/>
      </c>
      <c r="AG632" s="1" t="str">
        <f>""</f>
        <v/>
      </c>
      <c r="AH632" s="1" t="str">
        <f>""</f>
        <v/>
      </c>
      <c r="AI632" s="1" t="str">
        <f>""</f>
        <v/>
      </c>
      <c r="AJ632" s="1" t="str">
        <f>""</f>
        <v/>
      </c>
      <c r="AK632" s="1" t="str">
        <f>""</f>
        <v/>
      </c>
    </row>
    <row r="633" spans="1:37" x14ac:dyDescent="0.2">
      <c r="A633" s="1">
        <v>245000</v>
      </c>
      <c r="B633" s="1">
        <v>951700043</v>
      </c>
      <c r="C633" s="1" t="str">
        <f>"تخليه -كرمانشاه كيلومتر5جاده اسلام آبادغرب -كرندغرب روبروي روستاي طلسم كارخانه تارا"</f>
        <v>تخليه -كرمانشاه كيلومتر5جاده اسلام آبادغرب -كرندغرب روبروي روستاي طلسم كارخانه تارا</v>
      </c>
      <c r="D633" s="1">
        <v>6050</v>
      </c>
      <c r="E633" s="1">
        <v>159360</v>
      </c>
      <c r="F633" s="1">
        <v>95</v>
      </c>
      <c r="G633" s="1">
        <v>85640</v>
      </c>
      <c r="H633" s="1" t="str">
        <f>"95/03/25"</f>
        <v>95/03/25</v>
      </c>
      <c r="I633" s="1" t="str">
        <f t="shared" si="139"/>
        <v>كيلوگرم</v>
      </c>
      <c r="J633" s="1" t="str">
        <f t="shared" si="151"/>
        <v>0000000091</v>
      </c>
      <c r="K633" s="1" t="str">
        <f t="shared" si="152"/>
        <v>قير  PG64-22</v>
      </c>
      <c r="L633" s="1">
        <v>100</v>
      </c>
      <c r="M633" s="1" t="str">
        <f t="shared" si="142"/>
        <v>مخازن قير اصفهان</v>
      </c>
      <c r="N633" s="1">
        <v>4109</v>
      </c>
      <c r="O633" s="1">
        <v>50031046</v>
      </c>
      <c r="P633" s="1" t="str">
        <f>"  اداره كل راه و  شهرسازي كرمانشاه"</f>
        <v xml:space="preserve">  اداره كل راه و  شهرسازي كرمانشاه</v>
      </c>
      <c r="Q633" s="1">
        <v>17</v>
      </c>
      <c r="R633" s="1" t="str">
        <f>"فروش داخلي تهران - وزارت راه - راه روستايي - روکش"</f>
        <v>فروش داخلي تهران - وزارت راه - راه روستايي - روکش</v>
      </c>
      <c r="S633" s="1" t="str">
        <f t="shared" si="140"/>
        <v>قرارداد فروش</v>
      </c>
      <c r="T633" s="1" t="str">
        <f t="shared" si="141"/>
        <v>ندارد</v>
      </c>
      <c r="U633" s="1" t="str">
        <f>"قره باغي مجيد(1871065)"</f>
        <v>قره باغي مجيد(1871065)</v>
      </c>
      <c r="V633" s="1">
        <v>951700043</v>
      </c>
      <c r="W633" s="1">
        <v>951700043</v>
      </c>
      <c r="X633" s="1" t="str">
        <f>"1395409198"</f>
        <v>1395409198</v>
      </c>
      <c r="Y633" s="1" t="str">
        <f>"95/03/25"</f>
        <v>95/03/25</v>
      </c>
      <c r="Z633" s="1" t="str">
        <f>"11565/510"</f>
        <v>11565/510</v>
      </c>
      <c r="AA633" s="1" t="str">
        <f>"راه روستائي -روكش"</f>
        <v>راه روستائي -روكش</v>
      </c>
      <c r="AB633" s="1" t="str">
        <f>"95/03/22"</f>
        <v>95/03/22</v>
      </c>
      <c r="AC633" s="1" t="str">
        <f>"استان كرمانشاه"</f>
        <v>استان كرمانشاه</v>
      </c>
      <c r="AD633" s="1" t="str">
        <f>"95/03/25"</f>
        <v>95/03/25</v>
      </c>
      <c r="AE633" s="1" t="str">
        <f t="shared" si="150"/>
        <v>اختتام</v>
      </c>
      <c r="AF633" s="1" t="str">
        <f>""</f>
        <v/>
      </c>
      <c r="AG633" s="1" t="str">
        <f>""</f>
        <v/>
      </c>
      <c r="AH633" s="1" t="str">
        <f>""</f>
        <v/>
      </c>
      <c r="AI633" s="1" t="str">
        <f>""</f>
        <v/>
      </c>
      <c r="AJ633" s="1" t="str">
        <f>""</f>
        <v/>
      </c>
      <c r="AK633" s="1" t="str">
        <f>""</f>
        <v/>
      </c>
    </row>
    <row r="634" spans="1:37" x14ac:dyDescent="0.2">
      <c r="A634" s="1">
        <v>700000</v>
      </c>
      <c r="B634" s="1">
        <v>951900041</v>
      </c>
      <c r="C634" s="1" t="str">
        <f>"تخليه يزد-بافق -جهادنصريزد"</f>
        <v>تخليه يزد-بافق -جهادنصريزد</v>
      </c>
      <c r="D634" s="1">
        <v>6250</v>
      </c>
      <c r="E634" s="1">
        <v>267580</v>
      </c>
      <c r="F634" s="1">
        <v>95</v>
      </c>
      <c r="G634" s="1">
        <v>432420</v>
      </c>
      <c r="H634" s="1" t="str">
        <f>"95/04/21"</f>
        <v>95/04/21</v>
      </c>
      <c r="I634" s="1" t="str">
        <f t="shared" si="139"/>
        <v>كيلوگرم</v>
      </c>
      <c r="J634" s="1" t="str">
        <f t="shared" si="151"/>
        <v>0000000091</v>
      </c>
      <c r="K634" s="1" t="str">
        <f t="shared" si="152"/>
        <v>قير  PG64-22</v>
      </c>
      <c r="L634" s="1">
        <v>100</v>
      </c>
      <c r="M634" s="1" t="str">
        <f t="shared" si="142"/>
        <v>مخازن قير اصفهان</v>
      </c>
      <c r="N634" s="1">
        <v>1665</v>
      </c>
      <c r="O634" s="1">
        <v>50031257</v>
      </c>
      <c r="P634" s="1" t="str">
        <f>"  جهاد نصر يزد"</f>
        <v xml:space="preserve">  جهاد نصر يزد</v>
      </c>
      <c r="Q634" s="1">
        <v>19</v>
      </c>
      <c r="R6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34" s="1" t="str">
        <f t="shared" si="140"/>
        <v>قرارداد فروش</v>
      </c>
      <c r="T634" s="1" t="str">
        <f t="shared" si="141"/>
        <v>ندارد</v>
      </c>
      <c r="U634" s="1" t="str">
        <f>"غلام نجفي سيامك‌‌‌‌‌‌(1881082)"</f>
        <v>غلام نجفي سيامك‌‌‌‌‌‌(1881082)</v>
      </c>
      <c r="V634" s="1">
        <v>951900041</v>
      </c>
      <c r="W634" s="1">
        <v>951900041</v>
      </c>
      <c r="X634" s="1" t="str">
        <f>"1395414106"</f>
        <v>1395414106</v>
      </c>
      <c r="Y634" s="1" t="str">
        <f>"95/04/20"</f>
        <v>95/04/20</v>
      </c>
      <c r="Z634" s="1" t="str">
        <f>"15747/510"</f>
        <v>15747/510</v>
      </c>
      <c r="AA634" s="1" t="str">
        <f>"سازمان راهداري وحمل نقل جاده اي"</f>
        <v>سازمان راهداري وحمل نقل جاده اي</v>
      </c>
      <c r="AB634" s="1" t="str">
        <f>"95/04/13"</f>
        <v>95/04/13</v>
      </c>
      <c r="AC634" s="1" t="str">
        <f>"استان يزد"</f>
        <v>استان يزد</v>
      </c>
      <c r="AD634" s="1" t="str">
        <f>"95/04/19"</f>
        <v>95/04/19</v>
      </c>
      <c r="AE634" s="1" t="str">
        <f t="shared" si="150"/>
        <v>اختتام</v>
      </c>
      <c r="AF634" s="1" t="str">
        <f>""</f>
        <v/>
      </c>
      <c r="AG634" s="1" t="str">
        <f>""</f>
        <v/>
      </c>
      <c r="AH634" s="1" t="str">
        <f>""</f>
        <v/>
      </c>
      <c r="AI634" s="1" t="str">
        <f>""</f>
        <v/>
      </c>
      <c r="AJ634" s="1" t="str">
        <f>""</f>
        <v/>
      </c>
      <c r="AK634" s="1" t="str">
        <f>""</f>
        <v/>
      </c>
    </row>
    <row r="635" spans="1:37" x14ac:dyDescent="0.2">
      <c r="A635" s="1">
        <v>2000000</v>
      </c>
      <c r="B635" s="1">
        <v>951800149</v>
      </c>
      <c r="C635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635" s="1">
        <v>9354</v>
      </c>
      <c r="E635" s="1">
        <v>1998900</v>
      </c>
      <c r="F635" s="1">
        <v>95</v>
      </c>
      <c r="G635" s="1">
        <v>1100</v>
      </c>
      <c r="H635" s="1" t="str">
        <f>"95/12/22"</f>
        <v>95/12/22</v>
      </c>
      <c r="I635" s="1" t="str">
        <f t="shared" si="139"/>
        <v>كيلوگرم</v>
      </c>
      <c r="J635" s="1" t="str">
        <f t="shared" si="151"/>
        <v>0000000091</v>
      </c>
      <c r="K635" s="1" t="str">
        <f t="shared" si="152"/>
        <v>قير  PG64-22</v>
      </c>
      <c r="L635" s="1">
        <v>100</v>
      </c>
      <c r="M635" s="1" t="str">
        <f t="shared" si="142"/>
        <v>مخازن قير اصفهان</v>
      </c>
      <c r="N635" s="1">
        <v>1726</v>
      </c>
      <c r="O635" s="1">
        <v>50034115</v>
      </c>
      <c r="P635" s="1" t="str">
        <f>"  راهسازي و عمران ايران"</f>
        <v xml:space="preserve">  راهسازي و عمران ايران</v>
      </c>
      <c r="Q635" s="1">
        <v>18</v>
      </c>
      <c r="R635" s="1" t="str">
        <f>"فروش داخلي تهران - وزارت راه - شرکت ساخت و توسعه راهها"</f>
        <v>فروش داخلي تهران - وزارت راه - شرکت ساخت و توسعه راهها</v>
      </c>
      <c r="S635" s="1" t="str">
        <f t="shared" si="140"/>
        <v>قرارداد فروش</v>
      </c>
      <c r="T635" s="1" t="str">
        <f t="shared" si="141"/>
        <v>ندارد</v>
      </c>
      <c r="U635" s="1" t="str">
        <f>"عظيمي محمد(2842015)"</f>
        <v>عظيمي محمد(2842015)</v>
      </c>
      <c r="V635" s="1">
        <v>951800149</v>
      </c>
      <c r="W635" s="1">
        <v>951800149</v>
      </c>
      <c r="X635" s="1" t="str">
        <f>"1395470432"</f>
        <v>1395470432</v>
      </c>
      <c r="Y635" s="1" t="str">
        <f>"95/12/22"</f>
        <v>95/12/22</v>
      </c>
      <c r="Z635" s="1" t="str">
        <f>"57871/710"</f>
        <v>57871/710</v>
      </c>
      <c r="AA635" s="1" t="str">
        <f>"شركت  ساخت وتوسعه راهها"</f>
        <v>شركت  ساخت وتوسعه راهها</v>
      </c>
      <c r="AB635" s="1" t="str">
        <f>"95/11/19"</f>
        <v>95/11/19</v>
      </c>
      <c r="AC635" s="1" t="str">
        <f>"استان اصفهان"</f>
        <v>استان اصفهان</v>
      </c>
      <c r="AD635" s="1" t="str">
        <f>"95/12/22"</f>
        <v>95/12/22</v>
      </c>
      <c r="AE635" s="1" t="str">
        <f t="shared" si="150"/>
        <v>اختتام</v>
      </c>
      <c r="AF635" s="1" t="str">
        <f>""</f>
        <v/>
      </c>
      <c r="AG635" s="1" t="str">
        <f>""</f>
        <v/>
      </c>
      <c r="AH635" s="1" t="str">
        <f>""</f>
        <v/>
      </c>
      <c r="AI635" s="1" t="str">
        <f>""</f>
        <v/>
      </c>
      <c r="AJ635" s="1" t="str">
        <f>""</f>
        <v/>
      </c>
      <c r="AK635" s="1" t="str">
        <f>""</f>
        <v/>
      </c>
    </row>
    <row r="636" spans="1:37" x14ac:dyDescent="0.2">
      <c r="A636" s="1">
        <v>58000</v>
      </c>
      <c r="B636" s="1">
        <v>951700030</v>
      </c>
      <c r="C636" s="1" t="str">
        <f>"خراسان جنوبي شهرستان سه قلعه -شهرداري سه قلعه"</f>
        <v>خراسان جنوبي شهرستان سه قلعه -شهرداري سه قلعه</v>
      </c>
      <c r="D636" s="1">
        <v>6050</v>
      </c>
      <c r="E636" s="1">
        <v>57680</v>
      </c>
      <c r="F636" s="1">
        <v>95</v>
      </c>
      <c r="G636" s="1">
        <v>320</v>
      </c>
      <c r="H636" s="1" t="str">
        <f>"95/03/10"</f>
        <v>95/03/10</v>
      </c>
      <c r="I636" s="1" t="str">
        <f t="shared" si="139"/>
        <v>كيلوگرم</v>
      </c>
      <c r="J636" s="1" t="str">
        <f t="shared" si="151"/>
        <v>0000000091</v>
      </c>
      <c r="K636" s="1" t="str">
        <f t="shared" si="152"/>
        <v>قير  PG64-22</v>
      </c>
      <c r="L636" s="1">
        <v>100</v>
      </c>
      <c r="M636" s="1" t="str">
        <f t="shared" si="142"/>
        <v>مخازن قير اصفهان</v>
      </c>
      <c r="N636" s="1">
        <v>4012</v>
      </c>
      <c r="O636" s="1">
        <v>50030916</v>
      </c>
      <c r="P636" s="1" t="str">
        <f>"  اداره كل راه و شهرسازي خراسان جنوبي"</f>
        <v xml:space="preserve">  اداره كل راه و شهرسازي خراسان جنوبي</v>
      </c>
      <c r="Q636" s="1">
        <v>17</v>
      </c>
      <c r="R636" s="1" t="str">
        <f>"فروش داخلي تهران - وزارت راه - راه روستايي - روکش"</f>
        <v>فروش داخلي تهران - وزارت راه - راه روستايي - روکش</v>
      </c>
      <c r="S636" s="1" t="str">
        <f t="shared" si="140"/>
        <v>قرارداد فروش</v>
      </c>
      <c r="T636" s="1" t="str">
        <f t="shared" si="141"/>
        <v>ندارد</v>
      </c>
      <c r="U636" s="1" t="str">
        <f>"آقا علي منوچهر(1016ج89)"</f>
        <v>آقا علي منوچهر(1016ج89)</v>
      </c>
      <c r="V636" s="1">
        <v>951700030</v>
      </c>
      <c r="W636" s="1">
        <v>951700030</v>
      </c>
      <c r="X636" s="1" t="str">
        <f>"1395406493"</f>
        <v>1395406493</v>
      </c>
      <c r="Y636" s="1" t="str">
        <f>"95/03/10"</f>
        <v>95/03/10</v>
      </c>
      <c r="Z636" s="1" t="str">
        <f>"9579/510"</f>
        <v>9579/510</v>
      </c>
      <c r="AA636" s="1" t="str">
        <f>"راه روستائي -روكش"</f>
        <v>راه روستائي -روكش</v>
      </c>
      <c r="AB636" s="1" t="str">
        <f>"95/03/08"</f>
        <v>95/03/08</v>
      </c>
      <c r="AC636" s="1" t="str">
        <f>"خراسان جنوبي"</f>
        <v>خراسان جنوبي</v>
      </c>
      <c r="AD636" s="1" t="str">
        <f>"95/03/10"</f>
        <v>95/03/10</v>
      </c>
      <c r="AE636" s="1" t="str">
        <f t="shared" si="150"/>
        <v>اختتام</v>
      </c>
      <c r="AF636" s="1" t="str">
        <f>""</f>
        <v/>
      </c>
      <c r="AG636" s="1" t="str">
        <f>""</f>
        <v/>
      </c>
      <c r="AH636" s="1" t="str">
        <f>""</f>
        <v/>
      </c>
      <c r="AI636" s="1" t="str">
        <f>""</f>
        <v/>
      </c>
      <c r="AJ636" s="1" t="str">
        <f>""</f>
        <v/>
      </c>
      <c r="AK636" s="1" t="str">
        <f>""</f>
        <v/>
      </c>
    </row>
    <row r="637" spans="1:37" x14ac:dyDescent="0.2">
      <c r="A637" s="1">
        <v>160000</v>
      </c>
      <c r="B637" s="1">
        <v>951400017</v>
      </c>
      <c r="C637" s="1" t="str">
        <f>"تخليه -خراسان جنوبي -حاجي آباداداره كل راه وشهرسازي شهرستان زيركوه"</f>
        <v>تخليه -خراسان جنوبي -حاجي آباداداره كل راه وشهرسازي شهرستان زيركوه</v>
      </c>
      <c r="D637" s="1">
        <v>6050</v>
      </c>
      <c r="E637" s="1">
        <v>157560</v>
      </c>
      <c r="F637" s="1">
        <v>95</v>
      </c>
      <c r="G637" s="1">
        <v>2440</v>
      </c>
      <c r="H637" s="1" t="str">
        <f>"95/03/23"</f>
        <v>95/03/23</v>
      </c>
      <c r="I637" s="1" t="str">
        <f t="shared" si="139"/>
        <v>كيلوگرم</v>
      </c>
      <c r="J637" s="1" t="str">
        <f t="shared" si="151"/>
        <v>0000000091</v>
      </c>
      <c r="K637" s="1" t="str">
        <f t="shared" si="152"/>
        <v>قير  PG64-22</v>
      </c>
      <c r="L637" s="1">
        <v>100</v>
      </c>
      <c r="M637" s="1" t="str">
        <f t="shared" si="142"/>
        <v>مخازن قير اصفهان</v>
      </c>
      <c r="N637" s="1">
        <v>4012</v>
      </c>
      <c r="O637" s="1">
        <v>50031015</v>
      </c>
      <c r="P637" s="1" t="str">
        <f>"  اداره كل راه و شهرسازي خراسان جنوبي"</f>
        <v xml:space="preserve">  اداره كل راه و شهرسازي خراسان جنوبي</v>
      </c>
      <c r="Q637" s="1">
        <v>14</v>
      </c>
      <c r="R637" s="1" t="str">
        <f>"فروش داخلي - وزارت راه - حوزه راه روستايي ساخت"</f>
        <v>فروش داخلي - وزارت راه - حوزه راه روستايي ساخت</v>
      </c>
      <c r="S637" s="1" t="str">
        <f t="shared" si="140"/>
        <v>قرارداد فروش</v>
      </c>
      <c r="T637" s="1" t="str">
        <f t="shared" si="141"/>
        <v>ندارد</v>
      </c>
      <c r="U637" s="1" t="str">
        <f>"بابامحمدي عنايت اله(4844000)"</f>
        <v>بابامحمدي عنايت اله(4844000)</v>
      </c>
      <c r="V637" s="1">
        <v>951400017</v>
      </c>
      <c r="W637" s="1">
        <v>951400017</v>
      </c>
      <c r="X637" s="1" t="str">
        <f>"1395408871"</f>
        <v>1395408871</v>
      </c>
      <c r="Y637" s="1" t="str">
        <f>"95/03/23"</f>
        <v>95/03/23</v>
      </c>
      <c r="Z637" s="1" t="str">
        <f>"11140/510"</f>
        <v>11140/510</v>
      </c>
      <c r="AA637" s="1" t="str">
        <f>"راه وروستايي -ساخت"</f>
        <v>راه وروستايي -ساخت</v>
      </c>
      <c r="AB637" s="1" t="str">
        <f>"95/03/18"</f>
        <v>95/03/18</v>
      </c>
      <c r="AC637" s="1" t="str">
        <f>"خراسان جنوبي"</f>
        <v>خراسان جنوبي</v>
      </c>
      <c r="AD637" s="1" t="str">
        <f>"95/03/23"</f>
        <v>95/03/23</v>
      </c>
      <c r="AE637" s="1" t="str">
        <f t="shared" si="150"/>
        <v>اختتام</v>
      </c>
      <c r="AF637" s="1" t="str">
        <f>""</f>
        <v/>
      </c>
      <c r="AG637" s="1" t="str">
        <f>""</f>
        <v/>
      </c>
      <c r="AH637" s="1" t="str">
        <f>""</f>
        <v/>
      </c>
      <c r="AI637" s="1" t="str">
        <f>""</f>
        <v/>
      </c>
      <c r="AJ637" s="1" t="str">
        <f>""</f>
        <v/>
      </c>
      <c r="AK637" s="1" t="str">
        <f>""</f>
        <v/>
      </c>
    </row>
    <row r="638" spans="1:37" x14ac:dyDescent="0.2">
      <c r="A638" s="1">
        <v>38000</v>
      </c>
      <c r="B638" s="1">
        <v>951700040</v>
      </c>
      <c r="C638" s="1" t="str">
        <f>"تخليه -خراسان جنوبي -ديهوك اداره راه وشهرسازي ديهوك"</f>
        <v>تخليه -خراسان جنوبي -ديهوك اداره راه وشهرسازي ديهوك</v>
      </c>
      <c r="D638" s="1">
        <v>6050</v>
      </c>
      <c r="E638" s="1">
        <v>37080</v>
      </c>
      <c r="F638" s="1">
        <v>95</v>
      </c>
      <c r="G638" s="1">
        <v>920</v>
      </c>
      <c r="H638" s="1" t="str">
        <f>"95/03/24"</f>
        <v>95/03/24</v>
      </c>
      <c r="I638" s="1" t="str">
        <f t="shared" si="139"/>
        <v>كيلوگرم</v>
      </c>
      <c r="J638" s="1" t="str">
        <f t="shared" si="151"/>
        <v>0000000091</v>
      </c>
      <c r="K638" s="1" t="str">
        <f t="shared" si="152"/>
        <v>قير  PG64-22</v>
      </c>
      <c r="L638" s="1">
        <v>100</v>
      </c>
      <c r="M638" s="1" t="str">
        <f t="shared" si="142"/>
        <v>مخازن قير اصفهان</v>
      </c>
      <c r="N638" s="1">
        <v>4012</v>
      </c>
      <c r="O638" s="1">
        <v>50031028</v>
      </c>
      <c r="P638" s="1" t="str">
        <f>"  اداره كل راه و شهرسازي خراسان جنوبي"</f>
        <v xml:space="preserve">  اداره كل راه و شهرسازي خراسان جنوبي</v>
      </c>
      <c r="Q638" s="1">
        <v>17</v>
      </c>
      <c r="R638" s="1" t="str">
        <f>"فروش داخلي تهران - وزارت راه - راه روستايي - روکش"</f>
        <v>فروش داخلي تهران - وزارت راه - راه روستايي - روکش</v>
      </c>
      <c r="S638" s="1" t="str">
        <f t="shared" si="140"/>
        <v>قرارداد فروش</v>
      </c>
      <c r="T638" s="1" t="str">
        <f t="shared" si="141"/>
        <v>ندارد</v>
      </c>
      <c r="U638" s="1" t="str">
        <f>"قانعي محمدرضا(1011ج89)"</f>
        <v>قانعي محمدرضا(1011ج89)</v>
      </c>
      <c r="V638" s="1">
        <v>951700040</v>
      </c>
      <c r="W638" s="1">
        <v>951700040</v>
      </c>
      <c r="X638" s="1" t="str">
        <f>"1395409032"</f>
        <v>1395409032</v>
      </c>
      <c r="Y638" s="1" t="str">
        <f>"95/03/24"</f>
        <v>95/03/24</v>
      </c>
      <c r="Z638" s="1" t="str">
        <f>"11722/510"</f>
        <v>11722/510</v>
      </c>
      <c r="AA638" s="1" t="str">
        <f>"راه روستائي -روكش"</f>
        <v>راه روستائي -روكش</v>
      </c>
      <c r="AB638" s="1" t="str">
        <f>"95/03/23"</f>
        <v>95/03/23</v>
      </c>
      <c r="AC638" s="1" t="str">
        <f>"خراسان جنوبي"</f>
        <v>خراسان جنوبي</v>
      </c>
      <c r="AD638" s="1" t="str">
        <f>"95/03/24"</f>
        <v>95/03/24</v>
      </c>
      <c r="AE638" s="1" t="str">
        <f t="shared" si="150"/>
        <v>اختتام</v>
      </c>
      <c r="AF638" s="1" t="str">
        <f>""</f>
        <v/>
      </c>
      <c r="AG638" s="1" t="str">
        <f>""</f>
        <v/>
      </c>
      <c r="AH638" s="1" t="str">
        <f>""</f>
        <v/>
      </c>
      <c r="AI638" s="1" t="str">
        <f>""</f>
        <v/>
      </c>
      <c r="AJ638" s="1" t="str">
        <f>""</f>
        <v/>
      </c>
      <c r="AK638" s="1" t="str">
        <f>""</f>
        <v/>
      </c>
    </row>
    <row r="639" spans="1:37" x14ac:dyDescent="0.2">
      <c r="A639" s="1">
        <v>40000</v>
      </c>
      <c r="B639" s="1">
        <v>951400058</v>
      </c>
      <c r="C639" s="1" t="str">
        <f>"تخليه-خراسان جنوبي-بيرجند کارخانه آسفالت هموار ره آذر"</f>
        <v>تخليه-خراسان جنوبي-بيرجند کارخانه آسفالت هموار ره آذر</v>
      </c>
      <c r="D639" s="1">
        <v>6726</v>
      </c>
      <c r="E639" s="1">
        <v>37960</v>
      </c>
      <c r="F639" s="1">
        <v>95</v>
      </c>
      <c r="G639" s="1">
        <v>2040</v>
      </c>
      <c r="H639" s="1" t="str">
        <f>"95/05/24"</f>
        <v>95/05/24</v>
      </c>
      <c r="I639" s="1" t="str">
        <f t="shared" si="139"/>
        <v>كيلوگرم</v>
      </c>
      <c r="J639" s="1" t="str">
        <f t="shared" si="151"/>
        <v>0000000091</v>
      </c>
      <c r="K639" s="1" t="str">
        <f t="shared" si="152"/>
        <v>قير  PG64-22</v>
      </c>
      <c r="L639" s="1">
        <v>100</v>
      </c>
      <c r="M639" s="1" t="str">
        <f t="shared" si="142"/>
        <v>مخازن قير اصفهان</v>
      </c>
      <c r="N639" s="1">
        <v>4012</v>
      </c>
      <c r="O639" s="1">
        <v>50031514</v>
      </c>
      <c r="P639" s="1" t="str">
        <f>"  اداره كل راه و شهرسازي خراسان جنوبي"</f>
        <v xml:space="preserve">  اداره كل راه و شهرسازي خراسان جنوبي</v>
      </c>
      <c r="Q639" s="1">
        <v>14</v>
      </c>
      <c r="R639" s="1" t="str">
        <f>"فروش داخلي - وزارت راه - حوزه راه روستايي ساخت"</f>
        <v>فروش داخلي - وزارت راه - حوزه راه روستايي ساخت</v>
      </c>
      <c r="S639" s="1" t="str">
        <f t="shared" si="140"/>
        <v>قرارداد فروش</v>
      </c>
      <c r="T639" s="1" t="str">
        <f t="shared" si="141"/>
        <v>ندارد</v>
      </c>
      <c r="U639" s="1" t="str">
        <f>"بابامحمدي عنايت اله(4844000)"</f>
        <v>بابامحمدي عنايت اله(4844000)</v>
      </c>
      <c r="V639" s="1">
        <v>951400058</v>
      </c>
      <c r="W639" s="1">
        <v>951400058</v>
      </c>
      <c r="X639" s="1" t="str">
        <f>"1395423493"</f>
        <v>1395423493</v>
      </c>
      <c r="Y639" s="1" t="str">
        <f>"95/05/24"</f>
        <v>95/05/24</v>
      </c>
      <c r="Z639" s="1" t="str">
        <f>"22308/510"</f>
        <v>22308/510</v>
      </c>
      <c r="AA639" s="1" t="str">
        <f>"راه وروستايي -ساخت"</f>
        <v>راه وروستايي -ساخت</v>
      </c>
      <c r="AB639" s="1" t="str">
        <f>"95/05/18"</f>
        <v>95/05/18</v>
      </c>
      <c r="AC639" s="1" t="str">
        <f>"خراسان جنوبي"</f>
        <v>خراسان جنوبي</v>
      </c>
      <c r="AD639" s="1" t="str">
        <f>"95/05/23"</f>
        <v>95/05/23</v>
      </c>
      <c r="AE639" s="1" t="str">
        <f t="shared" si="150"/>
        <v>اختتام</v>
      </c>
      <c r="AF639" s="1" t="str">
        <f>""</f>
        <v/>
      </c>
      <c r="AG639" s="1" t="str">
        <f>""</f>
        <v/>
      </c>
      <c r="AH639" s="1" t="str">
        <f>""</f>
        <v/>
      </c>
      <c r="AI639" s="1" t="str">
        <f>""</f>
        <v/>
      </c>
      <c r="AJ639" s="1" t="str">
        <f>""</f>
        <v/>
      </c>
      <c r="AK639" s="1" t="str">
        <f>""</f>
        <v/>
      </c>
    </row>
    <row r="640" spans="1:37" x14ac:dyDescent="0.2">
      <c r="A640" s="1">
        <v>63000</v>
      </c>
      <c r="B640" s="1">
        <v>951700234</v>
      </c>
      <c r="C640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640" s="1">
        <v>7276</v>
      </c>
      <c r="E640" s="1">
        <v>61580</v>
      </c>
      <c r="F640" s="1">
        <v>95</v>
      </c>
      <c r="G640" s="1">
        <v>1420</v>
      </c>
      <c r="H640" s="1" t="str">
        <f>"95/07/13"</f>
        <v>95/07/13</v>
      </c>
      <c r="I640" s="1" t="str">
        <f t="shared" si="139"/>
        <v>كيلوگرم</v>
      </c>
      <c r="J640" s="1" t="str">
        <f t="shared" si="151"/>
        <v>0000000091</v>
      </c>
      <c r="K640" s="1" t="str">
        <f t="shared" si="152"/>
        <v>قير  PG64-22</v>
      </c>
      <c r="L640" s="1">
        <v>100</v>
      </c>
      <c r="M640" s="1" t="str">
        <f t="shared" si="142"/>
        <v>مخازن قير اصفهان</v>
      </c>
      <c r="N640" s="1">
        <v>4012</v>
      </c>
      <c r="O640" s="1">
        <v>50032083</v>
      </c>
      <c r="P640" s="1" t="str">
        <f>"  اداره كل راه و شهرسازي خراسان جنوبي"</f>
        <v xml:space="preserve">  اداره كل راه و شهرسازي خراسان جنوبي</v>
      </c>
      <c r="Q640" s="1">
        <v>17</v>
      </c>
      <c r="R640" s="1" t="str">
        <f>"فروش داخلي تهران - وزارت راه - راه روستايي - روکش"</f>
        <v>فروش داخلي تهران - وزارت راه - راه روستايي - روکش</v>
      </c>
      <c r="S640" s="1" t="str">
        <f t="shared" si="140"/>
        <v>قرارداد فروش</v>
      </c>
      <c r="T640" s="1" t="str">
        <f t="shared" si="141"/>
        <v>ندارد</v>
      </c>
      <c r="U640" s="1" t="str">
        <f>"بابامحمدي عنايت اله(4844000)"</f>
        <v>بابامحمدي عنايت اله(4844000)</v>
      </c>
      <c r="V640" s="1">
        <v>951700234</v>
      </c>
      <c r="W640" s="1">
        <v>951700234</v>
      </c>
      <c r="X640" s="1" t="str">
        <f>"1395435599"</f>
        <v>1395435599</v>
      </c>
      <c r="Y640" s="1" t="str">
        <f>"95/07/13"</f>
        <v>95/07/13</v>
      </c>
      <c r="Z640" s="1" t="str">
        <f>"32933/510"</f>
        <v>32933/510</v>
      </c>
      <c r="AA640" s="1" t="str">
        <f>"راه روستائي -روكش"</f>
        <v>راه روستائي -روكش</v>
      </c>
      <c r="AB640" s="1" t="str">
        <f>"95/07/11"</f>
        <v>95/07/11</v>
      </c>
      <c r="AC640" s="1" t="str">
        <f>"خراسان جنوبي"</f>
        <v>خراسان جنوبي</v>
      </c>
      <c r="AD640" s="1" t="str">
        <f>"95/07/13"</f>
        <v>95/07/13</v>
      </c>
      <c r="AE640" s="1" t="str">
        <f t="shared" si="150"/>
        <v>اختتام</v>
      </c>
      <c r="AF640" s="1" t="str">
        <f>""</f>
        <v/>
      </c>
      <c r="AG640" s="1" t="str">
        <f>""</f>
        <v/>
      </c>
      <c r="AH640" s="1" t="str">
        <f>""</f>
        <v/>
      </c>
      <c r="AI640" s="1" t="str">
        <f>""</f>
        <v/>
      </c>
      <c r="AJ640" s="1" t="str">
        <f>""</f>
        <v/>
      </c>
      <c r="AK640" s="1" t="str">
        <f>""</f>
        <v/>
      </c>
    </row>
    <row r="641" spans="1:37" x14ac:dyDescent="0.2">
      <c r="A641" s="1">
        <v>26000</v>
      </c>
      <c r="B641" s="1">
        <v>956200226</v>
      </c>
      <c r="C641" s="1" t="str">
        <f>"تخليه تهران پاكدشت جمال آبادكارخانه آسفالت آليچ پارس"</f>
        <v>تخليه تهران پاكدشت جمال آبادكارخانه آسفالت آليچ پارس</v>
      </c>
      <c r="D641" s="1">
        <v>9361</v>
      </c>
      <c r="E641" s="1">
        <v>26000</v>
      </c>
      <c r="F641" s="1">
        <v>95</v>
      </c>
      <c r="G641" s="1">
        <v>0</v>
      </c>
      <c r="H641" s="1" t="str">
        <f>"95/11/24"</f>
        <v>95/11/24</v>
      </c>
      <c r="I641" s="1" t="str">
        <f t="shared" si="139"/>
        <v>كيلوگرم</v>
      </c>
      <c r="J641" s="1" t="str">
        <f>"0000000076"</f>
        <v>0000000076</v>
      </c>
      <c r="K641" s="1" t="str">
        <f>"قير 60/70 - فله"</f>
        <v>قير 60/70 - فله</v>
      </c>
      <c r="L641" s="1">
        <v>100</v>
      </c>
      <c r="M641" s="1" t="str">
        <f t="shared" si="142"/>
        <v>مخازن قير اصفهان</v>
      </c>
      <c r="N641" s="1">
        <v>8420</v>
      </c>
      <c r="O641" s="1">
        <v>50033701</v>
      </c>
      <c r="P641" s="1" t="str">
        <f>"  سامان آسفالت"</f>
        <v xml:space="preserve">  سامان آسفالت</v>
      </c>
      <c r="Q641" s="1">
        <v>62</v>
      </c>
      <c r="R641" s="1" t="str">
        <f>"فروش داخلي - سازمان بنيادمسكن انقلاب اسلامي"</f>
        <v>فروش داخلي - سازمان بنيادمسكن انقلاب اسلامي</v>
      </c>
      <c r="S641" s="1" t="str">
        <f t="shared" si="140"/>
        <v>قرارداد فروش</v>
      </c>
      <c r="T641" s="1" t="str">
        <f t="shared" si="141"/>
        <v>ندارد</v>
      </c>
      <c r="U641" s="1" t="str">
        <f>"خوش نيت مجتبي(1841021)"</f>
        <v>خوش نيت مجتبي(1841021)</v>
      </c>
      <c r="V641" s="1">
        <v>956200226</v>
      </c>
      <c r="W641" s="1">
        <v>956200226</v>
      </c>
      <c r="X641" s="1" t="str">
        <f>"1395464400"</f>
        <v>1395464400</v>
      </c>
      <c r="Y641" s="1" t="str">
        <f>"95/11/24"</f>
        <v>95/11/24</v>
      </c>
      <c r="Z641" s="1" t="str">
        <f>"50307/د"</f>
        <v>50307/د</v>
      </c>
      <c r="AA641" s="1" t="str">
        <f>"بنيادمسكن انقلاب اسلامي"</f>
        <v>بنيادمسكن انقلاب اسلامي</v>
      </c>
      <c r="AB641" s="1" t="str">
        <f>"95/11/20"</f>
        <v>95/11/20</v>
      </c>
      <c r="AC641" s="1" t="str">
        <f>"استان تهران"</f>
        <v>استان تهران</v>
      </c>
      <c r="AD641" s="1" t="str">
        <f>"95/11/23"</f>
        <v>95/11/23</v>
      </c>
      <c r="AE641" s="1" t="str">
        <f t="shared" si="150"/>
        <v>اختتام</v>
      </c>
      <c r="AF641" s="1" t="str">
        <f>""</f>
        <v/>
      </c>
      <c r="AG641" s="1" t="str">
        <f>""</f>
        <v/>
      </c>
      <c r="AH641" s="1" t="str">
        <f>""</f>
        <v/>
      </c>
      <c r="AI641" s="1" t="str">
        <f>""</f>
        <v/>
      </c>
      <c r="AJ641" s="1" t="str">
        <f>""</f>
        <v/>
      </c>
      <c r="AK641" s="1" t="str">
        <f>""</f>
        <v/>
      </c>
    </row>
    <row r="642" spans="1:37" x14ac:dyDescent="0.2">
      <c r="A642" s="1">
        <v>400000</v>
      </c>
      <c r="B642" s="1">
        <v>951800034</v>
      </c>
      <c r="C642" s="1" t="str">
        <f>"تربت حيدريه كيلومتر45محورمشهد-تربت حيدريه"</f>
        <v>تربت حيدريه كيلومتر45محورمشهد-تربت حيدريه</v>
      </c>
      <c r="D642" s="1">
        <v>6726</v>
      </c>
      <c r="E642" s="1">
        <v>398340</v>
      </c>
      <c r="F642" s="1">
        <v>95</v>
      </c>
      <c r="G642" s="1">
        <v>1660</v>
      </c>
      <c r="H642" s="1" t="str">
        <f>"95/05/04"</f>
        <v>95/05/04</v>
      </c>
      <c r="I642" s="1" t="str">
        <f t="shared" ref="I642:I705" si="157">"كيلوگرم"</f>
        <v>كيلوگرم</v>
      </c>
      <c r="J642" s="1" t="str">
        <f t="shared" ref="J642:J647" si="158">"0000000088"</f>
        <v>0000000088</v>
      </c>
      <c r="K642" s="1" t="str">
        <f t="shared" ref="K642:K647" si="159">"قير  PG58-22"</f>
        <v>قير  PG58-22</v>
      </c>
      <c r="L642" s="1">
        <v>100</v>
      </c>
      <c r="M642" s="1" t="str">
        <f t="shared" si="142"/>
        <v>مخازن قير اصفهان</v>
      </c>
      <c r="N642" s="1">
        <v>4079</v>
      </c>
      <c r="O642" s="1">
        <v>50031345</v>
      </c>
      <c r="P642" s="1" t="str">
        <f>"  طوس عامر"</f>
        <v xml:space="preserve">  طوس عامر</v>
      </c>
      <c r="Q642" s="1">
        <v>18</v>
      </c>
      <c r="R642" s="1" t="str">
        <f>"فروش داخلي تهران - وزارت راه - شرکت ساخت و توسعه راهها"</f>
        <v>فروش داخلي تهران - وزارت راه - شرکت ساخت و توسعه راهها</v>
      </c>
      <c r="S642" s="1" t="str">
        <f t="shared" ref="S642:S705" si="160">"قرارداد فروش"</f>
        <v>قرارداد فروش</v>
      </c>
      <c r="T642" s="1" t="str">
        <f t="shared" ref="T642:T705" si="161">"ندارد"</f>
        <v>ندارد</v>
      </c>
      <c r="U642" s="1" t="str">
        <f>"حسيني حسن(1841075)"</f>
        <v>حسيني حسن(1841075)</v>
      </c>
      <c r="V642" s="1">
        <v>951800034</v>
      </c>
      <c r="W642" s="1">
        <v>951800034</v>
      </c>
      <c r="X642" s="1" t="str">
        <f>"1395417776"</f>
        <v>1395417776</v>
      </c>
      <c r="Y642" s="1" t="str">
        <f>"95/05/04"</f>
        <v>95/05/04</v>
      </c>
      <c r="Z642" s="1" t="str">
        <f>"18395/510"</f>
        <v>18395/510</v>
      </c>
      <c r="AA642" s="1" t="str">
        <f>"شركت  ساخت وتوسعه راهها"</f>
        <v>شركت  ساخت وتوسعه راهها</v>
      </c>
      <c r="AB642" s="1" t="str">
        <f>"95/04/28"</f>
        <v>95/04/28</v>
      </c>
      <c r="AC642" s="1" t="str">
        <f>"خراسان رضوي"</f>
        <v>خراسان رضوي</v>
      </c>
      <c r="AD642" s="1" t="str">
        <f>"95/05/04"</f>
        <v>95/05/04</v>
      </c>
      <c r="AE642" s="1" t="str">
        <f t="shared" si="150"/>
        <v>اختتام</v>
      </c>
      <c r="AF642" s="1" t="str">
        <f>""</f>
        <v/>
      </c>
      <c r="AG642" s="1" t="str">
        <f>""</f>
        <v/>
      </c>
      <c r="AH642" s="1" t="str">
        <f>""</f>
        <v/>
      </c>
      <c r="AI642" s="1" t="str">
        <f>""</f>
        <v/>
      </c>
      <c r="AJ642" s="1" t="str">
        <f>""</f>
        <v/>
      </c>
      <c r="AK642" s="1" t="str">
        <f>""</f>
        <v/>
      </c>
    </row>
    <row r="643" spans="1:37" x14ac:dyDescent="0.2">
      <c r="A643" s="1">
        <v>200000</v>
      </c>
      <c r="B643" s="1">
        <v>951900017</v>
      </c>
      <c r="C643" s="1" t="str">
        <f>"تخليه -چهارمحال بختياري -فلاردكارخانه آسفالت ياسين گنج فلارد"</f>
        <v>تخليه -چهارمحال بختياري -فلاردكارخانه آسفالت ياسين گنج فلارد</v>
      </c>
      <c r="D643" s="1">
        <v>5650</v>
      </c>
      <c r="E643" s="1">
        <v>199920</v>
      </c>
      <c r="F643" s="1">
        <v>95</v>
      </c>
      <c r="G643" s="1">
        <v>80</v>
      </c>
      <c r="H643" s="1" t="str">
        <f>"95/02/14"</f>
        <v>95/02/14</v>
      </c>
      <c r="I643" s="1" t="str">
        <f t="shared" si="157"/>
        <v>كيلوگرم</v>
      </c>
      <c r="J643" s="1" t="str">
        <f t="shared" si="158"/>
        <v>0000000088</v>
      </c>
      <c r="K643" s="1" t="str">
        <f t="shared" si="159"/>
        <v>قير  PG58-22</v>
      </c>
      <c r="L643" s="1">
        <v>100</v>
      </c>
      <c r="M643" s="1" t="str">
        <f t="shared" si="142"/>
        <v>مخازن قير اصفهان</v>
      </c>
      <c r="N643" s="1">
        <v>7190</v>
      </c>
      <c r="O643" s="1">
        <v>50030730</v>
      </c>
      <c r="P643" s="1" t="str">
        <f>"  اداره كل راه و شهرسازي چهارمحال وبختياري"</f>
        <v xml:space="preserve">  اداره كل راه و شهرسازي چهارمحال وبختياري</v>
      </c>
      <c r="Q643" s="1">
        <v>19</v>
      </c>
      <c r="R6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43" s="1" t="str">
        <f t="shared" si="160"/>
        <v>قرارداد فروش</v>
      </c>
      <c r="T643" s="1" t="str">
        <f t="shared" si="161"/>
        <v>ندارد</v>
      </c>
      <c r="U643" s="1" t="str">
        <f>"قره باغي مجيد(1871065)"</f>
        <v>قره باغي مجيد(1871065)</v>
      </c>
      <c r="V643" s="1">
        <v>951900017</v>
      </c>
      <c r="W643" s="1">
        <v>951900017</v>
      </c>
      <c r="X643" s="1" t="str">
        <f>"1395401952"</f>
        <v>1395401952</v>
      </c>
      <c r="Y643" s="1" t="str">
        <f>"95/02/14"</f>
        <v>95/02/14</v>
      </c>
      <c r="Z643" s="1" t="str">
        <f>"67884/510"</f>
        <v>67884/510</v>
      </c>
      <c r="AA643" s="1" t="str">
        <f>"سازمان راهداري وحمل نقل جاده اي"</f>
        <v>سازمان راهداري وحمل نقل جاده اي</v>
      </c>
      <c r="AB643" s="1" t="str">
        <f>"94/12/11"</f>
        <v>94/12/11</v>
      </c>
      <c r="AC643" s="1" t="str">
        <f>"استان چهارمحال بختياري"</f>
        <v>استان چهارمحال بختياري</v>
      </c>
      <c r="AD643" s="1" t="str">
        <f>"95/02/11"</f>
        <v>95/02/11</v>
      </c>
      <c r="AE643" s="1" t="str">
        <f t="shared" si="150"/>
        <v>اختتام</v>
      </c>
      <c r="AF643" s="1" t="str">
        <f>""</f>
        <v/>
      </c>
      <c r="AG643" s="1" t="str">
        <f>""</f>
        <v/>
      </c>
      <c r="AH643" s="1" t="str">
        <f>""</f>
        <v/>
      </c>
      <c r="AI643" s="1" t="str">
        <f>""</f>
        <v/>
      </c>
      <c r="AJ643" s="1" t="str">
        <f>""</f>
        <v/>
      </c>
      <c r="AK643" s="1" t="str">
        <f>""</f>
        <v/>
      </c>
    </row>
    <row r="644" spans="1:37" x14ac:dyDescent="0.2">
      <c r="A644" s="1">
        <v>600000</v>
      </c>
      <c r="B644" s="1">
        <v>951900018</v>
      </c>
      <c r="C644" s="1" t="str">
        <f>"تخليه -اردل شركت دشتاونددزپارت"</f>
        <v>تخليه -اردل شركت دشتاونددزپارت</v>
      </c>
      <c r="D644" s="1">
        <v>5650</v>
      </c>
      <c r="E644" s="1">
        <v>600000</v>
      </c>
      <c r="F644" s="1">
        <v>95</v>
      </c>
      <c r="G644" s="1">
        <v>0</v>
      </c>
      <c r="H644" s="1" t="str">
        <f>"95/02/14"</f>
        <v>95/02/14</v>
      </c>
      <c r="I644" s="1" t="str">
        <f t="shared" si="157"/>
        <v>كيلوگرم</v>
      </c>
      <c r="J644" s="1" t="str">
        <f t="shared" si="158"/>
        <v>0000000088</v>
      </c>
      <c r="K644" s="1" t="str">
        <f t="shared" si="159"/>
        <v>قير  PG58-22</v>
      </c>
      <c r="L644" s="1">
        <v>100</v>
      </c>
      <c r="M644" s="1" t="str">
        <f t="shared" si="142"/>
        <v>مخازن قير اصفهان</v>
      </c>
      <c r="N644" s="1">
        <v>7190</v>
      </c>
      <c r="O644" s="1">
        <v>50030731</v>
      </c>
      <c r="P644" s="1" t="str">
        <f>"  اداره كل راه و شهرسازي چهارمحال وبختياري"</f>
        <v xml:space="preserve">  اداره كل راه و شهرسازي چهارمحال وبختياري</v>
      </c>
      <c r="Q644" s="1">
        <v>19</v>
      </c>
      <c r="R6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44" s="1" t="str">
        <f t="shared" si="160"/>
        <v>قرارداد فروش</v>
      </c>
      <c r="T644" s="1" t="str">
        <f t="shared" si="161"/>
        <v>ندارد</v>
      </c>
      <c r="U644" s="1" t="str">
        <f>"قره باغي مجيد(1871065)"</f>
        <v>قره باغي مجيد(1871065)</v>
      </c>
      <c r="V644" s="1">
        <v>951900018</v>
      </c>
      <c r="W644" s="1">
        <v>951900018</v>
      </c>
      <c r="X644" s="1" t="str">
        <f>"1395401952"</f>
        <v>1395401952</v>
      </c>
      <c r="Y644" s="1" t="str">
        <f>"95/02/14"</f>
        <v>95/02/14</v>
      </c>
      <c r="Z644" s="1" t="str">
        <f>"67884/510"</f>
        <v>67884/510</v>
      </c>
      <c r="AA644" s="1" t="str">
        <f>"سازمان راهداري وحمل نقل جاده اي"</f>
        <v>سازمان راهداري وحمل نقل جاده اي</v>
      </c>
      <c r="AB644" s="1" t="str">
        <f>"94/12/11"</f>
        <v>94/12/11</v>
      </c>
      <c r="AC644" s="1" t="str">
        <f>"استان چهارمحال بختياري"</f>
        <v>استان چهارمحال بختياري</v>
      </c>
      <c r="AD644" s="1" t="str">
        <f>"95/02/11"</f>
        <v>95/02/11</v>
      </c>
      <c r="AE644" s="1" t="str">
        <f t="shared" si="150"/>
        <v>اختتام</v>
      </c>
      <c r="AF644" s="1" t="str">
        <f>""</f>
        <v/>
      </c>
      <c r="AG644" s="1" t="str">
        <f>""</f>
        <v/>
      </c>
      <c r="AH644" s="1" t="str">
        <f>""</f>
        <v/>
      </c>
      <c r="AI644" s="1" t="str">
        <f>""</f>
        <v/>
      </c>
      <c r="AJ644" s="1" t="str">
        <f>""</f>
        <v/>
      </c>
      <c r="AK644" s="1" t="str">
        <f>""</f>
        <v/>
      </c>
    </row>
    <row r="645" spans="1:37" x14ac:dyDescent="0.2">
      <c r="A645" s="1">
        <v>57000</v>
      </c>
      <c r="B645" s="1">
        <v>951700058</v>
      </c>
      <c r="C645" s="1" t="str">
        <f>"تخليه -چهارمحال بختياري -فلاردكارخانه آسفالت ياسين گنج فلارد"</f>
        <v>تخليه -چهارمحال بختياري -فلاردكارخانه آسفالت ياسين گنج فلارد</v>
      </c>
      <c r="D645" s="1">
        <v>6250</v>
      </c>
      <c r="E645" s="1">
        <v>57000</v>
      </c>
      <c r="F645" s="1">
        <v>95</v>
      </c>
      <c r="G645" s="1">
        <v>0</v>
      </c>
      <c r="H645" s="1" t="str">
        <f>"95/04/06"</f>
        <v>95/04/06</v>
      </c>
      <c r="I645" s="1" t="str">
        <f t="shared" si="157"/>
        <v>كيلوگرم</v>
      </c>
      <c r="J645" s="1" t="str">
        <f t="shared" si="158"/>
        <v>0000000088</v>
      </c>
      <c r="K645" s="1" t="str">
        <f t="shared" si="159"/>
        <v>قير  PG58-22</v>
      </c>
      <c r="L645" s="1">
        <v>100</v>
      </c>
      <c r="M645" s="1" t="str">
        <f t="shared" si="142"/>
        <v>مخازن قير اصفهان</v>
      </c>
      <c r="N645" s="1">
        <v>7190</v>
      </c>
      <c r="O645" s="1">
        <v>50031124</v>
      </c>
      <c r="P645" s="1" t="str">
        <f>"  اداره كل راه و شهرسازي چهارمحال وبختياري"</f>
        <v xml:space="preserve">  اداره كل راه و شهرسازي چهارمحال وبختياري</v>
      </c>
      <c r="Q645" s="1">
        <v>17</v>
      </c>
      <c r="R645" s="1" t="str">
        <f>"فروش داخلي تهران - وزارت راه - راه روستايي - روکش"</f>
        <v>فروش داخلي تهران - وزارت راه - راه روستايي - روکش</v>
      </c>
      <c r="S645" s="1" t="str">
        <f t="shared" si="160"/>
        <v>قرارداد فروش</v>
      </c>
      <c r="T645" s="1" t="str">
        <f t="shared" si="161"/>
        <v>ندارد</v>
      </c>
      <c r="U645" s="1" t="str">
        <f>"قره باغي مجيد(1871065)"</f>
        <v>قره باغي مجيد(1871065)</v>
      </c>
      <c r="V645" s="1">
        <v>951700058</v>
      </c>
      <c r="W645" s="1">
        <v>951700058</v>
      </c>
      <c r="X645" s="1" t="str">
        <f>"1395411204"</f>
        <v>1395411204</v>
      </c>
      <c r="Y645" s="1" t="str">
        <f>"95/04/06"</f>
        <v>95/04/06</v>
      </c>
      <c r="Z645" s="1" t="str">
        <f>"13376/510"</f>
        <v>13376/510</v>
      </c>
      <c r="AA645" s="1" t="str">
        <f>"راه روستائي -روكش"</f>
        <v>راه روستائي -روكش</v>
      </c>
      <c r="AB645" s="1" t="str">
        <f>"95/03/31"</f>
        <v>95/03/31</v>
      </c>
      <c r="AC645" s="1" t="str">
        <f>"استان چهارمحال بختياري"</f>
        <v>استان چهارمحال بختياري</v>
      </c>
      <c r="AD645" s="1" t="str">
        <f>"95/04/05"</f>
        <v>95/04/05</v>
      </c>
      <c r="AE645" s="1" t="str">
        <f t="shared" si="150"/>
        <v>اختتام</v>
      </c>
      <c r="AF645" s="1" t="str">
        <f>""</f>
        <v/>
      </c>
      <c r="AG645" s="1" t="str">
        <f>""</f>
        <v/>
      </c>
      <c r="AH645" s="1" t="str">
        <f>""</f>
        <v/>
      </c>
      <c r="AI645" s="1" t="str">
        <f>""</f>
        <v/>
      </c>
      <c r="AJ645" s="1" t="str">
        <f>""</f>
        <v/>
      </c>
      <c r="AK645" s="1" t="str">
        <f>""</f>
        <v/>
      </c>
    </row>
    <row r="646" spans="1:37" x14ac:dyDescent="0.2">
      <c r="A646" s="1">
        <v>39000</v>
      </c>
      <c r="B646" s="1">
        <v>951700061</v>
      </c>
      <c r="C646" s="1" t="str">
        <f>"تخليه-گندمان-کارخانه آسفالت 253شرکت احمديه چليچه"</f>
        <v>تخليه-گندمان-کارخانه آسفالت 253شرکت احمديه چليچه</v>
      </c>
      <c r="D646" s="1">
        <v>6250</v>
      </c>
      <c r="E646" s="1">
        <v>39000</v>
      </c>
      <c r="F646" s="1">
        <v>95</v>
      </c>
      <c r="G646" s="1">
        <v>0</v>
      </c>
      <c r="H646" s="1" t="str">
        <f>"95/04/06"</f>
        <v>95/04/06</v>
      </c>
      <c r="I646" s="1" t="str">
        <f t="shared" si="157"/>
        <v>كيلوگرم</v>
      </c>
      <c r="J646" s="1" t="str">
        <f t="shared" si="158"/>
        <v>0000000088</v>
      </c>
      <c r="K646" s="1" t="str">
        <f t="shared" si="159"/>
        <v>قير  PG58-22</v>
      </c>
      <c r="L646" s="1">
        <v>100</v>
      </c>
      <c r="M646" s="1" t="str">
        <f t="shared" si="142"/>
        <v>مخازن قير اصفهان</v>
      </c>
      <c r="N646" s="1">
        <v>7190</v>
      </c>
      <c r="O646" s="1">
        <v>50031127</v>
      </c>
      <c r="P646" s="1" t="str">
        <f>"  اداره كل راه و شهرسازي چهارمحال وبختياري"</f>
        <v xml:space="preserve">  اداره كل راه و شهرسازي چهارمحال وبختياري</v>
      </c>
      <c r="Q646" s="1">
        <v>17</v>
      </c>
      <c r="R646" s="1" t="str">
        <f>"فروش داخلي تهران - وزارت راه - راه روستايي - روکش"</f>
        <v>فروش داخلي تهران - وزارت راه - راه روستايي - روکش</v>
      </c>
      <c r="S646" s="1" t="str">
        <f t="shared" si="160"/>
        <v>قرارداد فروش</v>
      </c>
      <c r="T646" s="1" t="str">
        <f t="shared" si="161"/>
        <v>ندارد</v>
      </c>
      <c r="U646" s="1" t="str">
        <f>"قره باغي مجيد(1871065)"</f>
        <v>قره باغي مجيد(1871065)</v>
      </c>
      <c r="V646" s="1">
        <v>951700061</v>
      </c>
      <c r="W646" s="1">
        <v>951700061</v>
      </c>
      <c r="X646" s="1" t="str">
        <f>"1395411204"</f>
        <v>1395411204</v>
      </c>
      <c r="Y646" s="1" t="str">
        <f>"95/04/06"</f>
        <v>95/04/06</v>
      </c>
      <c r="Z646" s="1" t="str">
        <f>"13376/510"</f>
        <v>13376/510</v>
      </c>
      <c r="AA646" s="1" t="str">
        <f>"راه روستائي -روكش"</f>
        <v>راه روستائي -روكش</v>
      </c>
      <c r="AB646" s="1" t="str">
        <f>"95/03/31"</f>
        <v>95/03/31</v>
      </c>
      <c r="AC646" s="1" t="str">
        <f>"استان چهارمحال بختياري"</f>
        <v>استان چهارمحال بختياري</v>
      </c>
      <c r="AD646" s="1" t="str">
        <f>"95/04/05"</f>
        <v>95/04/05</v>
      </c>
      <c r="AE646" s="1" t="str">
        <f t="shared" si="150"/>
        <v>اختتام</v>
      </c>
      <c r="AF646" s="1" t="str">
        <f>""</f>
        <v/>
      </c>
      <c r="AG646" s="1" t="str">
        <f>""</f>
        <v/>
      </c>
      <c r="AH646" s="1" t="str">
        <f>""</f>
        <v/>
      </c>
      <c r="AI646" s="1" t="str">
        <f>""</f>
        <v/>
      </c>
      <c r="AJ646" s="1" t="str">
        <f>""</f>
        <v/>
      </c>
      <c r="AK646" s="1" t="str">
        <f>""</f>
        <v/>
      </c>
    </row>
    <row r="647" spans="1:37" x14ac:dyDescent="0.2">
      <c r="A647" s="1">
        <v>108000</v>
      </c>
      <c r="B647" s="1">
        <v>951700062</v>
      </c>
      <c r="C647" s="1" t="str">
        <f>"تخليه- گندمکار  کارخانه آزمون فلز پارس"</f>
        <v>تخليه- گندمکار  کارخانه آزمون فلز پارس</v>
      </c>
      <c r="D647" s="1">
        <v>6250</v>
      </c>
      <c r="E647" s="1">
        <v>108000</v>
      </c>
      <c r="F647" s="1">
        <v>95</v>
      </c>
      <c r="G647" s="1">
        <v>0</v>
      </c>
      <c r="H647" s="1" t="str">
        <f>"95/04/06"</f>
        <v>95/04/06</v>
      </c>
      <c r="I647" s="1" t="str">
        <f t="shared" si="157"/>
        <v>كيلوگرم</v>
      </c>
      <c r="J647" s="1" t="str">
        <f t="shared" si="158"/>
        <v>0000000088</v>
      </c>
      <c r="K647" s="1" t="str">
        <f t="shared" si="159"/>
        <v>قير  PG58-22</v>
      </c>
      <c r="L647" s="1">
        <v>100</v>
      </c>
      <c r="M647" s="1" t="str">
        <f t="shared" si="142"/>
        <v>مخازن قير اصفهان</v>
      </c>
      <c r="N647" s="1">
        <v>7190</v>
      </c>
      <c r="O647" s="1">
        <v>50031128</v>
      </c>
      <c r="P647" s="1" t="str">
        <f>"  اداره كل راه و شهرسازي چهارمحال وبختياري"</f>
        <v xml:space="preserve">  اداره كل راه و شهرسازي چهارمحال وبختياري</v>
      </c>
      <c r="Q647" s="1">
        <v>17</v>
      </c>
      <c r="R647" s="1" t="str">
        <f>"فروش داخلي تهران - وزارت راه - راه روستايي - روکش"</f>
        <v>فروش داخلي تهران - وزارت راه - راه روستايي - روکش</v>
      </c>
      <c r="S647" s="1" t="str">
        <f t="shared" si="160"/>
        <v>قرارداد فروش</v>
      </c>
      <c r="T647" s="1" t="str">
        <f t="shared" si="161"/>
        <v>ندارد</v>
      </c>
      <c r="U647" s="1" t="str">
        <f>"قره باغي مجيد(1871065)"</f>
        <v>قره باغي مجيد(1871065)</v>
      </c>
      <c r="V647" s="1">
        <v>951700062</v>
      </c>
      <c r="W647" s="1">
        <v>951700062</v>
      </c>
      <c r="X647" s="1" t="str">
        <f>"1395211204"</f>
        <v>1395211204</v>
      </c>
      <c r="Y647" s="1" t="str">
        <f>"95/04/06"</f>
        <v>95/04/06</v>
      </c>
      <c r="Z647" s="1" t="str">
        <f>"13376/510"</f>
        <v>13376/510</v>
      </c>
      <c r="AA647" s="1" t="str">
        <f>"راه روستائي -روكش"</f>
        <v>راه روستائي -روكش</v>
      </c>
      <c r="AB647" s="1" t="str">
        <f>"95/03/31"</f>
        <v>95/03/31</v>
      </c>
      <c r="AC647" s="1" t="str">
        <f>"استان چهارمحال بختياري"</f>
        <v>استان چهارمحال بختياري</v>
      </c>
      <c r="AD647" s="1" t="str">
        <f>"95/04/05"</f>
        <v>95/04/05</v>
      </c>
      <c r="AE647" s="1" t="str">
        <f t="shared" si="150"/>
        <v>اختتام</v>
      </c>
      <c r="AF647" s="1" t="str">
        <f>""</f>
        <v/>
      </c>
      <c r="AG647" s="1" t="str">
        <f>""</f>
        <v/>
      </c>
      <c r="AH647" s="1" t="str">
        <f>""</f>
        <v/>
      </c>
      <c r="AI647" s="1" t="str">
        <f>""</f>
        <v/>
      </c>
      <c r="AJ647" s="1" t="str">
        <f>""</f>
        <v/>
      </c>
      <c r="AK647" s="1" t="str">
        <f>""</f>
        <v/>
      </c>
    </row>
    <row r="648" spans="1:37" x14ac:dyDescent="0.2">
      <c r="A648" s="1">
        <v>1000000</v>
      </c>
      <c r="B648" s="1">
        <v>951900104</v>
      </c>
      <c r="C648" s="1" t="str">
        <f>"تخليه -اصفهان -كيلومتر7جاده علون آباد-كوهپايه -شركت راهسازي اسكان ده"</f>
        <v>تخليه -اصفهان -كيلومتر7جاده علون آباد-كوهپايه -شركت راهسازي اسكان ده</v>
      </c>
      <c r="D648" s="1">
        <v>6726</v>
      </c>
      <c r="E648" s="1">
        <v>997540</v>
      </c>
      <c r="F648" s="1">
        <v>95</v>
      </c>
      <c r="G648" s="1">
        <v>2460</v>
      </c>
      <c r="H648" s="1" t="str">
        <f>"95/05/18"</f>
        <v>95/05/18</v>
      </c>
      <c r="I648" s="1" t="str">
        <f t="shared" si="157"/>
        <v>كيلوگرم</v>
      </c>
      <c r="J648" s="1" t="str">
        <f t="shared" ref="J648:J658" si="162">"0000000091"</f>
        <v>0000000091</v>
      </c>
      <c r="K648" s="1" t="str">
        <f t="shared" ref="K648:K658" si="163">"قير  PG64-22"</f>
        <v>قير  PG64-22</v>
      </c>
      <c r="L648" s="1">
        <v>100</v>
      </c>
      <c r="M648" s="1" t="str">
        <f t="shared" ref="M648:M711" si="164">"مخازن قير اصفهان"</f>
        <v>مخازن قير اصفهان</v>
      </c>
      <c r="N648" s="1">
        <v>7013</v>
      </c>
      <c r="O648" s="1">
        <v>50031480</v>
      </c>
      <c r="P648" s="1" t="str">
        <f>"  راهسازي  اسكانده"</f>
        <v xml:space="preserve">  راهسازي  اسكانده</v>
      </c>
      <c r="Q648" s="1">
        <v>19</v>
      </c>
      <c r="R6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48" s="1" t="str">
        <f t="shared" si="160"/>
        <v>قرارداد فروش</v>
      </c>
      <c r="T648" s="1" t="str">
        <f t="shared" si="161"/>
        <v>ندارد</v>
      </c>
      <c r="U648" s="1" t="str">
        <f>"شهبازي محمدرضا(1029ج89)"</f>
        <v>شهبازي محمدرضا(1029ج89)</v>
      </c>
      <c r="V648" s="1">
        <v>951900104</v>
      </c>
      <c r="W648" s="1">
        <v>951900104</v>
      </c>
      <c r="X648" s="1" t="str">
        <f>"1395421991"</f>
        <v>1395421991</v>
      </c>
      <c r="Y648" s="1" t="str">
        <f>"95/05/18"</f>
        <v>95/05/18</v>
      </c>
      <c r="Z648" s="1" t="str">
        <f>"21870/510"</f>
        <v>21870/510</v>
      </c>
      <c r="AA648" s="1" t="str">
        <f>"سازمان راهداري وحمل نقل جاده اي"</f>
        <v>سازمان راهداري وحمل نقل جاده اي</v>
      </c>
      <c r="AB648" s="1" t="str">
        <f>"95/05/16"</f>
        <v>95/05/16</v>
      </c>
      <c r="AC648" s="1" t="str">
        <f>"استان اصفهان"</f>
        <v>استان اصفهان</v>
      </c>
      <c r="AD648" s="1" t="str">
        <f>"95/05/18"</f>
        <v>95/05/18</v>
      </c>
      <c r="AE648" s="1" t="str">
        <f t="shared" ref="AE648:AE655" si="165">"اختتام"</f>
        <v>اختتام</v>
      </c>
      <c r="AF648" s="1" t="str">
        <f>""</f>
        <v/>
      </c>
      <c r="AG648" s="1" t="str">
        <f>""</f>
        <v/>
      </c>
      <c r="AH648" s="1" t="str">
        <f>""</f>
        <v/>
      </c>
      <c r="AI648" s="1" t="str">
        <f>""</f>
        <v/>
      </c>
      <c r="AJ648" s="1" t="str">
        <f>""</f>
        <v/>
      </c>
      <c r="AK648" s="1" t="str">
        <f>""</f>
        <v/>
      </c>
    </row>
    <row r="649" spans="1:37" x14ac:dyDescent="0.2">
      <c r="A649" s="1">
        <v>610000</v>
      </c>
      <c r="B649" s="1">
        <v>951700205</v>
      </c>
      <c r="C649" s="1" t="str">
        <f>"تخليه- کيلومتر 15 جاده زرند -کارخانه نژاد حسيني"</f>
        <v>تخليه- کيلومتر 15 جاده زرند -کارخانه نژاد حسيني</v>
      </c>
      <c r="D649" s="1">
        <v>7176</v>
      </c>
      <c r="E649" s="1">
        <v>609000</v>
      </c>
      <c r="F649" s="1">
        <v>95</v>
      </c>
      <c r="G649" s="1">
        <v>1000</v>
      </c>
      <c r="H649" s="1" t="str">
        <f>"95/06/17"</f>
        <v>95/06/17</v>
      </c>
      <c r="I649" s="1" t="str">
        <f t="shared" si="157"/>
        <v>كيلوگرم</v>
      </c>
      <c r="J649" s="1" t="str">
        <f t="shared" si="162"/>
        <v>0000000091</v>
      </c>
      <c r="K649" s="1" t="str">
        <f t="shared" si="163"/>
        <v>قير  PG64-22</v>
      </c>
      <c r="L649" s="1">
        <v>100</v>
      </c>
      <c r="M649" s="1" t="str">
        <f t="shared" si="164"/>
        <v>مخازن قير اصفهان</v>
      </c>
      <c r="N649" s="1">
        <v>7034</v>
      </c>
      <c r="O649" s="1">
        <v>50031829</v>
      </c>
      <c r="P649" s="1" t="str">
        <f t="shared" ref="P649:P654" si="166">"  اداره كل راه وشهرسازي كرمان"</f>
        <v xml:space="preserve">  اداره كل راه وشهرسازي كرمان</v>
      </c>
      <c r="Q649" s="1">
        <v>17</v>
      </c>
      <c r="R649" s="1" t="str">
        <f t="shared" ref="R649:R654" si="167">"فروش داخلي تهران - وزارت راه - راه روستايي - روکش"</f>
        <v>فروش داخلي تهران - وزارت راه - راه روستايي - روکش</v>
      </c>
      <c r="S649" s="1" t="str">
        <f t="shared" si="160"/>
        <v>قرارداد فروش</v>
      </c>
      <c r="T649" s="1" t="str">
        <f t="shared" si="161"/>
        <v>ندارد</v>
      </c>
      <c r="U649" s="1" t="str">
        <f>"دهقانيان بهرام(4844012)"</f>
        <v>دهقانيان بهرام(4844012)</v>
      </c>
      <c r="V649" s="1">
        <v>951700205</v>
      </c>
      <c r="W649" s="1">
        <v>951700205</v>
      </c>
      <c r="X649" s="1" t="str">
        <f>"1395430313"</f>
        <v>1395430313</v>
      </c>
      <c r="Y649" s="1" t="str">
        <f>"95/06/17"</f>
        <v>95/06/17</v>
      </c>
      <c r="Z649" s="1" t="str">
        <f>"28437/510"</f>
        <v>28437/510</v>
      </c>
      <c r="AA649" s="1" t="str">
        <f t="shared" ref="AA649:AA654" si="168">"راه روستائي -روكش"</f>
        <v>راه روستائي -روكش</v>
      </c>
      <c r="AB649" s="1" t="str">
        <f>"95/06/15"</f>
        <v>95/06/15</v>
      </c>
      <c r="AC649" s="1" t="str">
        <f t="shared" ref="AC649:AC654" si="169">"استان كرمان"</f>
        <v>استان كرمان</v>
      </c>
      <c r="AD649" s="1" t="str">
        <f>"95/06/17"</f>
        <v>95/06/17</v>
      </c>
      <c r="AE649" s="1" t="str">
        <f t="shared" si="165"/>
        <v>اختتام</v>
      </c>
      <c r="AF649" s="1" t="str">
        <f>""</f>
        <v/>
      </c>
      <c r="AG649" s="1" t="str">
        <f>""</f>
        <v/>
      </c>
      <c r="AH649" s="1" t="str">
        <f>""</f>
        <v/>
      </c>
      <c r="AI649" s="1" t="str">
        <f>""</f>
        <v/>
      </c>
      <c r="AJ649" s="1" t="str">
        <f>""</f>
        <v/>
      </c>
      <c r="AK649" s="1" t="str">
        <f>""</f>
        <v/>
      </c>
    </row>
    <row r="650" spans="1:37" x14ac:dyDescent="0.2">
      <c r="A650" s="1">
        <v>120000</v>
      </c>
      <c r="B650" s="1">
        <v>951700239</v>
      </c>
      <c r="C650" s="1" t="str">
        <f>"تخليه -كرمان كيلومتر13محورسيريزكارخانه مهدي ميرمحمدي"</f>
        <v>تخليه -كرمان كيلومتر13محورسيريزكارخانه مهدي ميرمحمدي</v>
      </c>
      <c r="D650" s="1">
        <v>7276</v>
      </c>
      <c r="E650" s="1">
        <v>23060</v>
      </c>
      <c r="F650" s="1">
        <v>95</v>
      </c>
      <c r="G650" s="1">
        <v>96940</v>
      </c>
      <c r="H650" s="1" t="str">
        <f>"95/07/18"</f>
        <v>95/07/18</v>
      </c>
      <c r="I650" s="1" t="str">
        <f t="shared" si="157"/>
        <v>كيلوگرم</v>
      </c>
      <c r="J650" s="1" t="str">
        <f t="shared" si="162"/>
        <v>0000000091</v>
      </c>
      <c r="K650" s="1" t="str">
        <f t="shared" si="163"/>
        <v>قير  PG64-22</v>
      </c>
      <c r="L650" s="1">
        <v>100</v>
      </c>
      <c r="M650" s="1" t="str">
        <f t="shared" si="164"/>
        <v>مخازن قير اصفهان</v>
      </c>
      <c r="N650" s="1">
        <v>7034</v>
      </c>
      <c r="O650" s="1">
        <v>50032149</v>
      </c>
      <c r="P650" s="1" t="str">
        <f t="shared" si="166"/>
        <v xml:space="preserve">  اداره كل راه وشهرسازي كرمان</v>
      </c>
      <c r="Q650" s="1">
        <v>17</v>
      </c>
      <c r="R650" s="1" t="str">
        <f t="shared" si="167"/>
        <v>فروش داخلي تهران - وزارت راه - راه روستايي - روکش</v>
      </c>
      <c r="S650" s="1" t="str">
        <f t="shared" si="160"/>
        <v>قرارداد فروش</v>
      </c>
      <c r="T650" s="1" t="str">
        <f t="shared" si="161"/>
        <v>ندارد</v>
      </c>
      <c r="U650" s="1" t="str">
        <f>"عابدي محمود(1018ج89)"</f>
        <v>عابدي محمود(1018ج89)</v>
      </c>
      <c r="V650" s="1">
        <v>951700239</v>
      </c>
      <c r="W650" s="1">
        <v>951700239</v>
      </c>
      <c r="X650" s="1" t="str">
        <f>"1395436851"</f>
        <v>1395436851</v>
      </c>
      <c r="Y650" s="1" t="str">
        <f>"95/07/18"</f>
        <v>95/07/18</v>
      </c>
      <c r="Z650" s="1" t="str">
        <f>"34179/510"</f>
        <v>34179/510</v>
      </c>
      <c r="AA650" s="1" t="str">
        <f t="shared" si="168"/>
        <v>راه روستائي -روكش</v>
      </c>
      <c r="AB650" s="1" t="str">
        <f>"95/07/17"</f>
        <v>95/07/17</v>
      </c>
      <c r="AC650" s="1" t="str">
        <f t="shared" si="169"/>
        <v>استان كرمان</v>
      </c>
      <c r="AD650" s="1" t="str">
        <f>"95/07/18"</f>
        <v>95/07/18</v>
      </c>
      <c r="AE650" s="1" t="str">
        <f t="shared" si="165"/>
        <v>اختتام</v>
      </c>
      <c r="AF650" s="1" t="str">
        <f>""</f>
        <v/>
      </c>
      <c r="AG650" s="1" t="str">
        <f>""</f>
        <v/>
      </c>
      <c r="AH650" s="1" t="str">
        <f>""</f>
        <v/>
      </c>
      <c r="AI650" s="1" t="str">
        <f>""</f>
        <v/>
      </c>
      <c r="AJ650" s="1" t="str">
        <f>""</f>
        <v/>
      </c>
      <c r="AK650" s="1" t="str">
        <f>""</f>
        <v/>
      </c>
    </row>
    <row r="651" spans="1:37" x14ac:dyDescent="0.2">
      <c r="A651" s="1">
        <v>104220</v>
      </c>
      <c r="B651" s="1">
        <v>951700252</v>
      </c>
      <c r="C651" s="1" t="str">
        <f>"تخليه -كرمان كيلومتر13جاده بم -كرمان سمت چپ كارخانه كرمان تسطيح"</f>
        <v>تخليه -كرمان كيلومتر13جاده بم -كرمان سمت چپ كارخانه كرمان تسطيح</v>
      </c>
      <c r="D651" s="1">
        <v>8323</v>
      </c>
      <c r="E651" s="1">
        <v>103200</v>
      </c>
      <c r="F651" s="1">
        <v>95</v>
      </c>
      <c r="G651" s="1">
        <v>1020</v>
      </c>
      <c r="H651" s="1" t="str">
        <f>"95/08/08"</f>
        <v>95/08/08</v>
      </c>
      <c r="I651" s="1" t="str">
        <f t="shared" si="157"/>
        <v>كيلوگرم</v>
      </c>
      <c r="J651" s="1" t="str">
        <f t="shared" si="162"/>
        <v>0000000091</v>
      </c>
      <c r="K651" s="1" t="str">
        <f t="shared" si="163"/>
        <v>قير  PG64-22</v>
      </c>
      <c r="L651" s="1">
        <v>100</v>
      </c>
      <c r="M651" s="1" t="str">
        <f t="shared" si="164"/>
        <v>مخازن قير اصفهان</v>
      </c>
      <c r="N651" s="1">
        <v>7034</v>
      </c>
      <c r="O651" s="1">
        <v>50032358</v>
      </c>
      <c r="P651" s="1" t="str">
        <f t="shared" si="166"/>
        <v xml:space="preserve">  اداره كل راه وشهرسازي كرمان</v>
      </c>
      <c r="Q651" s="1">
        <v>17</v>
      </c>
      <c r="R651" s="1" t="str">
        <f t="shared" si="167"/>
        <v>فروش داخلي تهران - وزارت راه - راه روستايي - روکش</v>
      </c>
      <c r="S651" s="1" t="str">
        <f t="shared" si="160"/>
        <v>قرارداد فروش</v>
      </c>
      <c r="T651" s="1" t="str">
        <f t="shared" si="161"/>
        <v>ندارد</v>
      </c>
      <c r="U651" s="1" t="str">
        <f>"خضرائي فريدون(4844003)"</f>
        <v>خضرائي فريدون(4844003)</v>
      </c>
      <c r="V651" s="1">
        <v>951700252</v>
      </c>
      <c r="W651" s="1">
        <v>951700252</v>
      </c>
      <c r="X651" s="1" t="str">
        <f>"1395435144"</f>
        <v>1395435144</v>
      </c>
      <c r="Y651" s="1" t="str">
        <f>"95/08/08"</f>
        <v>95/08/08</v>
      </c>
      <c r="Z651" s="1" t="str">
        <f>"32370/510"</f>
        <v>32370/510</v>
      </c>
      <c r="AA651" s="1" t="str">
        <f t="shared" si="168"/>
        <v>راه روستائي -روكش</v>
      </c>
      <c r="AB651" s="1" t="str">
        <f>"95/07/07"</f>
        <v>95/07/07</v>
      </c>
      <c r="AC651" s="1" t="str">
        <f t="shared" si="169"/>
        <v>استان كرمان</v>
      </c>
      <c r="AD651" s="1" t="str">
        <f>"95/07/10"</f>
        <v>95/07/10</v>
      </c>
      <c r="AE651" s="1" t="str">
        <f t="shared" si="165"/>
        <v>اختتام</v>
      </c>
      <c r="AF651" s="1" t="str">
        <f>""</f>
        <v/>
      </c>
      <c r="AG651" s="1" t="str">
        <f>""</f>
        <v/>
      </c>
      <c r="AH651" s="1" t="str">
        <f>""</f>
        <v/>
      </c>
      <c r="AI651" s="1" t="str">
        <f>""</f>
        <v/>
      </c>
      <c r="AJ651" s="1" t="str">
        <f>""</f>
        <v/>
      </c>
      <c r="AK651" s="1" t="str">
        <f>""</f>
        <v/>
      </c>
    </row>
    <row r="652" spans="1:37" x14ac:dyDescent="0.2">
      <c r="A652" s="1">
        <v>96940</v>
      </c>
      <c r="B652" s="1">
        <v>951700262</v>
      </c>
      <c r="C652" s="1" t="str">
        <f>"تخليه -كرمان كيلومتر13محورسيريزكارخانه مهدي ميرمحمدي"</f>
        <v>تخليه -كرمان كيلومتر13محورسيريزكارخانه مهدي ميرمحمدي</v>
      </c>
      <c r="D652" s="1">
        <v>8323</v>
      </c>
      <c r="E652" s="1">
        <v>96520</v>
      </c>
      <c r="F652" s="1">
        <v>95</v>
      </c>
      <c r="G652" s="1">
        <v>420</v>
      </c>
      <c r="H652" s="1" t="str">
        <f>"95/08/08"</f>
        <v>95/08/08</v>
      </c>
      <c r="I652" s="1" t="str">
        <f t="shared" si="157"/>
        <v>كيلوگرم</v>
      </c>
      <c r="J652" s="1" t="str">
        <f t="shared" si="162"/>
        <v>0000000091</v>
      </c>
      <c r="K652" s="1" t="str">
        <f t="shared" si="163"/>
        <v>قير  PG64-22</v>
      </c>
      <c r="L652" s="1">
        <v>100</v>
      </c>
      <c r="M652" s="1" t="str">
        <f t="shared" si="164"/>
        <v>مخازن قير اصفهان</v>
      </c>
      <c r="N652" s="1">
        <v>7034</v>
      </c>
      <c r="O652" s="1">
        <v>50032388</v>
      </c>
      <c r="P652" s="1" t="str">
        <f t="shared" si="166"/>
        <v xml:space="preserve">  اداره كل راه وشهرسازي كرمان</v>
      </c>
      <c r="Q652" s="1">
        <v>17</v>
      </c>
      <c r="R652" s="1" t="str">
        <f t="shared" si="167"/>
        <v>فروش داخلي تهران - وزارت راه - راه روستايي - روکش</v>
      </c>
      <c r="S652" s="1" t="str">
        <f t="shared" si="160"/>
        <v>قرارداد فروش</v>
      </c>
      <c r="T652" s="1" t="str">
        <f t="shared" si="161"/>
        <v>ندارد</v>
      </c>
      <c r="U652" s="1" t="str">
        <f>"عابدي محمود(1018ج89)"</f>
        <v>عابدي محمود(1018ج89)</v>
      </c>
      <c r="V652" s="1">
        <v>951700262</v>
      </c>
      <c r="W652" s="1">
        <v>951700262</v>
      </c>
      <c r="X652" s="1" t="str">
        <f>"1395436851"</f>
        <v>1395436851</v>
      </c>
      <c r="Y652" s="1" t="str">
        <f>"95/08/08"</f>
        <v>95/08/08</v>
      </c>
      <c r="Z652" s="1" t="str">
        <f>"34179/510"</f>
        <v>34179/510</v>
      </c>
      <c r="AA652" s="1" t="str">
        <f t="shared" si="168"/>
        <v>راه روستائي -روكش</v>
      </c>
      <c r="AB652" s="1" t="str">
        <f>"95/07/17"</f>
        <v>95/07/17</v>
      </c>
      <c r="AC652" s="1" t="str">
        <f t="shared" si="169"/>
        <v>استان كرمان</v>
      </c>
      <c r="AD652" s="1" t="str">
        <f>"95/07/18"</f>
        <v>95/07/18</v>
      </c>
      <c r="AE652" s="1" t="str">
        <f t="shared" si="165"/>
        <v>اختتام</v>
      </c>
      <c r="AF652" s="1" t="str">
        <f>""</f>
        <v/>
      </c>
      <c r="AG652" s="1" t="str">
        <f>""</f>
        <v/>
      </c>
      <c r="AH652" s="1" t="str">
        <f>""</f>
        <v/>
      </c>
      <c r="AI652" s="1" t="str">
        <f>""</f>
        <v/>
      </c>
      <c r="AJ652" s="1" t="str">
        <f>""</f>
        <v/>
      </c>
      <c r="AK652" s="1" t="str">
        <f>""</f>
        <v/>
      </c>
    </row>
    <row r="653" spans="1:37" x14ac:dyDescent="0.2">
      <c r="A653" s="1">
        <v>122000</v>
      </c>
      <c r="B653" s="1">
        <v>951700265</v>
      </c>
      <c r="C653" s="1" t="str">
        <f>"تخليه -کرمان-راور-کارخانه قلي زاده"</f>
        <v>تخليه -کرمان-راور-کارخانه قلي زاده</v>
      </c>
      <c r="D653" s="1">
        <v>8323</v>
      </c>
      <c r="E653" s="1">
        <v>69700</v>
      </c>
      <c r="F653" s="1">
        <v>95</v>
      </c>
      <c r="G653" s="1">
        <v>52300</v>
      </c>
      <c r="H653" s="1" t="str">
        <f>"95/08/08"</f>
        <v>95/08/08</v>
      </c>
      <c r="I653" s="1" t="str">
        <f t="shared" si="157"/>
        <v>كيلوگرم</v>
      </c>
      <c r="J653" s="1" t="str">
        <f t="shared" si="162"/>
        <v>0000000091</v>
      </c>
      <c r="K653" s="1" t="str">
        <f t="shared" si="163"/>
        <v>قير  PG64-22</v>
      </c>
      <c r="L653" s="1">
        <v>100</v>
      </c>
      <c r="M653" s="1" t="str">
        <f t="shared" si="164"/>
        <v>مخازن قير اصفهان</v>
      </c>
      <c r="N653" s="1">
        <v>7034</v>
      </c>
      <c r="O653" s="1">
        <v>50032391</v>
      </c>
      <c r="P653" s="1" t="str">
        <f t="shared" si="166"/>
        <v xml:space="preserve">  اداره كل راه وشهرسازي كرمان</v>
      </c>
      <c r="Q653" s="1">
        <v>17</v>
      </c>
      <c r="R653" s="1" t="str">
        <f t="shared" si="167"/>
        <v>فروش داخلي تهران - وزارت راه - راه روستايي - روکش</v>
      </c>
      <c r="S653" s="1" t="str">
        <f t="shared" si="160"/>
        <v>قرارداد فروش</v>
      </c>
      <c r="T653" s="1" t="str">
        <f t="shared" si="161"/>
        <v>ندارد</v>
      </c>
      <c r="U653" s="1" t="str">
        <f>"قانعي محمدرضا(1011ج89)"</f>
        <v>قانعي محمدرضا(1011ج89)</v>
      </c>
      <c r="V653" s="1">
        <v>951700265</v>
      </c>
      <c r="W653" s="1">
        <v>951700265</v>
      </c>
      <c r="X653" s="1" t="str">
        <f>"1395423492"</f>
        <v>1395423492</v>
      </c>
      <c r="Y653" s="1" t="str">
        <f>"95/08/08"</f>
        <v>95/08/08</v>
      </c>
      <c r="Z653" s="1" t="str">
        <f>"22306/510"</f>
        <v>22306/510</v>
      </c>
      <c r="AA653" s="1" t="str">
        <f t="shared" si="168"/>
        <v>راه روستائي -روكش</v>
      </c>
      <c r="AB653" s="1" t="str">
        <f>"95/05/18"</f>
        <v>95/05/18</v>
      </c>
      <c r="AC653" s="1" t="str">
        <f t="shared" si="169"/>
        <v>استان كرمان</v>
      </c>
      <c r="AD653" s="1" t="str">
        <f>"95/05/23"</f>
        <v>95/05/23</v>
      </c>
      <c r="AE653" s="1" t="str">
        <f t="shared" si="165"/>
        <v>اختتام</v>
      </c>
      <c r="AF653" s="1" t="str">
        <f>""</f>
        <v/>
      </c>
      <c r="AG653" s="1" t="str">
        <f>""</f>
        <v/>
      </c>
      <c r="AH653" s="1" t="str">
        <f>""</f>
        <v/>
      </c>
      <c r="AI653" s="1" t="str">
        <f>""</f>
        <v/>
      </c>
      <c r="AJ653" s="1" t="str">
        <f>""</f>
        <v/>
      </c>
      <c r="AK653" s="1" t="str">
        <f>""</f>
        <v/>
      </c>
    </row>
    <row r="654" spans="1:37" x14ac:dyDescent="0.2">
      <c r="A654" s="1">
        <v>330000</v>
      </c>
      <c r="B654" s="1">
        <v>951700354</v>
      </c>
      <c r="C654" s="1" t="str">
        <f>"تخليه كرمان بعدازكارخانه بارزشركت راه باندكويركرمان"</f>
        <v>تخليه كرمان بعدازكارخانه بارزشركت راه باندكويركرمان</v>
      </c>
      <c r="D654" s="1">
        <v>9354</v>
      </c>
      <c r="E654" s="1">
        <v>328720</v>
      </c>
      <c r="F654" s="1">
        <v>95</v>
      </c>
      <c r="G654" s="1">
        <v>1280</v>
      </c>
      <c r="H654" s="1" t="str">
        <f>"95/12/22"</f>
        <v>95/12/22</v>
      </c>
      <c r="I654" s="1" t="str">
        <f t="shared" si="157"/>
        <v>كيلوگرم</v>
      </c>
      <c r="J654" s="1" t="str">
        <f t="shared" si="162"/>
        <v>0000000091</v>
      </c>
      <c r="K654" s="1" t="str">
        <f t="shared" si="163"/>
        <v>قير  PG64-22</v>
      </c>
      <c r="L654" s="1">
        <v>100</v>
      </c>
      <c r="M654" s="1" t="str">
        <f t="shared" si="164"/>
        <v>مخازن قير اصفهان</v>
      </c>
      <c r="N654" s="1">
        <v>7034</v>
      </c>
      <c r="O654" s="1">
        <v>50034117</v>
      </c>
      <c r="P654" s="1" t="str">
        <f t="shared" si="166"/>
        <v xml:space="preserve">  اداره كل راه وشهرسازي كرمان</v>
      </c>
      <c r="Q654" s="1">
        <v>17</v>
      </c>
      <c r="R654" s="1" t="str">
        <f t="shared" si="167"/>
        <v>فروش داخلي تهران - وزارت راه - راه روستايي - روکش</v>
      </c>
      <c r="S654" s="1" t="str">
        <f t="shared" si="160"/>
        <v>قرارداد فروش</v>
      </c>
      <c r="T654" s="1" t="str">
        <f t="shared" si="161"/>
        <v>ندارد</v>
      </c>
      <c r="U654" s="1" t="str">
        <f>"قانعي محمدرضا(1011ج89)"</f>
        <v>قانعي محمدرضا(1011ج89)</v>
      </c>
      <c r="V654" s="1">
        <v>951700354</v>
      </c>
      <c r="W654" s="1">
        <v>951700354</v>
      </c>
      <c r="X654" s="1" t="str">
        <f>"1395470431"</f>
        <v>1395470431</v>
      </c>
      <c r="Y654" s="1" t="str">
        <f>"95/12/22"</f>
        <v>95/12/22</v>
      </c>
      <c r="Z654" s="1" t="str">
        <f>"65426/710"</f>
        <v>65426/710</v>
      </c>
      <c r="AA654" s="1" t="str">
        <f t="shared" si="168"/>
        <v>راه روستائي -روكش</v>
      </c>
      <c r="AB654" s="1" t="str">
        <f>"95/12/21"</f>
        <v>95/12/21</v>
      </c>
      <c r="AC654" s="1" t="str">
        <f t="shared" si="169"/>
        <v>استان كرمان</v>
      </c>
      <c r="AD654" s="1" t="str">
        <f>"95/12/22"</f>
        <v>95/12/22</v>
      </c>
      <c r="AE654" s="1" t="str">
        <f t="shared" si="165"/>
        <v>اختتام</v>
      </c>
      <c r="AF654" s="1" t="str">
        <f>""</f>
        <v/>
      </c>
      <c r="AG654" s="1" t="str">
        <f>""</f>
        <v/>
      </c>
      <c r="AH654" s="1" t="str">
        <f>""</f>
        <v/>
      </c>
      <c r="AI654" s="1" t="str">
        <f>""</f>
        <v/>
      </c>
      <c r="AJ654" s="1" t="str">
        <f>""</f>
        <v/>
      </c>
      <c r="AK654" s="1" t="str">
        <f>""</f>
        <v/>
      </c>
    </row>
    <row r="655" spans="1:37" x14ac:dyDescent="0.2">
      <c r="A655" s="1">
        <v>200000</v>
      </c>
      <c r="B655" s="1">
        <v>951100079</v>
      </c>
      <c r="C655" s="1" t="str">
        <f>"تخليه -كيلومتر5قبل ازكرندكارخانه آسفالت دالاهووكيلومتر7جاده هرسين روستاي پل چهر-كارخانه آسفالت مرزراه"</f>
        <v>تخليه -كيلومتر5قبل ازكرندكارخانه آسفالت دالاهووكيلومتر7جاده هرسين روستاي پل چهر-كارخانه آسفالت مرزراه</v>
      </c>
      <c r="D655" s="1">
        <v>6250</v>
      </c>
      <c r="E655" s="1">
        <v>200000</v>
      </c>
      <c r="F655" s="1">
        <v>95</v>
      </c>
      <c r="G655" s="1">
        <v>0</v>
      </c>
      <c r="H655" s="1" t="str">
        <f>"95/04/09"</f>
        <v>95/04/09</v>
      </c>
      <c r="I655" s="1" t="str">
        <f t="shared" si="157"/>
        <v>كيلوگرم</v>
      </c>
      <c r="J655" s="1" t="str">
        <f t="shared" si="162"/>
        <v>0000000091</v>
      </c>
      <c r="K655" s="1" t="str">
        <f t="shared" si="163"/>
        <v>قير  PG64-22</v>
      </c>
      <c r="L655" s="1">
        <v>100</v>
      </c>
      <c r="M655" s="1" t="str">
        <f t="shared" si="164"/>
        <v>مخازن قير اصفهان</v>
      </c>
      <c r="N655" s="1">
        <v>8120</v>
      </c>
      <c r="O655" s="1">
        <v>50031171</v>
      </c>
      <c r="P655" s="1" t="str">
        <f>"  مرزراه"</f>
        <v xml:space="preserve">  مرزراه</v>
      </c>
      <c r="Q655" s="1">
        <v>11</v>
      </c>
      <c r="R655" s="1" t="str">
        <f>"فروش داخلي تهران - بورس"</f>
        <v>فروش داخلي تهران - بورس</v>
      </c>
      <c r="S655" s="1" t="str">
        <f t="shared" si="160"/>
        <v>قرارداد فروش</v>
      </c>
      <c r="T655" s="1" t="str">
        <f t="shared" si="161"/>
        <v>ندارد</v>
      </c>
      <c r="U655" s="1" t="str">
        <f>"شمسيان پور حبيب اله(2842034)"</f>
        <v>شمسيان پور حبيب اله(2842034)</v>
      </c>
      <c r="V655" s="1">
        <v>951100079</v>
      </c>
      <c r="W655" s="1">
        <v>951100079</v>
      </c>
      <c r="X655" s="1" t="str">
        <f>"1395412238"</f>
        <v>1395412238</v>
      </c>
      <c r="Y655" s="1" t="str">
        <f>"95/04/09"</f>
        <v>95/04/09</v>
      </c>
      <c r="Z655" s="1" t="str">
        <f>"95-34554"</f>
        <v>95-34554</v>
      </c>
      <c r="AA655" s="1" t="str">
        <f>"آسفالت سازان"</f>
        <v>آسفالت سازان</v>
      </c>
      <c r="AB655" s="1" t="str">
        <f>"95/04/09"</f>
        <v>95/04/09</v>
      </c>
      <c r="AC655" s="1" t="str">
        <f>"استان كرمانشاه"</f>
        <v>استان كرمانشاه</v>
      </c>
      <c r="AD655" s="1" t="str">
        <f>"95/04/09"</f>
        <v>95/04/09</v>
      </c>
      <c r="AE655" s="1" t="str">
        <f t="shared" si="165"/>
        <v>اختتام</v>
      </c>
      <c r="AF655" s="1" t="str">
        <f>""</f>
        <v/>
      </c>
      <c r="AG655" s="1" t="str">
        <f>""</f>
        <v/>
      </c>
      <c r="AH655" s="1" t="str">
        <f>""</f>
        <v/>
      </c>
      <c r="AI655" s="1" t="str">
        <f>""</f>
        <v/>
      </c>
      <c r="AJ655" s="1" t="str">
        <f>""</f>
        <v/>
      </c>
      <c r="AK655" s="1" t="str">
        <f>""</f>
        <v/>
      </c>
    </row>
    <row r="656" spans="1:37" x14ac:dyDescent="0.2">
      <c r="A656" s="1">
        <v>1000000</v>
      </c>
      <c r="B656" s="1">
        <v>951100179</v>
      </c>
      <c r="C656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656" s="1">
        <v>9511</v>
      </c>
      <c r="E656" s="1">
        <v>1000000</v>
      </c>
      <c r="F656" s="1">
        <v>95</v>
      </c>
      <c r="G656" s="1">
        <v>0</v>
      </c>
      <c r="H656" s="1" t="str">
        <f>"95/11/11"</f>
        <v>95/11/11</v>
      </c>
      <c r="I656" s="1" t="str">
        <f t="shared" si="157"/>
        <v>كيلوگرم</v>
      </c>
      <c r="J656" s="1" t="str">
        <f t="shared" si="162"/>
        <v>0000000091</v>
      </c>
      <c r="K656" s="1" t="str">
        <f t="shared" si="163"/>
        <v>قير  PG64-22</v>
      </c>
      <c r="L656" s="1">
        <v>100</v>
      </c>
      <c r="M656" s="1" t="str">
        <f t="shared" si="164"/>
        <v>مخازن قير اصفهان</v>
      </c>
      <c r="N656" s="1">
        <v>8163</v>
      </c>
      <c r="O656" s="1">
        <v>50033572</v>
      </c>
      <c r="P656" s="1" t="str">
        <f>"  سازمان عمران شهرداري مشهد"</f>
        <v xml:space="preserve">  سازمان عمران شهرداري مشهد</v>
      </c>
      <c r="Q656" s="1">
        <v>11</v>
      </c>
      <c r="R656" s="1" t="str">
        <f>"فروش داخلي تهران - بورس"</f>
        <v>فروش داخلي تهران - بورس</v>
      </c>
      <c r="S656" s="1" t="str">
        <f t="shared" si="160"/>
        <v>قرارداد فروش</v>
      </c>
      <c r="T656" s="1" t="str">
        <f t="shared" si="161"/>
        <v>ندارد</v>
      </c>
      <c r="U656" s="1" t="str">
        <f>"جعفرزاده مهدي(1841079)"</f>
        <v>جعفرزاده مهدي(1841079)</v>
      </c>
      <c r="V656" s="1">
        <v>951100179</v>
      </c>
      <c r="W656" s="1">
        <v>951100179</v>
      </c>
      <c r="X656" s="1" t="str">
        <f>"1395461528"</f>
        <v>1395461528</v>
      </c>
      <c r="Y656" s="1" t="str">
        <f>"95/11/10"</f>
        <v>95/11/10</v>
      </c>
      <c r="Z656" s="1" t="str">
        <f>"49/95/27970"</f>
        <v>49/95/27970</v>
      </c>
      <c r="AA656" s="1" t="str">
        <f>"شهرداريها"</f>
        <v>شهرداريها</v>
      </c>
      <c r="AB656" s="1" t="str">
        <f>"95/11/07"</f>
        <v>95/11/07</v>
      </c>
      <c r="AC656" s="1" t="str">
        <f>"خراسان رضوي"</f>
        <v>خراسان رضوي</v>
      </c>
      <c r="AD656" s="1" t="str">
        <f>"95/11/10"</f>
        <v>95/11/10</v>
      </c>
      <c r="AE656" s="1" t="str">
        <f>"تاييدشده"</f>
        <v>تاييدشده</v>
      </c>
      <c r="AF656" s="1" t="str">
        <f>""</f>
        <v/>
      </c>
      <c r="AG656" s="1" t="str">
        <f>""</f>
        <v/>
      </c>
      <c r="AH656" s="1" t="str">
        <f>""</f>
        <v/>
      </c>
      <c r="AI656" s="1" t="str">
        <f>""</f>
        <v/>
      </c>
      <c r="AJ656" s="1" t="str">
        <f>""</f>
        <v/>
      </c>
      <c r="AK656" s="1" t="str">
        <f>""</f>
        <v/>
      </c>
    </row>
    <row r="657" spans="1:37" x14ac:dyDescent="0.2">
      <c r="A657" s="1">
        <v>618160</v>
      </c>
      <c r="B657" s="1">
        <v>951800132</v>
      </c>
      <c r="C657" s="1" t="str">
        <f>"تخليه-فردوس خروجي به طرف سرايان کارخانه توس راديه"</f>
        <v>تخليه-فردوس خروجي به طرف سرايان کارخانه توس راديه</v>
      </c>
      <c r="D657" s="1">
        <v>9511</v>
      </c>
      <c r="E657" s="1">
        <v>616560</v>
      </c>
      <c r="F657" s="1">
        <v>95</v>
      </c>
      <c r="G657" s="1">
        <v>1600</v>
      </c>
      <c r="H657" s="1" t="str">
        <f>"95/11/03"</f>
        <v>95/11/03</v>
      </c>
      <c r="I657" s="1" t="str">
        <f t="shared" si="157"/>
        <v>كيلوگرم</v>
      </c>
      <c r="J657" s="1" t="str">
        <f t="shared" si="162"/>
        <v>0000000091</v>
      </c>
      <c r="K657" s="1" t="str">
        <f t="shared" si="163"/>
        <v>قير  PG64-22</v>
      </c>
      <c r="L657" s="1">
        <v>100</v>
      </c>
      <c r="M657" s="1" t="str">
        <f t="shared" si="164"/>
        <v>مخازن قير اصفهان</v>
      </c>
      <c r="N657" s="1">
        <v>8264</v>
      </c>
      <c r="O657" s="1">
        <v>50033446</v>
      </c>
      <c r="P657" s="1" t="str">
        <f>"  تارنگ سازه توس"</f>
        <v xml:space="preserve">  تارنگ سازه توس</v>
      </c>
      <c r="Q657" s="1">
        <v>18</v>
      </c>
      <c r="R657" s="1" t="str">
        <f>"فروش داخلي تهران - وزارت راه - شرکت ساخت و توسعه راهها"</f>
        <v>فروش داخلي تهران - وزارت راه - شرکت ساخت و توسعه راهها</v>
      </c>
      <c r="S657" s="1" t="str">
        <f t="shared" si="160"/>
        <v>قرارداد فروش</v>
      </c>
      <c r="T657" s="1" t="str">
        <f t="shared" si="161"/>
        <v>ندارد</v>
      </c>
      <c r="U657" s="1" t="str">
        <f>"بابامحمدي عنايت اله(4844000)"</f>
        <v>بابامحمدي عنايت اله(4844000)</v>
      </c>
      <c r="V657" s="1">
        <v>951800132</v>
      </c>
      <c r="W657" s="1">
        <v>951800132</v>
      </c>
      <c r="X657" s="1" t="str">
        <f>"1395456601"</f>
        <v>1395456601</v>
      </c>
      <c r="Y657" s="1" t="str">
        <f>"95/11/03"</f>
        <v>95/11/03</v>
      </c>
      <c r="Z657" s="1" t="str">
        <f>"50323/710"</f>
        <v>50323/710</v>
      </c>
      <c r="AA657" s="1" t="str">
        <f>"شركت  ساخت وتوسعه راهها"</f>
        <v>شركت  ساخت وتوسعه راهها</v>
      </c>
      <c r="AB657" s="1" t="str">
        <f>"95/10/13"</f>
        <v>95/10/13</v>
      </c>
      <c r="AC657" s="1" t="str">
        <f>"خراسان جنوبي"</f>
        <v>خراسان جنوبي</v>
      </c>
      <c r="AD657" s="1" t="str">
        <f>"95/10/14"</f>
        <v>95/10/14</v>
      </c>
      <c r="AE657" s="1" t="str">
        <f t="shared" ref="AE657:AE688" si="170">"اختتام"</f>
        <v>اختتام</v>
      </c>
      <c r="AF657" s="1" t="str">
        <f>""</f>
        <v/>
      </c>
      <c r="AG657" s="1" t="str">
        <f>""</f>
        <v/>
      </c>
      <c r="AH657" s="1" t="str">
        <f>""</f>
        <v/>
      </c>
      <c r="AI657" s="1" t="str">
        <f>""</f>
        <v/>
      </c>
      <c r="AJ657" s="1" t="str">
        <f>""</f>
        <v/>
      </c>
      <c r="AK657" s="1" t="str">
        <f>""</f>
        <v/>
      </c>
    </row>
    <row r="658" spans="1:37" x14ac:dyDescent="0.2">
      <c r="A658" s="1">
        <v>175000</v>
      </c>
      <c r="B658" s="1">
        <v>951400134</v>
      </c>
      <c r="C658" s="1" t="str">
        <f>"تخليه -خراسان جنوبي -بيرجند-كارخانه آسفالت شماره 2"</f>
        <v>تخليه -خراسان جنوبي -بيرجند-كارخانه آسفالت شماره 2</v>
      </c>
      <c r="D658" s="1">
        <v>8998</v>
      </c>
      <c r="E658" s="1">
        <v>173740</v>
      </c>
      <c r="F658" s="1">
        <v>95</v>
      </c>
      <c r="G658" s="1">
        <v>1260</v>
      </c>
      <c r="H658" s="1" t="str">
        <f>"95/11/03"</f>
        <v>95/11/03</v>
      </c>
      <c r="I658" s="1" t="str">
        <f t="shared" si="157"/>
        <v>كيلوگرم</v>
      </c>
      <c r="J658" s="1" t="str">
        <f t="shared" si="162"/>
        <v>0000000091</v>
      </c>
      <c r="K658" s="1" t="str">
        <f t="shared" si="163"/>
        <v>قير  PG64-22</v>
      </c>
      <c r="L658" s="1">
        <v>100</v>
      </c>
      <c r="M658" s="1" t="str">
        <f t="shared" si="164"/>
        <v>مخازن قير اصفهان</v>
      </c>
      <c r="N658" s="1">
        <v>4012</v>
      </c>
      <c r="O658" s="1">
        <v>50033478</v>
      </c>
      <c r="P658" s="1" t="str">
        <f>"  اداره كل راه و شهرسازي خراسان جنوبي"</f>
        <v xml:space="preserve">  اداره كل راه و شهرسازي خراسان جنوبي</v>
      </c>
      <c r="Q658" s="1">
        <v>14</v>
      </c>
      <c r="R658" s="1" t="str">
        <f>"فروش داخلي - وزارت راه - حوزه راه روستايي ساخت"</f>
        <v>فروش داخلي - وزارت راه - حوزه راه روستايي ساخت</v>
      </c>
      <c r="S658" s="1" t="str">
        <f t="shared" si="160"/>
        <v>قرارداد فروش</v>
      </c>
      <c r="T658" s="1" t="str">
        <f t="shared" si="161"/>
        <v>ندارد</v>
      </c>
      <c r="U658" s="1" t="str">
        <f>"بابامحمدي عنايت اله(4844000)"</f>
        <v>بابامحمدي عنايت اله(4844000)</v>
      </c>
      <c r="V658" s="1">
        <v>951400134</v>
      </c>
      <c r="W658" s="1">
        <v>951400134</v>
      </c>
      <c r="X658" s="1" t="str">
        <f>"1395456363"</f>
        <v>1395456363</v>
      </c>
      <c r="Y658" s="1" t="str">
        <f>"95/11/03"</f>
        <v>95/11/03</v>
      </c>
      <c r="Z658" s="1" t="str">
        <f>"49480/710"</f>
        <v>49480/710</v>
      </c>
      <c r="AA658" s="1" t="str">
        <f>"راه وروستايي -ساخت"</f>
        <v>راه وروستايي -ساخت</v>
      </c>
      <c r="AB658" s="1" t="str">
        <f>"95/10/08"</f>
        <v>95/10/08</v>
      </c>
      <c r="AC658" s="1" t="str">
        <f>"خراسان جنوبي"</f>
        <v>خراسان جنوبي</v>
      </c>
      <c r="AD658" s="1" t="str">
        <f>"95/10/13"</f>
        <v>95/10/13</v>
      </c>
      <c r="AE658" s="1" t="str">
        <f t="shared" si="170"/>
        <v>اختتام</v>
      </c>
      <c r="AF658" s="1" t="str">
        <f>""</f>
        <v/>
      </c>
      <c r="AG658" s="1" t="str">
        <f>""</f>
        <v/>
      </c>
      <c r="AH658" s="1" t="str">
        <f>""</f>
        <v/>
      </c>
      <c r="AI658" s="1" t="str">
        <f>""</f>
        <v/>
      </c>
      <c r="AJ658" s="1" t="str">
        <f>""</f>
        <v/>
      </c>
      <c r="AK658" s="1" t="str">
        <f>""</f>
        <v/>
      </c>
    </row>
    <row r="659" spans="1:37" x14ac:dyDescent="0.2">
      <c r="A659" s="1">
        <v>91200</v>
      </c>
      <c r="B659" s="1">
        <v>951700083</v>
      </c>
      <c r="C659" s="1" t="str">
        <f>"تخليه-شهرستان شهرکرد-کارخانه آسفالت شهرداري شهرکرد"</f>
        <v>تخليه-شهرستان شهرکرد-کارخانه آسفالت شهرداري شهرکرد</v>
      </c>
      <c r="D659" s="1">
        <v>6250</v>
      </c>
      <c r="E659" s="1">
        <v>90780</v>
      </c>
      <c r="F659" s="1">
        <v>95</v>
      </c>
      <c r="G659" s="1">
        <v>420</v>
      </c>
      <c r="H659" s="1" t="str">
        <f>"95/04/19"</f>
        <v>95/04/19</v>
      </c>
      <c r="I659" s="1" t="str">
        <f t="shared" si="157"/>
        <v>كيلوگرم</v>
      </c>
      <c r="J659" s="1" t="str">
        <f t="shared" ref="J659:J664" si="171">"0000000088"</f>
        <v>0000000088</v>
      </c>
      <c r="K659" s="1" t="str">
        <f t="shared" ref="K659:K664" si="172">"قير  PG58-22"</f>
        <v>قير  PG58-22</v>
      </c>
      <c r="L659" s="1">
        <v>100</v>
      </c>
      <c r="M659" s="1" t="str">
        <f t="shared" si="164"/>
        <v>مخازن قير اصفهان</v>
      </c>
      <c r="N659" s="1">
        <v>7190</v>
      </c>
      <c r="O659" s="1">
        <v>50031219</v>
      </c>
      <c r="P659" s="1" t="str">
        <f t="shared" ref="P659:P664" si="173">"  اداره كل راه و شهرسازي چهارمحال وبختياري"</f>
        <v xml:space="preserve">  اداره كل راه و شهرسازي چهارمحال وبختياري</v>
      </c>
      <c r="Q659" s="1">
        <v>17</v>
      </c>
      <c r="R659" s="1" t="str">
        <f t="shared" ref="R659:R664" si="174">"فروش داخلي تهران - وزارت راه - راه روستايي - روکش"</f>
        <v>فروش داخلي تهران - وزارت راه - راه روستايي - روکش</v>
      </c>
      <c r="S659" s="1" t="str">
        <f t="shared" si="160"/>
        <v>قرارداد فروش</v>
      </c>
      <c r="T659" s="1" t="str">
        <f t="shared" si="161"/>
        <v>ندارد</v>
      </c>
      <c r="U659" s="1" t="str">
        <f>"مظلوم فريبرز(1008ج89)"</f>
        <v>مظلوم فريبرز(1008ج89)</v>
      </c>
      <c r="V659" s="1">
        <v>951700083</v>
      </c>
      <c r="W659" s="1">
        <v>951700083</v>
      </c>
      <c r="X659" s="1" t="str">
        <f>"1394390060"</f>
        <v>1394390060</v>
      </c>
      <c r="Y659" s="1" t="str">
        <f>"95/04/19"</f>
        <v>95/04/19</v>
      </c>
      <c r="Z659" s="1" t="str">
        <f>"60582/510"</f>
        <v>60582/510</v>
      </c>
      <c r="AA659" s="1" t="str">
        <f t="shared" ref="AA659:AA664" si="175">"راه روستائي -روكش"</f>
        <v>راه روستائي -روكش</v>
      </c>
      <c r="AB659" s="1" t="str">
        <f>"94/11/04"</f>
        <v>94/11/04</v>
      </c>
      <c r="AC659" s="1" t="str">
        <f t="shared" ref="AC659:AC664" si="176">"استان چهارمحال بختياري"</f>
        <v>استان چهارمحال بختياري</v>
      </c>
      <c r="AD659" s="1" t="str">
        <f>"94/11/07"</f>
        <v>94/11/07</v>
      </c>
      <c r="AE659" s="1" t="str">
        <f t="shared" si="170"/>
        <v>اختتام</v>
      </c>
      <c r="AF659" s="1" t="str">
        <f>""</f>
        <v/>
      </c>
      <c r="AG659" s="1" t="str">
        <f>""</f>
        <v/>
      </c>
      <c r="AH659" s="1" t="str">
        <f>""</f>
        <v/>
      </c>
      <c r="AI659" s="1" t="str">
        <f>""</f>
        <v/>
      </c>
      <c r="AJ659" s="1" t="str">
        <f>""</f>
        <v/>
      </c>
      <c r="AK659" s="1" t="str">
        <f>""</f>
        <v/>
      </c>
    </row>
    <row r="660" spans="1:37" x14ac:dyDescent="0.2">
      <c r="A660" s="1">
        <v>100000</v>
      </c>
      <c r="B660" s="1">
        <v>951700327</v>
      </c>
      <c r="C660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660" s="1">
        <v>8998</v>
      </c>
      <c r="E660" s="1">
        <v>100000</v>
      </c>
      <c r="F660" s="1">
        <v>95</v>
      </c>
      <c r="G660" s="1">
        <v>0</v>
      </c>
      <c r="H660" s="1" t="str">
        <f>"95/11/05"</f>
        <v>95/11/05</v>
      </c>
      <c r="I660" s="1" t="str">
        <f t="shared" si="157"/>
        <v>كيلوگرم</v>
      </c>
      <c r="J660" s="1" t="str">
        <f t="shared" si="171"/>
        <v>0000000088</v>
      </c>
      <c r="K660" s="1" t="str">
        <f t="shared" si="172"/>
        <v>قير  PG58-22</v>
      </c>
      <c r="L660" s="1">
        <v>100</v>
      </c>
      <c r="M660" s="1" t="str">
        <f t="shared" si="164"/>
        <v>مخازن قير اصفهان</v>
      </c>
      <c r="N660" s="1">
        <v>7190</v>
      </c>
      <c r="O660" s="1">
        <v>50033526</v>
      </c>
      <c r="P660" s="1" t="str">
        <f t="shared" si="173"/>
        <v xml:space="preserve">  اداره كل راه و شهرسازي چهارمحال وبختياري</v>
      </c>
      <c r="Q660" s="1">
        <v>17</v>
      </c>
      <c r="R660" s="1" t="str">
        <f t="shared" si="174"/>
        <v>فروش داخلي تهران - وزارت راه - راه روستايي - روکش</v>
      </c>
      <c r="S660" s="1" t="str">
        <f t="shared" si="160"/>
        <v>قرارداد فروش</v>
      </c>
      <c r="T660" s="1" t="str">
        <f t="shared" si="161"/>
        <v>ندارد</v>
      </c>
      <c r="U660" s="1" t="str">
        <f>"قره باغي مجيد(1871065)"</f>
        <v>قره باغي مجيد(1871065)</v>
      </c>
      <c r="V660" s="1">
        <v>951700327</v>
      </c>
      <c r="W660" s="1">
        <v>951700327</v>
      </c>
      <c r="X660" s="1" t="str">
        <f>"1395460247"</f>
        <v>1395460247</v>
      </c>
      <c r="Y660" s="1" t="str">
        <f>"95/11/04"</f>
        <v>95/11/04</v>
      </c>
      <c r="Z660" s="1" t="str">
        <f>"52235/710"</f>
        <v>52235/710</v>
      </c>
      <c r="AA660" s="1" t="str">
        <f t="shared" si="175"/>
        <v>راه روستائي -روكش</v>
      </c>
      <c r="AB660" s="1" t="str">
        <f>"95/10/22"</f>
        <v>95/10/22</v>
      </c>
      <c r="AC660" s="1" t="str">
        <f t="shared" si="176"/>
        <v>استان چهارمحال بختياري</v>
      </c>
      <c r="AD660" s="1" t="str">
        <f>"95/11/04"</f>
        <v>95/11/04</v>
      </c>
      <c r="AE660" s="1" t="str">
        <f t="shared" si="170"/>
        <v>اختتام</v>
      </c>
      <c r="AF660" s="1" t="str">
        <f>""</f>
        <v/>
      </c>
      <c r="AG660" s="1" t="str">
        <f>""</f>
        <v/>
      </c>
      <c r="AH660" s="1" t="str">
        <f>""</f>
        <v/>
      </c>
      <c r="AI660" s="1" t="str">
        <f>""</f>
        <v/>
      </c>
      <c r="AJ660" s="1" t="str">
        <f>""</f>
        <v/>
      </c>
      <c r="AK660" s="1" t="str">
        <f>""</f>
        <v/>
      </c>
    </row>
    <row r="661" spans="1:37" x14ac:dyDescent="0.2">
      <c r="A661" s="1">
        <v>100000</v>
      </c>
      <c r="B661" s="1">
        <v>951700328</v>
      </c>
      <c r="C661" s="1" t="str">
        <f>"تخليه -چهارمحال وبختياري -بروجن كارخانه آسفالت شهرداري بروجن"</f>
        <v>تخليه -چهارمحال وبختياري -بروجن كارخانه آسفالت شهرداري بروجن</v>
      </c>
      <c r="D661" s="1">
        <v>8998</v>
      </c>
      <c r="E661" s="1">
        <v>95980</v>
      </c>
      <c r="F661" s="1">
        <v>95</v>
      </c>
      <c r="G661" s="1">
        <v>4020</v>
      </c>
      <c r="H661" s="1" t="str">
        <f>"95/11/05"</f>
        <v>95/11/05</v>
      </c>
      <c r="I661" s="1" t="str">
        <f t="shared" si="157"/>
        <v>كيلوگرم</v>
      </c>
      <c r="J661" s="1" t="str">
        <f t="shared" si="171"/>
        <v>0000000088</v>
      </c>
      <c r="K661" s="1" t="str">
        <f t="shared" si="172"/>
        <v>قير  PG58-22</v>
      </c>
      <c r="L661" s="1">
        <v>100</v>
      </c>
      <c r="M661" s="1" t="str">
        <f t="shared" si="164"/>
        <v>مخازن قير اصفهان</v>
      </c>
      <c r="N661" s="1">
        <v>7190</v>
      </c>
      <c r="O661" s="1">
        <v>50033527</v>
      </c>
      <c r="P661" s="1" t="str">
        <f t="shared" si="173"/>
        <v xml:space="preserve">  اداره كل راه و شهرسازي چهارمحال وبختياري</v>
      </c>
      <c r="Q661" s="1">
        <v>17</v>
      </c>
      <c r="R661" s="1" t="str">
        <f t="shared" si="174"/>
        <v>فروش داخلي تهران - وزارت راه - راه روستايي - روکش</v>
      </c>
      <c r="S661" s="1" t="str">
        <f t="shared" si="160"/>
        <v>قرارداد فروش</v>
      </c>
      <c r="T661" s="1" t="str">
        <f t="shared" si="161"/>
        <v>ندارد</v>
      </c>
      <c r="U661" s="1" t="str">
        <f>"قره باغي مجيد(1871065)"</f>
        <v>قره باغي مجيد(1871065)</v>
      </c>
      <c r="V661" s="1">
        <v>951700328</v>
      </c>
      <c r="W661" s="1">
        <v>951700328</v>
      </c>
      <c r="X661" s="1" t="str">
        <f>"1395460247"</f>
        <v>1395460247</v>
      </c>
      <c r="Y661" s="1" t="str">
        <f>"95/11/04"</f>
        <v>95/11/04</v>
      </c>
      <c r="Z661" s="1" t="str">
        <f>"52190/710"</f>
        <v>52190/710</v>
      </c>
      <c r="AA661" s="1" t="str">
        <f t="shared" si="175"/>
        <v>راه روستائي -روكش</v>
      </c>
      <c r="AB661" s="1" t="str">
        <f>"95/10/22"</f>
        <v>95/10/22</v>
      </c>
      <c r="AC661" s="1" t="str">
        <f t="shared" si="176"/>
        <v>استان چهارمحال بختياري</v>
      </c>
      <c r="AD661" s="1" t="str">
        <f>"95/11/04"</f>
        <v>95/11/04</v>
      </c>
      <c r="AE661" s="1" t="str">
        <f t="shared" si="170"/>
        <v>اختتام</v>
      </c>
      <c r="AF661" s="1" t="str">
        <f>""</f>
        <v/>
      </c>
      <c r="AG661" s="1" t="str">
        <f>""</f>
        <v/>
      </c>
      <c r="AH661" s="1" t="str">
        <f>""</f>
        <v/>
      </c>
      <c r="AI661" s="1" t="str">
        <f>""</f>
        <v/>
      </c>
      <c r="AJ661" s="1" t="str">
        <f>""</f>
        <v/>
      </c>
      <c r="AK661" s="1" t="str">
        <f>""</f>
        <v/>
      </c>
    </row>
    <row r="662" spans="1:37" x14ac:dyDescent="0.2">
      <c r="A662" s="1">
        <v>200000</v>
      </c>
      <c r="B662" s="1">
        <v>951700331</v>
      </c>
      <c r="C662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662" s="1">
        <v>9511</v>
      </c>
      <c r="E662" s="1">
        <v>200000</v>
      </c>
      <c r="F662" s="1">
        <v>95</v>
      </c>
      <c r="G662" s="1">
        <v>0</v>
      </c>
      <c r="H662" s="1" t="str">
        <f>"95/11/05"</f>
        <v>95/11/05</v>
      </c>
      <c r="I662" s="1" t="str">
        <f t="shared" si="157"/>
        <v>كيلوگرم</v>
      </c>
      <c r="J662" s="1" t="str">
        <f t="shared" si="171"/>
        <v>0000000088</v>
      </c>
      <c r="K662" s="1" t="str">
        <f t="shared" si="172"/>
        <v>قير  PG58-22</v>
      </c>
      <c r="L662" s="1">
        <v>100</v>
      </c>
      <c r="M662" s="1" t="str">
        <f t="shared" si="164"/>
        <v>مخازن قير اصفهان</v>
      </c>
      <c r="N662" s="1">
        <v>7190</v>
      </c>
      <c r="O662" s="1">
        <v>50033530</v>
      </c>
      <c r="P662" s="1" t="str">
        <f t="shared" si="173"/>
        <v xml:space="preserve">  اداره كل راه و شهرسازي چهارمحال وبختياري</v>
      </c>
      <c r="Q662" s="1">
        <v>17</v>
      </c>
      <c r="R662" s="1" t="str">
        <f t="shared" si="174"/>
        <v>فروش داخلي تهران - وزارت راه - راه روستايي - روکش</v>
      </c>
      <c r="S662" s="1" t="str">
        <f t="shared" si="160"/>
        <v>قرارداد فروش</v>
      </c>
      <c r="T662" s="1" t="str">
        <f t="shared" si="161"/>
        <v>ندارد</v>
      </c>
      <c r="U662" s="1" t="str">
        <f>"مظلوم فريبرز(1008ج89)"</f>
        <v>مظلوم فريبرز(1008ج89)</v>
      </c>
      <c r="V662" s="1">
        <v>951700331</v>
      </c>
      <c r="W662" s="1">
        <v>951700331</v>
      </c>
      <c r="X662" s="1" t="str">
        <f>"1395460247"</f>
        <v>1395460247</v>
      </c>
      <c r="Y662" s="1" t="str">
        <f>"95/11/04"</f>
        <v>95/11/04</v>
      </c>
      <c r="Z662" s="1" t="str">
        <f>"52232/710"</f>
        <v>52232/710</v>
      </c>
      <c r="AA662" s="1" t="str">
        <f t="shared" si="175"/>
        <v>راه روستائي -روكش</v>
      </c>
      <c r="AB662" s="1" t="str">
        <f>"95/11/04"</f>
        <v>95/11/04</v>
      </c>
      <c r="AC662" s="1" t="str">
        <f t="shared" si="176"/>
        <v>استان چهارمحال بختياري</v>
      </c>
      <c r="AD662" s="1" t="str">
        <f>"95/11/04"</f>
        <v>95/11/04</v>
      </c>
      <c r="AE662" s="1" t="str">
        <f t="shared" si="170"/>
        <v>اختتام</v>
      </c>
      <c r="AF662" s="1" t="str">
        <f>""</f>
        <v/>
      </c>
      <c r="AG662" s="1" t="str">
        <f>""</f>
        <v/>
      </c>
      <c r="AH662" s="1" t="str">
        <f>""</f>
        <v/>
      </c>
      <c r="AI662" s="1" t="str">
        <f>""</f>
        <v/>
      </c>
      <c r="AJ662" s="1" t="str">
        <f>""</f>
        <v/>
      </c>
      <c r="AK662" s="1" t="str">
        <f>""</f>
        <v/>
      </c>
    </row>
    <row r="663" spans="1:37" x14ac:dyDescent="0.2">
      <c r="A663" s="1">
        <v>50000</v>
      </c>
      <c r="B663" s="1">
        <v>951700338</v>
      </c>
      <c r="C663" s="1" t="str">
        <f>"تخليه چهارمحال وبختياري شهرستان بن شركت نسيم سامان"</f>
        <v>تخليه چهارمحال وبختياري شهرستان بن شركت نسيم سامان</v>
      </c>
      <c r="D663" s="1">
        <v>9511</v>
      </c>
      <c r="E663" s="1">
        <v>49600</v>
      </c>
      <c r="F663" s="1">
        <v>95</v>
      </c>
      <c r="G663" s="1">
        <v>400</v>
      </c>
      <c r="H663" s="1" t="str">
        <f>"95/11/16"</f>
        <v>95/11/16</v>
      </c>
      <c r="I663" s="1" t="str">
        <f t="shared" si="157"/>
        <v>كيلوگرم</v>
      </c>
      <c r="J663" s="1" t="str">
        <f t="shared" si="171"/>
        <v>0000000088</v>
      </c>
      <c r="K663" s="1" t="str">
        <f t="shared" si="172"/>
        <v>قير  PG58-22</v>
      </c>
      <c r="L663" s="1">
        <v>100</v>
      </c>
      <c r="M663" s="1" t="str">
        <f t="shared" si="164"/>
        <v>مخازن قير اصفهان</v>
      </c>
      <c r="N663" s="1">
        <v>7190</v>
      </c>
      <c r="O663" s="1">
        <v>50033594</v>
      </c>
      <c r="P663" s="1" t="str">
        <f t="shared" si="173"/>
        <v xml:space="preserve">  اداره كل راه و شهرسازي چهارمحال وبختياري</v>
      </c>
      <c r="Q663" s="1">
        <v>17</v>
      </c>
      <c r="R663" s="1" t="str">
        <f t="shared" si="174"/>
        <v>فروش داخلي تهران - وزارت راه - راه روستايي - روکش</v>
      </c>
      <c r="S663" s="1" t="str">
        <f t="shared" si="160"/>
        <v>قرارداد فروش</v>
      </c>
      <c r="T663" s="1" t="str">
        <f t="shared" si="161"/>
        <v>ندارد</v>
      </c>
      <c r="U663" s="1" t="str">
        <f>"مظلوم فريبرز(1008ج89)"</f>
        <v>مظلوم فريبرز(1008ج89)</v>
      </c>
      <c r="V663" s="1">
        <v>951700338</v>
      </c>
      <c r="W663" s="1">
        <v>951700338</v>
      </c>
      <c r="X663" s="1" t="str">
        <f>"1395462682"</f>
        <v>1395462682</v>
      </c>
      <c r="Y663" s="1" t="str">
        <f>"95/11/16"</f>
        <v>95/11/16</v>
      </c>
      <c r="Z663" s="1" t="str">
        <f>"55877/710"</f>
        <v>55877/710</v>
      </c>
      <c r="AA663" s="1" t="str">
        <f t="shared" si="175"/>
        <v>راه روستائي -روكش</v>
      </c>
      <c r="AB663" s="1" t="str">
        <f>"95/11/10"</f>
        <v>95/11/10</v>
      </c>
      <c r="AC663" s="1" t="str">
        <f t="shared" si="176"/>
        <v>استان چهارمحال بختياري</v>
      </c>
      <c r="AD663" s="1" t="str">
        <f>"95/11/13"</f>
        <v>95/11/13</v>
      </c>
      <c r="AE663" s="1" t="str">
        <f t="shared" si="170"/>
        <v>اختتام</v>
      </c>
      <c r="AF663" s="1" t="str">
        <f>""</f>
        <v/>
      </c>
      <c r="AG663" s="1" t="str">
        <f>""</f>
        <v/>
      </c>
      <c r="AH663" s="1" t="str">
        <f>""</f>
        <v/>
      </c>
      <c r="AI663" s="1" t="str">
        <f>""</f>
        <v/>
      </c>
      <c r="AJ663" s="1" t="str">
        <f>""</f>
        <v/>
      </c>
      <c r="AK663" s="1" t="str">
        <f>""</f>
        <v/>
      </c>
    </row>
    <row r="664" spans="1:37" x14ac:dyDescent="0.2">
      <c r="A664" s="1">
        <v>707000</v>
      </c>
      <c r="B664" s="1">
        <v>951700341</v>
      </c>
      <c r="C664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664" s="1">
        <v>8998</v>
      </c>
      <c r="E664" s="1">
        <v>706140</v>
      </c>
      <c r="F664" s="1">
        <v>95</v>
      </c>
      <c r="G664" s="1">
        <v>860</v>
      </c>
      <c r="H664" s="1" t="str">
        <f>"95/11/25"</f>
        <v>95/11/25</v>
      </c>
      <c r="I664" s="1" t="str">
        <f t="shared" si="157"/>
        <v>كيلوگرم</v>
      </c>
      <c r="J664" s="1" t="str">
        <f t="shared" si="171"/>
        <v>0000000088</v>
      </c>
      <c r="K664" s="1" t="str">
        <f t="shared" si="172"/>
        <v>قير  PG58-22</v>
      </c>
      <c r="L664" s="1">
        <v>100</v>
      </c>
      <c r="M664" s="1" t="str">
        <f t="shared" si="164"/>
        <v>مخازن قير اصفهان</v>
      </c>
      <c r="N664" s="1">
        <v>7190</v>
      </c>
      <c r="O664" s="1">
        <v>50033721</v>
      </c>
      <c r="P664" s="1" t="str">
        <f t="shared" si="173"/>
        <v xml:space="preserve">  اداره كل راه و شهرسازي چهارمحال وبختياري</v>
      </c>
      <c r="Q664" s="1">
        <v>17</v>
      </c>
      <c r="R664" s="1" t="str">
        <f t="shared" si="174"/>
        <v>فروش داخلي تهران - وزارت راه - راه روستايي - روکش</v>
      </c>
      <c r="S664" s="1" t="str">
        <f t="shared" si="160"/>
        <v>قرارداد فروش</v>
      </c>
      <c r="T664" s="1" t="str">
        <f t="shared" si="161"/>
        <v>ندارد</v>
      </c>
      <c r="U664" s="1" t="str">
        <f>"قره باغي مجيد(1871065)"</f>
        <v>قره باغي مجيد(1871065)</v>
      </c>
      <c r="V664" s="1">
        <v>951700341</v>
      </c>
      <c r="W664" s="1">
        <v>951700341</v>
      </c>
      <c r="X664" s="1" t="str">
        <f>"1395464579"</f>
        <v>1395464579</v>
      </c>
      <c r="Y664" s="1" t="str">
        <f>"95/11/25"</f>
        <v>95/11/25</v>
      </c>
      <c r="Z664" s="1" t="str">
        <f>"57726/710"</f>
        <v>57726/710</v>
      </c>
      <c r="AA664" s="1" t="str">
        <f t="shared" si="175"/>
        <v>راه روستائي -روكش</v>
      </c>
      <c r="AB664" s="1" t="str">
        <f>"95/11/18"</f>
        <v>95/11/18</v>
      </c>
      <c r="AC664" s="1" t="str">
        <f t="shared" si="176"/>
        <v>استان چهارمحال بختياري</v>
      </c>
      <c r="AD664" s="1" t="str">
        <f>"95/11/24"</f>
        <v>95/11/24</v>
      </c>
      <c r="AE664" s="1" t="str">
        <f t="shared" si="170"/>
        <v>اختتام</v>
      </c>
      <c r="AF664" s="1" t="str">
        <f>""</f>
        <v/>
      </c>
      <c r="AG664" s="1" t="str">
        <f>""</f>
        <v/>
      </c>
      <c r="AH664" s="1" t="str">
        <f>""</f>
        <v/>
      </c>
      <c r="AI664" s="1" t="str">
        <f>""</f>
        <v/>
      </c>
      <c r="AJ664" s="1" t="str">
        <f>""</f>
        <v/>
      </c>
      <c r="AK664" s="1" t="str">
        <f>""</f>
        <v/>
      </c>
    </row>
    <row r="665" spans="1:37" x14ac:dyDescent="0.2">
      <c r="A665" s="1">
        <v>40680</v>
      </c>
      <c r="B665" s="1">
        <v>951900248</v>
      </c>
      <c r="C665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665" s="1">
        <v>9511</v>
      </c>
      <c r="E665" s="1">
        <v>40120</v>
      </c>
      <c r="F665" s="1">
        <v>95</v>
      </c>
      <c r="G665" s="1">
        <v>560</v>
      </c>
      <c r="H665" s="1" t="str">
        <f>"95/11/03"</f>
        <v>95/11/03</v>
      </c>
      <c r="I665" s="1" t="str">
        <f t="shared" si="157"/>
        <v>كيلوگرم</v>
      </c>
      <c r="J665" s="1" t="str">
        <f t="shared" ref="J665:J670" si="177">"0000000091"</f>
        <v>0000000091</v>
      </c>
      <c r="K665" s="1" t="str">
        <f t="shared" ref="K665:K670" si="178">"قير  PG64-22"</f>
        <v>قير  PG64-22</v>
      </c>
      <c r="L665" s="1">
        <v>100</v>
      </c>
      <c r="M665" s="1" t="str">
        <f t="shared" si="164"/>
        <v>مخازن قير اصفهان</v>
      </c>
      <c r="N665" s="1">
        <v>7035</v>
      </c>
      <c r="O665" s="1">
        <v>50033462</v>
      </c>
      <c r="P665" s="1" t="str">
        <f>"  سازمان همياري شهرداريهاي يزد"</f>
        <v xml:space="preserve">  سازمان همياري شهرداريهاي يزد</v>
      </c>
      <c r="Q665" s="1">
        <v>19</v>
      </c>
      <c r="R6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65" s="1" t="str">
        <f t="shared" si="160"/>
        <v>قرارداد فروش</v>
      </c>
      <c r="T665" s="1" t="str">
        <f t="shared" si="161"/>
        <v>ندارد</v>
      </c>
      <c r="U665" s="1" t="str">
        <f>"قانعي محمدرضا(1011ج89)"</f>
        <v>قانعي محمدرضا(1011ج89)</v>
      </c>
      <c r="V665" s="1">
        <v>951900248</v>
      </c>
      <c r="W665" s="1">
        <v>951900248</v>
      </c>
      <c r="X665" s="1" t="str">
        <f>"1395447615"</f>
        <v>1395447615</v>
      </c>
      <c r="Y665" s="1" t="str">
        <f>"95/11/03"</f>
        <v>95/11/03</v>
      </c>
      <c r="Z665" s="1" t="str">
        <f>"42118/710"</f>
        <v>42118/710</v>
      </c>
      <c r="AA665" s="1" t="str">
        <f>"سازمان راهداري وحمل نقل جاده اي"</f>
        <v>سازمان راهداري وحمل نقل جاده اي</v>
      </c>
      <c r="AB665" s="1" t="str">
        <f>"95/08/29"</f>
        <v>95/08/29</v>
      </c>
      <c r="AC665" s="1" t="str">
        <f>"استان يزد"</f>
        <v>استان يزد</v>
      </c>
      <c r="AD665" s="1" t="str">
        <f>"95/09/06"</f>
        <v>95/09/06</v>
      </c>
      <c r="AE665" s="1" t="str">
        <f t="shared" si="170"/>
        <v>اختتام</v>
      </c>
      <c r="AF665" s="1" t="str">
        <f>""</f>
        <v/>
      </c>
      <c r="AG665" s="1" t="str">
        <f>""</f>
        <v/>
      </c>
      <c r="AH665" s="1" t="str">
        <f>""</f>
        <v/>
      </c>
      <c r="AI665" s="1" t="str">
        <f>""</f>
        <v/>
      </c>
      <c r="AJ665" s="1" t="str">
        <f>""</f>
        <v/>
      </c>
      <c r="AK665" s="1" t="str">
        <f>""</f>
        <v/>
      </c>
    </row>
    <row r="666" spans="1:37" x14ac:dyDescent="0.2">
      <c r="A666" s="1">
        <v>342820</v>
      </c>
      <c r="B666" s="1">
        <v>951800093</v>
      </c>
      <c r="C666" s="1" t="str">
        <f>"تخليه اصفهان -كارگاه بادرود"</f>
        <v>تخليه اصفهان -كارگاه بادرود</v>
      </c>
      <c r="D666" s="1">
        <v>8323</v>
      </c>
      <c r="E666" s="1">
        <v>340960</v>
      </c>
      <c r="F666" s="1">
        <v>95</v>
      </c>
      <c r="G666" s="1">
        <v>1860</v>
      </c>
      <c r="H666" s="1" t="str">
        <f>"95/08/08"</f>
        <v>95/08/08</v>
      </c>
      <c r="I666" s="1" t="str">
        <f t="shared" si="157"/>
        <v>كيلوگرم</v>
      </c>
      <c r="J666" s="1" t="str">
        <f t="shared" si="177"/>
        <v>0000000091</v>
      </c>
      <c r="K666" s="1" t="str">
        <f t="shared" si="178"/>
        <v>قير  PG64-22</v>
      </c>
      <c r="L666" s="1">
        <v>100</v>
      </c>
      <c r="M666" s="1" t="str">
        <f t="shared" si="164"/>
        <v>مخازن قير اصفهان</v>
      </c>
      <c r="N666" s="1">
        <v>7122</v>
      </c>
      <c r="O666" s="1">
        <v>50032338</v>
      </c>
      <c r="P666" s="1" t="str">
        <f>"  وزين راه اصفهان"</f>
        <v xml:space="preserve">  وزين راه اصفهان</v>
      </c>
      <c r="Q666" s="1">
        <v>18</v>
      </c>
      <c r="R666" s="1" t="str">
        <f>"فروش داخلي تهران - وزارت راه - شرکت ساخت و توسعه راهها"</f>
        <v>فروش داخلي تهران - وزارت راه - شرکت ساخت و توسعه راهها</v>
      </c>
      <c r="S666" s="1" t="str">
        <f t="shared" si="160"/>
        <v>قرارداد فروش</v>
      </c>
      <c r="T666" s="1" t="str">
        <f t="shared" si="161"/>
        <v>ندارد</v>
      </c>
      <c r="U666" s="1" t="str">
        <f>"قره باغي مجيد(1871065)"</f>
        <v>قره باغي مجيد(1871065)</v>
      </c>
      <c r="V666" s="1">
        <v>951800093</v>
      </c>
      <c r="W666" s="1">
        <v>951800093</v>
      </c>
      <c r="X666" s="1" t="str">
        <f>"1395433831"</f>
        <v>1395433831</v>
      </c>
      <c r="Y666" s="1" t="str">
        <f>"95/08/08"</f>
        <v>95/08/08</v>
      </c>
      <c r="Z666" s="1" t="str">
        <f>"31718/510"</f>
        <v>31718/510</v>
      </c>
      <c r="AA666" s="1" t="str">
        <f>"شركت  ساخت وتوسعه راهها"</f>
        <v>شركت  ساخت وتوسعه راهها</v>
      </c>
      <c r="AB666" s="1" t="str">
        <f>"95/07/04"</f>
        <v>95/07/04</v>
      </c>
      <c r="AC666" s="1" t="str">
        <f>"استان اصفهان"</f>
        <v>استان اصفهان</v>
      </c>
      <c r="AD666" s="1" t="str">
        <f>"95/07/05"</f>
        <v>95/07/05</v>
      </c>
      <c r="AE666" s="1" t="str">
        <f t="shared" si="170"/>
        <v>اختتام</v>
      </c>
      <c r="AF666" s="1" t="str">
        <f>""</f>
        <v/>
      </c>
      <c r="AG666" s="1" t="str">
        <f>""</f>
        <v/>
      </c>
      <c r="AH666" s="1" t="str">
        <f>""</f>
        <v/>
      </c>
      <c r="AI666" s="1" t="str">
        <f>""</f>
        <v/>
      </c>
      <c r="AJ666" s="1" t="str">
        <f>""</f>
        <v/>
      </c>
      <c r="AK666" s="1" t="str">
        <f>""</f>
        <v/>
      </c>
    </row>
    <row r="667" spans="1:37" x14ac:dyDescent="0.2">
      <c r="A667" s="1">
        <v>300000</v>
      </c>
      <c r="B667" s="1">
        <v>951100161</v>
      </c>
      <c r="C667" s="1" t="str">
        <f>"تخليه -اصفهان -عباس آباد-اردستان -شركت اصفهان بتون راه"</f>
        <v>تخليه -اصفهان -عباس آباد-اردستان -شركت اصفهان بتون راه</v>
      </c>
      <c r="D667" s="1">
        <v>7276</v>
      </c>
      <c r="E667" s="1">
        <v>299080</v>
      </c>
      <c r="F667" s="1">
        <v>95</v>
      </c>
      <c r="G667" s="1">
        <v>920</v>
      </c>
      <c r="H667" s="1" t="str">
        <f>"95/09/23"</f>
        <v>95/09/23</v>
      </c>
      <c r="I667" s="1" t="str">
        <f t="shared" si="157"/>
        <v>كيلوگرم</v>
      </c>
      <c r="J667" s="1" t="str">
        <f t="shared" si="177"/>
        <v>0000000091</v>
      </c>
      <c r="K667" s="1" t="str">
        <f t="shared" si="178"/>
        <v>قير  PG64-22</v>
      </c>
      <c r="L667" s="1">
        <v>100</v>
      </c>
      <c r="M667" s="1" t="str">
        <f t="shared" si="164"/>
        <v>مخازن قير اصفهان</v>
      </c>
      <c r="N667" s="1">
        <v>7157</v>
      </c>
      <c r="O667" s="1">
        <v>50033010</v>
      </c>
      <c r="P667" s="1" t="str">
        <f>"  اصفهان بتون راه"</f>
        <v xml:space="preserve">  اصفهان بتون راه</v>
      </c>
      <c r="Q667" s="1">
        <v>11</v>
      </c>
      <c r="R667" s="1" t="str">
        <f>"فروش داخلي تهران - بورس"</f>
        <v>فروش داخلي تهران - بورس</v>
      </c>
      <c r="S667" s="1" t="str">
        <f t="shared" si="160"/>
        <v>قرارداد فروش</v>
      </c>
      <c r="T667" s="1" t="str">
        <f t="shared" si="161"/>
        <v>ندارد</v>
      </c>
      <c r="U667" s="1" t="str">
        <f>"ريسماني حسن(1007ج89)"</f>
        <v>ريسماني حسن(1007ج89)</v>
      </c>
      <c r="V667" s="1">
        <v>951100161</v>
      </c>
      <c r="W667" s="1">
        <v>951100161</v>
      </c>
      <c r="X667" s="1" t="str">
        <f>"1395449400"</f>
        <v>1395449400</v>
      </c>
      <c r="Y667" s="1" t="str">
        <f>"95/09/22"</f>
        <v>95/09/22</v>
      </c>
      <c r="Z667" s="1" t="str">
        <f>"95-34919"</f>
        <v>95-34919</v>
      </c>
      <c r="AA667" s="1" t="str">
        <f>"راه سازي"</f>
        <v>راه سازي</v>
      </c>
      <c r="AB667" s="1" t="str">
        <f>"95/09/22"</f>
        <v>95/09/22</v>
      </c>
      <c r="AC667" s="1" t="str">
        <f>"استان اصفهان"</f>
        <v>استان اصفهان</v>
      </c>
      <c r="AD667" s="1" t="str">
        <f>"95/09/15"</f>
        <v>95/09/15</v>
      </c>
      <c r="AE667" s="1" t="str">
        <f t="shared" si="170"/>
        <v>اختتام</v>
      </c>
      <c r="AF667" s="1" t="str">
        <f>""</f>
        <v/>
      </c>
      <c r="AG667" s="1" t="str">
        <f>""</f>
        <v/>
      </c>
      <c r="AH667" s="1" t="str">
        <f>""</f>
        <v/>
      </c>
      <c r="AI667" s="1" t="str">
        <f>""</f>
        <v/>
      </c>
      <c r="AJ667" s="1" t="str">
        <f>""</f>
        <v/>
      </c>
      <c r="AK667" s="1" t="str">
        <f>""</f>
        <v/>
      </c>
    </row>
    <row r="668" spans="1:37" x14ac:dyDescent="0.2">
      <c r="A668" s="1">
        <v>500000</v>
      </c>
      <c r="B668" s="1">
        <v>951900142</v>
      </c>
      <c r="C668" s="1" t="str">
        <f>"تخليه خراسان جنوبي -طبس جاده بشرويه كارخانه زماني"</f>
        <v>تخليه خراسان جنوبي -طبس جاده بشرويه كارخانه زماني</v>
      </c>
      <c r="D668" s="1">
        <v>7176</v>
      </c>
      <c r="E668" s="1">
        <v>499620</v>
      </c>
      <c r="F668" s="1">
        <v>95</v>
      </c>
      <c r="G668" s="1">
        <v>380</v>
      </c>
      <c r="H668" s="1" t="str">
        <f>"95/06/13"</f>
        <v>95/06/13</v>
      </c>
      <c r="I668" s="1" t="str">
        <f t="shared" si="157"/>
        <v>كيلوگرم</v>
      </c>
      <c r="J668" s="1" t="str">
        <f t="shared" si="177"/>
        <v>0000000091</v>
      </c>
      <c r="K668" s="1" t="str">
        <f t="shared" si="178"/>
        <v>قير  PG64-22</v>
      </c>
      <c r="L668" s="1">
        <v>100</v>
      </c>
      <c r="M668" s="1" t="str">
        <f t="shared" si="164"/>
        <v>مخازن قير اصفهان</v>
      </c>
      <c r="N668" s="1">
        <v>8332</v>
      </c>
      <c r="O668" s="1">
        <v>50031759</v>
      </c>
      <c r="P668" s="1" t="str">
        <f>"  چندآشيان"</f>
        <v xml:space="preserve">  چندآشيان</v>
      </c>
      <c r="Q668" s="1">
        <v>19</v>
      </c>
      <c r="R66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68" s="1" t="str">
        <f t="shared" si="160"/>
        <v>قرارداد فروش</v>
      </c>
      <c r="T668" s="1" t="str">
        <f t="shared" si="161"/>
        <v>ندارد</v>
      </c>
      <c r="U668" s="1" t="str">
        <f>"بابامحمدي عنايت اله(4844000)"</f>
        <v>بابامحمدي عنايت اله(4844000)</v>
      </c>
      <c r="V668" s="1">
        <v>951900142</v>
      </c>
      <c r="W668" s="1">
        <v>951900142</v>
      </c>
      <c r="X668" s="1" t="str">
        <f>"1395428828"</f>
        <v>1395428828</v>
      </c>
      <c r="Y668" s="1" t="str">
        <f>"95/06/13"</f>
        <v>95/06/13</v>
      </c>
      <c r="Z668" s="1" t="str">
        <f>"27015/510"</f>
        <v>27015/510</v>
      </c>
      <c r="AA668" s="1" t="str">
        <f>"سازمان راهداري وحمل نقل جاده اي"</f>
        <v>سازمان راهداري وحمل نقل جاده اي</v>
      </c>
      <c r="AB668" s="1" t="str">
        <f>"95/06/09"</f>
        <v>95/06/09</v>
      </c>
      <c r="AC668" s="1" t="str">
        <f>"خراسان جنوبي"</f>
        <v>خراسان جنوبي</v>
      </c>
      <c r="AD668" s="1" t="str">
        <f>"95/06/13"</f>
        <v>95/06/13</v>
      </c>
      <c r="AE668" s="1" t="str">
        <f t="shared" si="170"/>
        <v>اختتام</v>
      </c>
      <c r="AF668" s="1" t="str">
        <f>""</f>
        <v/>
      </c>
      <c r="AG668" s="1" t="str">
        <f>""</f>
        <v/>
      </c>
      <c r="AH668" s="1" t="str">
        <f>""</f>
        <v/>
      </c>
      <c r="AI668" s="1" t="str">
        <f>""</f>
        <v/>
      </c>
      <c r="AJ668" s="1" t="str">
        <f>""</f>
        <v/>
      </c>
      <c r="AK668" s="1" t="str">
        <f>""</f>
        <v/>
      </c>
    </row>
    <row r="669" spans="1:37" x14ac:dyDescent="0.2">
      <c r="A669" s="1">
        <v>400000</v>
      </c>
      <c r="B669" s="1">
        <v>951900217</v>
      </c>
      <c r="C669" s="1" t="str">
        <f>"تخليه -لرستان -كيلومتر30جاده خرم آباد-بروجرد-روستاي ريگ سفيد-کارخانه آسفالت آفاق سپهرخرم"</f>
        <v>تخليه -لرستان -كيلومتر30جاده خرم آباد-بروجرد-روستاي ريگ سفيد-کارخانه آسفالت آفاق سپهرخرم</v>
      </c>
      <c r="D669" s="1">
        <v>7276</v>
      </c>
      <c r="E669" s="1">
        <v>65280</v>
      </c>
      <c r="F669" s="1">
        <v>95</v>
      </c>
      <c r="G669" s="1">
        <v>334720</v>
      </c>
      <c r="H669" s="1" t="str">
        <f>"95/09/16"</f>
        <v>95/09/16</v>
      </c>
      <c r="I669" s="1" t="str">
        <f t="shared" si="157"/>
        <v>كيلوگرم</v>
      </c>
      <c r="J669" s="1" t="str">
        <f t="shared" si="177"/>
        <v>0000000091</v>
      </c>
      <c r="K669" s="1" t="str">
        <f t="shared" si="178"/>
        <v>قير  PG64-22</v>
      </c>
      <c r="L669" s="1">
        <v>100</v>
      </c>
      <c r="M669" s="1" t="str">
        <f t="shared" si="164"/>
        <v>مخازن قير اصفهان</v>
      </c>
      <c r="N669" s="1">
        <v>8561</v>
      </c>
      <c r="O669" s="1">
        <v>50032882</v>
      </c>
      <c r="P669" s="1" t="str">
        <f>"  آفاق سپهرخرم"</f>
        <v xml:space="preserve">  آفاق سپهرخرم</v>
      </c>
      <c r="Q669" s="1">
        <v>19</v>
      </c>
      <c r="R66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69" s="1" t="str">
        <f t="shared" si="160"/>
        <v>قرارداد فروش</v>
      </c>
      <c r="T669" s="1" t="str">
        <f t="shared" si="161"/>
        <v>ندارد</v>
      </c>
      <c r="U669" s="1" t="str">
        <f>"ريسماني حسن(1007ج89)"</f>
        <v>ريسماني حسن(1007ج89)</v>
      </c>
      <c r="V669" s="1">
        <v>951900217</v>
      </c>
      <c r="W669" s="1">
        <v>951900217</v>
      </c>
      <c r="X669" s="1" t="str">
        <f>"1395449862"</f>
        <v>1395449862</v>
      </c>
      <c r="Y669" s="1" t="str">
        <f>"95/09/16"</f>
        <v>95/09/16</v>
      </c>
      <c r="Z669" s="1" t="str">
        <f>"44546/710"</f>
        <v>44546/710</v>
      </c>
      <c r="AA669" s="1" t="str">
        <f>"سازمان راهداري وحمل نقل جاده اي"</f>
        <v>سازمان راهداري وحمل نقل جاده اي</v>
      </c>
      <c r="AB669" s="1" t="str">
        <f>"95/09/14"</f>
        <v>95/09/14</v>
      </c>
      <c r="AC669" s="1" t="str">
        <f>"لرستان"</f>
        <v>لرستان</v>
      </c>
      <c r="AD669" s="1" t="str">
        <f>"95/09/16"</f>
        <v>95/09/16</v>
      </c>
      <c r="AE669" s="1" t="str">
        <f t="shared" si="170"/>
        <v>اختتام</v>
      </c>
      <c r="AF669" s="1" t="str">
        <f>""</f>
        <v/>
      </c>
      <c r="AG669" s="1" t="str">
        <f>""</f>
        <v/>
      </c>
      <c r="AH669" s="1" t="str">
        <f>""</f>
        <v/>
      </c>
      <c r="AI669" s="1" t="str">
        <f>""</f>
        <v/>
      </c>
      <c r="AJ669" s="1" t="str">
        <f>""</f>
        <v/>
      </c>
      <c r="AK669" s="1" t="str">
        <f>""</f>
        <v/>
      </c>
    </row>
    <row r="670" spans="1:37" x14ac:dyDescent="0.2">
      <c r="A670" s="1">
        <v>770000</v>
      </c>
      <c r="B670" s="1">
        <v>951900082</v>
      </c>
      <c r="C670" s="1" t="str">
        <f>"تخليه -همدان -كيلومتر17محورهمدان به تهران-بعد از پليس راه-کارخانه آسقالت عايق ريل همدان"</f>
        <v>تخليه -همدان -كيلومتر17محورهمدان به تهران-بعد از پليس راه-کارخانه آسقالت عايق ريل همدان</v>
      </c>
      <c r="D670" s="1">
        <v>6726</v>
      </c>
      <c r="E670" s="1">
        <v>767200</v>
      </c>
      <c r="F670" s="1">
        <v>95</v>
      </c>
      <c r="G670" s="1">
        <v>2800</v>
      </c>
      <c r="H670" s="1" t="str">
        <f>"95/05/11"</f>
        <v>95/05/11</v>
      </c>
      <c r="I670" s="1" t="str">
        <f t="shared" si="157"/>
        <v>كيلوگرم</v>
      </c>
      <c r="J670" s="1" t="str">
        <f t="shared" si="177"/>
        <v>0000000091</v>
      </c>
      <c r="K670" s="1" t="str">
        <f t="shared" si="178"/>
        <v>قير  PG64-22</v>
      </c>
      <c r="L670" s="1">
        <v>100</v>
      </c>
      <c r="M670" s="1" t="str">
        <f t="shared" si="164"/>
        <v>مخازن قير اصفهان</v>
      </c>
      <c r="N670" s="1">
        <v>8632</v>
      </c>
      <c r="O670" s="1">
        <v>50031397</v>
      </c>
      <c r="P670" s="1" t="str">
        <f>"  عايق ريل همدان"</f>
        <v xml:space="preserve">  عايق ريل همدان</v>
      </c>
      <c r="Q670" s="1">
        <v>19</v>
      </c>
      <c r="R67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70" s="1" t="str">
        <f t="shared" si="160"/>
        <v>قرارداد فروش</v>
      </c>
      <c r="T670" s="1" t="str">
        <f t="shared" si="161"/>
        <v>ندارد</v>
      </c>
      <c r="U670" s="1" t="str">
        <f>"حاجيلوئي علي اصغر(2842019)"</f>
        <v>حاجيلوئي علي اصغر(2842019)</v>
      </c>
      <c r="V670" s="1">
        <v>951900082</v>
      </c>
      <c r="W670" s="1">
        <v>951900082</v>
      </c>
      <c r="X670" s="1" t="str">
        <f>"1395419803"</f>
        <v>1395419803</v>
      </c>
      <c r="Y670" s="1" t="str">
        <f>"95/05/11"</f>
        <v>95/05/11</v>
      </c>
      <c r="Z670" s="1" t="str">
        <f>"19770/510"</f>
        <v>19770/510</v>
      </c>
      <c r="AA670" s="1" t="str">
        <f>"سازمان راهداري وحمل نقل جاده اي"</f>
        <v>سازمان راهداري وحمل نقل جاده اي</v>
      </c>
      <c r="AB670" s="1" t="str">
        <f>"95/05/04"</f>
        <v>95/05/04</v>
      </c>
      <c r="AC670" s="1" t="str">
        <f>"استان همدان"</f>
        <v>استان همدان</v>
      </c>
      <c r="AD670" s="1" t="str">
        <f>"95/05/11"</f>
        <v>95/05/11</v>
      </c>
      <c r="AE670" s="1" t="str">
        <f t="shared" si="170"/>
        <v>اختتام</v>
      </c>
      <c r="AF670" s="1" t="str">
        <f>""</f>
        <v/>
      </c>
      <c r="AG670" s="1" t="str">
        <f>""</f>
        <v/>
      </c>
      <c r="AH670" s="1" t="str">
        <f>""</f>
        <v/>
      </c>
      <c r="AI670" s="1" t="str">
        <f>""</f>
        <v/>
      </c>
      <c r="AJ670" s="1" t="str">
        <f>""</f>
        <v/>
      </c>
      <c r="AK670" s="1" t="str">
        <f>""</f>
        <v/>
      </c>
    </row>
    <row r="671" spans="1:37" x14ac:dyDescent="0.2">
      <c r="A671" s="1">
        <v>100000</v>
      </c>
      <c r="B671" s="1">
        <v>951700204</v>
      </c>
      <c r="C671" s="1" t="str">
        <f>"تخليه-کيلومتر 30اتوبان ذوب آهن کارخانه آسفالت زرين سپاهان"</f>
        <v>تخليه-کيلومتر 30اتوبان ذوب آهن کارخانه آسفالت زرين سپاهان</v>
      </c>
      <c r="D671" s="1">
        <v>7176</v>
      </c>
      <c r="E671" s="1">
        <v>98620</v>
      </c>
      <c r="F671" s="1">
        <v>95</v>
      </c>
      <c r="G671" s="1">
        <v>1380</v>
      </c>
      <c r="H671" s="1" t="str">
        <f>"95/06/16"</f>
        <v>95/06/16</v>
      </c>
      <c r="I671" s="1" t="str">
        <f t="shared" si="157"/>
        <v>كيلوگرم</v>
      </c>
      <c r="J671" s="1" t="str">
        <f>"0000000088"</f>
        <v>0000000088</v>
      </c>
      <c r="K671" s="1" t="str">
        <f>"قير  PG58-22"</f>
        <v>قير  PG58-22</v>
      </c>
      <c r="L671" s="1">
        <v>100</v>
      </c>
      <c r="M671" s="1" t="str">
        <f t="shared" si="164"/>
        <v>مخازن قير اصفهان</v>
      </c>
      <c r="N671" s="1">
        <v>8091</v>
      </c>
      <c r="O671" s="1">
        <v>50031816</v>
      </c>
      <c r="P671" s="1" t="str">
        <f>"  اداره كل راه وشهرسازي اصفهان"</f>
        <v xml:space="preserve">  اداره كل راه وشهرسازي اصفهان</v>
      </c>
      <c r="Q671" s="1">
        <v>17</v>
      </c>
      <c r="R671" s="1" t="str">
        <f>"فروش داخلي تهران - وزارت راه - راه روستايي - روکش"</f>
        <v>فروش داخلي تهران - وزارت راه - راه روستايي - روکش</v>
      </c>
      <c r="S671" s="1" t="str">
        <f t="shared" si="160"/>
        <v>قرارداد فروش</v>
      </c>
      <c r="T671" s="1" t="str">
        <f t="shared" si="161"/>
        <v>ندارد</v>
      </c>
      <c r="U671" s="1" t="str">
        <f>"شهبازي محمدرضا(1029ج89)"</f>
        <v>شهبازي محمدرضا(1029ج89)</v>
      </c>
      <c r="V671" s="1">
        <v>951700204</v>
      </c>
      <c r="W671" s="1">
        <v>951700204</v>
      </c>
      <c r="X671" s="1" t="str">
        <f>"1395429277"</f>
        <v>1395429277</v>
      </c>
      <c r="Y671" s="1" t="str">
        <f>"95/06/16"</f>
        <v>95/06/16</v>
      </c>
      <c r="Z671" s="1" t="str">
        <f>"28202/510"</f>
        <v>28202/510</v>
      </c>
      <c r="AA671" s="1" t="str">
        <f>"راه روستائي -روكش"</f>
        <v>راه روستائي -روكش</v>
      </c>
      <c r="AB671" s="1" t="str">
        <f>"95/06/14"</f>
        <v>95/06/14</v>
      </c>
      <c r="AC671" s="1" t="str">
        <f>"استان اصفهان"</f>
        <v>استان اصفهان</v>
      </c>
      <c r="AD671" s="1" t="str">
        <f>"95/06/16"</f>
        <v>95/06/16</v>
      </c>
      <c r="AE671" s="1" t="str">
        <f t="shared" si="170"/>
        <v>اختتام</v>
      </c>
      <c r="AF671" s="1" t="str">
        <f>""</f>
        <v/>
      </c>
      <c r="AG671" s="1" t="str">
        <f>""</f>
        <v/>
      </c>
      <c r="AH671" s="1" t="str">
        <f>""</f>
        <v/>
      </c>
      <c r="AI671" s="1" t="str">
        <f>""</f>
        <v/>
      </c>
      <c r="AJ671" s="1" t="str">
        <f>""</f>
        <v/>
      </c>
      <c r="AK671" s="1" t="str">
        <f>""</f>
        <v/>
      </c>
    </row>
    <row r="672" spans="1:37" x14ac:dyDescent="0.2">
      <c r="A672" s="1">
        <v>15420</v>
      </c>
      <c r="B672" s="1">
        <v>951700279</v>
      </c>
      <c r="C672" s="1" t="str">
        <f>"تخليه-کيلومتر 30اتوبان ذوب آهن کارخانه آسفالت زرين سپاهان"</f>
        <v>تخليه-کيلومتر 30اتوبان ذوب آهن کارخانه آسفالت زرين سپاهان</v>
      </c>
      <c r="D672" s="1">
        <v>8323</v>
      </c>
      <c r="E672" s="1">
        <v>15120</v>
      </c>
      <c r="F672" s="1">
        <v>95</v>
      </c>
      <c r="G672" s="1">
        <v>300</v>
      </c>
      <c r="H672" s="1" t="str">
        <f>"95/08/09"</f>
        <v>95/08/09</v>
      </c>
      <c r="I672" s="1" t="str">
        <f t="shared" si="157"/>
        <v>كيلوگرم</v>
      </c>
      <c r="J672" s="1" t="str">
        <f>"0000000088"</f>
        <v>0000000088</v>
      </c>
      <c r="K672" s="1" t="str">
        <f>"قير  PG58-22"</f>
        <v>قير  PG58-22</v>
      </c>
      <c r="L672" s="1">
        <v>100</v>
      </c>
      <c r="M672" s="1" t="str">
        <f t="shared" si="164"/>
        <v>مخازن قير اصفهان</v>
      </c>
      <c r="N672" s="1">
        <v>8091</v>
      </c>
      <c r="O672" s="1">
        <v>50032417</v>
      </c>
      <c r="P672" s="1" t="str">
        <f>"  اداره كل راه وشهرسازي اصفهان"</f>
        <v xml:space="preserve">  اداره كل راه وشهرسازي اصفهان</v>
      </c>
      <c r="Q672" s="1">
        <v>17</v>
      </c>
      <c r="R672" s="1" t="str">
        <f>"فروش داخلي تهران - وزارت راه - راه روستايي - روکش"</f>
        <v>فروش داخلي تهران - وزارت راه - راه روستايي - روکش</v>
      </c>
      <c r="S672" s="1" t="str">
        <f t="shared" si="160"/>
        <v>قرارداد فروش</v>
      </c>
      <c r="T672" s="1" t="str">
        <f t="shared" si="161"/>
        <v>ندارد</v>
      </c>
      <c r="U672" s="1" t="str">
        <f>"شهبازي محمدرضا(1029ج89)"</f>
        <v>شهبازي محمدرضا(1029ج89)</v>
      </c>
      <c r="V672" s="1">
        <v>951700279</v>
      </c>
      <c r="W672" s="1">
        <v>951700279</v>
      </c>
      <c r="X672" s="1" t="str">
        <f>"1395426711"</f>
        <v>1395426711</v>
      </c>
      <c r="Y672" s="1" t="str">
        <f>"95/08/09"</f>
        <v>95/08/09</v>
      </c>
      <c r="Z672" s="1" t="str">
        <f>"23382/510"</f>
        <v>23382/510</v>
      </c>
      <c r="AA672" s="1" t="str">
        <f>"راه روستائي -روكش"</f>
        <v>راه روستائي -روكش</v>
      </c>
      <c r="AB672" s="1" t="str">
        <f>"95/05/24"</f>
        <v>95/05/24</v>
      </c>
      <c r="AC672" s="1" t="str">
        <f>"استان اصفهان"</f>
        <v>استان اصفهان</v>
      </c>
      <c r="AD672" s="1" t="str">
        <f>"95/06/06"</f>
        <v>95/06/06</v>
      </c>
      <c r="AE672" s="1" t="str">
        <f t="shared" si="170"/>
        <v>اختتام</v>
      </c>
      <c r="AF672" s="1" t="str">
        <f>""</f>
        <v/>
      </c>
      <c r="AG672" s="1" t="str">
        <f>""</f>
        <v/>
      </c>
      <c r="AH672" s="1" t="str">
        <f>""</f>
        <v/>
      </c>
      <c r="AI672" s="1" t="str">
        <f>""</f>
        <v/>
      </c>
      <c r="AJ672" s="1" t="str">
        <f>""</f>
        <v/>
      </c>
      <c r="AK672" s="1" t="str">
        <f>""</f>
        <v/>
      </c>
    </row>
    <row r="673" spans="1:37" x14ac:dyDescent="0.2">
      <c r="A673" s="1">
        <v>200000</v>
      </c>
      <c r="B673" s="1">
        <v>951600048</v>
      </c>
      <c r="C673" s="1" t="str">
        <f>"تخليه -كيلومتر10جاده تيران -شهركرد-كارخانه آسفالت ميلادراه سپاهان"</f>
        <v>تخليه -كيلومتر10جاده تيران -شهركرد-كارخانه آسفالت ميلادراه سپاهان</v>
      </c>
      <c r="D673" s="1">
        <v>8323</v>
      </c>
      <c r="E673" s="1">
        <v>121920</v>
      </c>
      <c r="F673" s="1">
        <v>95</v>
      </c>
      <c r="G673" s="1">
        <v>78080</v>
      </c>
      <c r="H673" s="1" t="str">
        <f>"95/08/11"</f>
        <v>95/08/11</v>
      </c>
      <c r="I673" s="1" t="str">
        <f t="shared" si="157"/>
        <v>كيلوگرم</v>
      </c>
      <c r="J673" s="1" t="str">
        <f>"0000000088"</f>
        <v>0000000088</v>
      </c>
      <c r="K673" s="1" t="str">
        <f>"قير  PG58-22"</f>
        <v>قير  PG58-22</v>
      </c>
      <c r="L673" s="1">
        <v>100</v>
      </c>
      <c r="M673" s="1" t="str">
        <f t="shared" si="164"/>
        <v>مخازن قير اصفهان</v>
      </c>
      <c r="N673" s="1">
        <v>8643</v>
      </c>
      <c r="O673" s="1">
        <v>50032468</v>
      </c>
      <c r="P673" s="1" t="str">
        <f>"  ميلاد راه سپاهان"</f>
        <v xml:space="preserve">  ميلاد راه سپاهان</v>
      </c>
      <c r="Q673" s="1">
        <v>16</v>
      </c>
      <c r="R673" s="1" t="str">
        <f>"فروش داخلي تهران - وزارت راه - معاونت اقتصاد"</f>
        <v>فروش داخلي تهران - وزارت راه - معاونت اقتصاد</v>
      </c>
      <c r="S673" s="1" t="str">
        <f t="shared" si="160"/>
        <v>قرارداد فروش</v>
      </c>
      <c r="T673" s="1" t="str">
        <f t="shared" si="161"/>
        <v>ندارد</v>
      </c>
      <c r="U673" s="1" t="str">
        <f>"قره باغي مجيد(1871065)"</f>
        <v>قره باغي مجيد(1871065)</v>
      </c>
      <c r="V673" s="1">
        <v>951600048</v>
      </c>
      <c r="W673" s="1">
        <v>951600048</v>
      </c>
      <c r="X673" s="1" t="str">
        <f>"1395441876"</f>
        <v>1395441876</v>
      </c>
      <c r="Y673" s="1" t="str">
        <f>"95/08/11"</f>
        <v>95/08/11</v>
      </c>
      <c r="Z673" s="1" t="str">
        <f>"38464/710"</f>
        <v>38464/710</v>
      </c>
      <c r="AA673" s="1" t="str">
        <f>"معاونت اقتصادوزارت راه وشهرسازي"</f>
        <v>معاونت اقتصادوزارت راه وشهرسازي</v>
      </c>
      <c r="AB673" s="1" t="str">
        <f>"95/08/10"</f>
        <v>95/08/10</v>
      </c>
      <c r="AC673" s="1" t="str">
        <f>"استان چهارمحال بختياري"</f>
        <v>استان چهارمحال بختياري</v>
      </c>
      <c r="AD673" s="1" t="str">
        <f>"95/08/11"</f>
        <v>95/08/11</v>
      </c>
      <c r="AE673" s="1" t="str">
        <f t="shared" si="170"/>
        <v>اختتام</v>
      </c>
      <c r="AF673" s="1" t="str">
        <f>""</f>
        <v/>
      </c>
      <c r="AG673" s="1" t="str">
        <f>""</f>
        <v/>
      </c>
      <c r="AH673" s="1" t="str">
        <f>""</f>
        <v/>
      </c>
      <c r="AI673" s="1" t="str">
        <f>""</f>
        <v/>
      </c>
      <c r="AJ673" s="1" t="str">
        <f>""</f>
        <v/>
      </c>
      <c r="AK673" s="1" t="str">
        <f>""</f>
        <v/>
      </c>
    </row>
    <row r="674" spans="1:37" x14ac:dyDescent="0.2">
      <c r="A674" s="1">
        <v>361000</v>
      </c>
      <c r="B674" s="1">
        <v>951800118</v>
      </c>
      <c r="C674" s="1" t="str">
        <f>"تخليه -كيلومتر5جاده دهگلان -سنندج شركت فن وتجربه غرب"</f>
        <v>تخليه -كيلومتر5جاده دهگلان -سنندج شركت فن وتجربه غرب</v>
      </c>
      <c r="D674" s="1">
        <v>9061</v>
      </c>
      <c r="E674" s="1">
        <v>360160</v>
      </c>
      <c r="F674" s="1">
        <v>95</v>
      </c>
      <c r="G674" s="1">
        <v>840</v>
      </c>
      <c r="H674" s="1" t="str">
        <f>"95/10/14"</f>
        <v>95/10/14</v>
      </c>
      <c r="I674" s="1" t="str">
        <f t="shared" si="157"/>
        <v>كيلوگرم</v>
      </c>
      <c r="J674" s="1" t="str">
        <f>"0000000088"</f>
        <v>0000000088</v>
      </c>
      <c r="K674" s="1" t="str">
        <f>"قير  PG58-22"</f>
        <v>قير  PG58-22</v>
      </c>
      <c r="L674" s="1">
        <v>100</v>
      </c>
      <c r="M674" s="1" t="str">
        <f t="shared" si="164"/>
        <v>مخازن قير اصفهان</v>
      </c>
      <c r="N674" s="1">
        <v>8877</v>
      </c>
      <c r="O674" s="1">
        <v>50033285</v>
      </c>
      <c r="P674" s="1" t="str">
        <f>"  نيوشا راه سنندج"</f>
        <v xml:space="preserve">  نيوشا راه سنندج</v>
      </c>
      <c r="Q674" s="1">
        <v>18</v>
      </c>
      <c r="R674" s="1" t="str">
        <f>"فروش داخلي تهران - وزارت راه - شرکت ساخت و توسعه راهها"</f>
        <v>فروش داخلي تهران - وزارت راه - شرکت ساخت و توسعه راهها</v>
      </c>
      <c r="S674" s="1" t="str">
        <f t="shared" si="160"/>
        <v>قرارداد فروش</v>
      </c>
      <c r="T674" s="1" t="str">
        <f t="shared" si="161"/>
        <v>ندارد</v>
      </c>
      <c r="U674" s="1" t="str">
        <f>"ميهن دوست عبداله(2842010)"</f>
        <v>ميهن دوست عبداله(2842010)</v>
      </c>
      <c r="V674" s="1">
        <v>951800118</v>
      </c>
      <c r="W674" s="1">
        <v>951800118</v>
      </c>
      <c r="X674" s="1" t="str">
        <f>"1395456602"</f>
        <v>1395456602</v>
      </c>
      <c r="Y674" s="1" t="str">
        <f>"95/10/14"</f>
        <v>95/10/14</v>
      </c>
      <c r="Z674" s="1" t="str">
        <f>"50333/710"</f>
        <v>50333/710</v>
      </c>
      <c r="AA674" s="1" t="str">
        <f>"شركت  ساخت وتوسعه راهها"</f>
        <v>شركت  ساخت وتوسعه راهها</v>
      </c>
      <c r="AB674" s="1" t="str">
        <f>"95/10/13"</f>
        <v>95/10/13</v>
      </c>
      <c r="AC674" s="1" t="str">
        <f>"استان كردستان"</f>
        <v>استان كردستان</v>
      </c>
      <c r="AD674" s="1" t="str">
        <f>"95/10/14"</f>
        <v>95/10/14</v>
      </c>
      <c r="AE674" s="1" t="str">
        <f t="shared" si="170"/>
        <v>اختتام</v>
      </c>
      <c r="AF674" s="1" t="str">
        <f>""</f>
        <v/>
      </c>
      <c r="AG674" s="1" t="str">
        <f>""</f>
        <v/>
      </c>
      <c r="AH674" s="1" t="str">
        <f>""</f>
        <v/>
      </c>
      <c r="AI674" s="1" t="str">
        <f>""</f>
        <v/>
      </c>
      <c r="AJ674" s="1" t="str">
        <f>""</f>
        <v/>
      </c>
      <c r="AK674" s="1" t="str">
        <f>""</f>
        <v/>
      </c>
    </row>
    <row r="675" spans="1:37" x14ac:dyDescent="0.2">
      <c r="A675" s="1">
        <v>1000000</v>
      </c>
      <c r="B675" s="1">
        <v>951900116</v>
      </c>
      <c r="C675" s="1" t="str">
        <f>"تخليه -خراسان رضوي -سبزوار 10كيلومتربعدازروستاي داورزن"</f>
        <v>تخليه -خراسان رضوي -سبزوار 10كيلومتربعدازروستاي داورزن</v>
      </c>
      <c r="D675" s="1">
        <v>6726</v>
      </c>
      <c r="E675" s="1">
        <v>999460</v>
      </c>
      <c r="F675" s="1">
        <v>95</v>
      </c>
      <c r="G675" s="1">
        <v>540</v>
      </c>
      <c r="H675" s="1" t="str">
        <f>"95/05/23"</f>
        <v>95/05/23</v>
      </c>
      <c r="I675" s="1" t="str">
        <f t="shared" si="157"/>
        <v>كيلوگرم</v>
      </c>
      <c r="J675" s="1" t="str">
        <f t="shared" ref="J675:J700" si="179">"0000000091"</f>
        <v>0000000091</v>
      </c>
      <c r="K675" s="1" t="str">
        <f t="shared" ref="K675:K700" si="180">"قير  PG64-22"</f>
        <v>قير  PG64-22</v>
      </c>
      <c r="L675" s="1">
        <v>100</v>
      </c>
      <c r="M675" s="1" t="str">
        <f t="shared" si="164"/>
        <v>مخازن قير اصفهان</v>
      </c>
      <c r="N675" s="1">
        <v>8004</v>
      </c>
      <c r="O675" s="1">
        <v>50031509</v>
      </c>
      <c r="P675" s="1" t="str">
        <f>"  ساختماني تيراژ"</f>
        <v xml:space="preserve">  ساختماني تيراژ</v>
      </c>
      <c r="Q675" s="1">
        <v>19</v>
      </c>
      <c r="R67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75" s="1" t="str">
        <f t="shared" si="160"/>
        <v>قرارداد فروش</v>
      </c>
      <c r="T675" s="1" t="str">
        <f t="shared" si="161"/>
        <v>ندارد</v>
      </c>
      <c r="U675" s="1" t="str">
        <f>"فتاح زاده سيداحمد(3843011)"</f>
        <v>فتاح زاده سيداحمد(3843011)</v>
      </c>
      <c r="V675" s="1">
        <v>951900116</v>
      </c>
      <c r="W675" s="1">
        <v>951900116</v>
      </c>
      <c r="X675" s="1" t="str">
        <f>"1395423494"</f>
        <v>1395423494</v>
      </c>
      <c r="Y675" s="1" t="str">
        <f>"95/05/23"</f>
        <v>95/05/23</v>
      </c>
      <c r="Z675" s="1" t="str">
        <f>"22693/510"</f>
        <v>22693/510</v>
      </c>
      <c r="AA675" s="1" t="str">
        <f>"سازمان راهداري وحمل نقل جاده اي"</f>
        <v>سازمان راهداري وحمل نقل جاده اي</v>
      </c>
      <c r="AB675" s="1" t="str">
        <f>"95/05/19"</f>
        <v>95/05/19</v>
      </c>
      <c r="AC675" s="1" t="str">
        <f>"خراسان رضوي"</f>
        <v>خراسان رضوي</v>
      </c>
      <c r="AD675" s="1" t="str">
        <f>"95/05/23"</f>
        <v>95/05/23</v>
      </c>
      <c r="AE675" s="1" t="str">
        <f t="shared" si="170"/>
        <v>اختتام</v>
      </c>
      <c r="AF675" s="1" t="str">
        <f>""</f>
        <v/>
      </c>
      <c r="AG675" s="1" t="str">
        <f>""</f>
        <v/>
      </c>
      <c r="AH675" s="1" t="str">
        <f>""</f>
        <v/>
      </c>
      <c r="AI675" s="1" t="str">
        <f>""</f>
        <v/>
      </c>
      <c r="AJ675" s="1" t="str">
        <f>""</f>
        <v/>
      </c>
      <c r="AK675" s="1" t="str">
        <f>""</f>
        <v/>
      </c>
    </row>
    <row r="676" spans="1:37" x14ac:dyDescent="0.2">
      <c r="A676" s="1">
        <v>300000</v>
      </c>
      <c r="B676" s="1">
        <v>951600003</v>
      </c>
      <c r="C676" s="1" t="str">
        <f>"تخليه -خراسان رضوي -پروژه احداث قطعه 4باند2محورتربت جام فريمان كارگاه شركت آرادان"</f>
        <v>تخليه -خراسان رضوي -پروژه احداث قطعه 4باند2محورتربت جام فريمان كارگاه شركت آرادان</v>
      </c>
      <c r="D676" s="1">
        <v>6050</v>
      </c>
      <c r="E676" s="1">
        <v>300000</v>
      </c>
      <c r="F676" s="1">
        <v>95</v>
      </c>
      <c r="G676" s="1">
        <v>0</v>
      </c>
      <c r="H676" s="1" t="str">
        <f>"95/03/24"</f>
        <v>95/03/24</v>
      </c>
      <c r="I676" s="1" t="str">
        <f t="shared" si="157"/>
        <v>كيلوگرم</v>
      </c>
      <c r="J676" s="1" t="str">
        <f t="shared" si="179"/>
        <v>0000000091</v>
      </c>
      <c r="K676" s="1" t="str">
        <f t="shared" si="180"/>
        <v>قير  PG64-22</v>
      </c>
      <c r="L676" s="1">
        <v>100</v>
      </c>
      <c r="M676" s="1" t="str">
        <f t="shared" si="164"/>
        <v>مخازن قير اصفهان</v>
      </c>
      <c r="N676" s="1">
        <v>8049</v>
      </c>
      <c r="O676" s="1">
        <v>50031022</v>
      </c>
      <c r="P676" s="1" t="str">
        <f>"  ساختماني آرادان"</f>
        <v xml:space="preserve">  ساختماني آرادان</v>
      </c>
      <c r="Q676" s="1">
        <v>16</v>
      </c>
      <c r="R676" s="1" t="str">
        <f>"فروش داخلي تهران - وزارت راه - معاونت اقتصاد"</f>
        <v>فروش داخلي تهران - وزارت راه - معاونت اقتصاد</v>
      </c>
      <c r="S676" s="1" t="str">
        <f t="shared" si="160"/>
        <v>قرارداد فروش</v>
      </c>
      <c r="T676" s="1" t="str">
        <f t="shared" si="161"/>
        <v>ندارد</v>
      </c>
      <c r="U676" s="1" t="str">
        <f>"فتاح زاده سيداحمد(3843011)"</f>
        <v>فتاح زاده سيداحمد(3843011)</v>
      </c>
      <c r="V676" s="1">
        <v>951600003</v>
      </c>
      <c r="W676" s="1">
        <v>951600003</v>
      </c>
      <c r="X676" s="1" t="str">
        <f>"1395409033"</f>
        <v>1395409033</v>
      </c>
      <c r="Y676" s="1" t="str">
        <f>"95/03/24"</f>
        <v>95/03/24</v>
      </c>
      <c r="Z676" s="1" t="str">
        <f>"11563/510"</f>
        <v>11563/510</v>
      </c>
      <c r="AA676" s="1" t="str">
        <f>"معاونت اقتصادوزارت راه وشهرسازي"</f>
        <v>معاونت اقتصادوزارت راه وشهرسازي</v>
      </c>
      <c r="AB676" s="1" t="str">
        <f>"95/03/22"</f>
        <v>95/03/22</v>
      </c>
      <c r="AC676" s="1" t="str">
        <f>"خراسان رضوي"</f>
        <v>خراسان رضوي</v>
      </c>
      <c r="AD676" s="1" t="str">
        <f>"95/03/24"</f>
        <v>95/03/24</v>
      </c>
      <c r="AE676" s="1" t="str">
        <f t="shared" si="170"/>
        <v>اختتام</v>
      </c>
      <c r="AF676" s="1" t="str">
        <f>""</f>
        <v/>
      </c>
      <c r="AG676" s="1" t="str">
        <f>""</f>
        <v/>
      </c>
      <c r="AH676" s="1" t="str">
        <f>""</f>
        <v/>
      </c>
      <c r="AI676" s="1" t="str">
        <f>""</f>
        <v/>
      </c>
      <c r="AJ676" s="1" t="str">
        <f>""</f>
        <v/>
      </c>
      <c r="AK676" s="1" t="str">
        <f>""</f>
        <v/>
      </c>
    </row>
    <row r="677" spans="1:37" x14ac:dyDescent="0.2">
      <c r="A677" s="1">
        <v>1500000</v>
      </c>
      <c r="B677" s="1">
        <v>951800148</v>
      </c>
      <c r="C677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677" s="1">
        <v>9068</v>
      </c>
      <c r="E677" s="1">
        <v>1500000</v>
      </c>
      <c r="F677" s="1">
        <v>95</v>
      </c>
      <c r="G677" s="1">
        <v>0</v>
      </c>
      <c r="H677" s="1" t="str">
        <f>"95/12/18"</f>
        <v>95/12/18</v>
      </c>
      <c r="I677" s="1" t="str">
        <f t="shared" si="157"/>
        <v>كيلوگرم</v>
      </c>
      <c r="J677" s="1" t="str">
        <f t="shared" si="179"/>
        <v>0000000091</v>
      </c>
      <c r="K677" s="1" t="str">
        <f t="shared" si="180"/>
        <v>قير  PG64-22</v>
      </c>
      <c r="L677" s="1">
        <v>100</v>
      </c>
      <c r="M677" s="1" t="str">
        <f t="shared" si="164"/>
        <v>مخازن قير اصفهان</v>
      </c>
      <c r="N677" s="1">
        <v>8072</v>
      </c>
      <c r="O677" s="1">
        <v>50034055</v>
      </c>
      <c r="P677" s="1" t="str">
        <f>"  بنادر"</f>
        <v xml:space="preserve">  بنادر</v>
      </c>
      <c r="Q677" s="1">
        <v>18</v>
      </c>
      <c r="R677" s="1" t="str">
        <f>"فروش داخلي تهران - وزارت راه - شرکت ساخت و توسعه راهها"</f>
        <v>فروش داخلي تهران - وزارت راه - شرکت ساخت و توسعه راهها</v>
      </c>
      <c r="S677" s="1" t="str">
        <f t="shared" si="160"/>
        <v>قرارداد فروش</v>
      </c>
      <c r="T677" s="1" t="str">
        <f t="shared" si="161"/>
        <v>ندارد</v>
      </c>
      <c r="U677" s="1" t="str">
        <f>"عزيزي صفر(1006ج 89)"</f>
        <v>عزيزي صفر(1006ج 89)</v>
      </c>
      <c r="V677" s="1">
        <v>951800148</v>
      </c>
      <c r="W677" s="1">
        <v>951800148</v>
      </c>
      <c r="X677" s="1" t="str">
        <f>"1395470073"</f>
        <v>1395470073</v>
      </c>
      <c r="Y677" s="1" t="str">
        <f>"95/12/18"</f>
        <v>95/12/18</v>
      </c>
      <c r="Z677" s="1" t="str">
        <f>"64641/710"</f>
        <v>64641/710</v>
      </c>
      <c r="AA677" s="1" t="str">
        <f>"شركت  ساخت وتوسعه راهها"</f>
        <v>شركت  ساخت وتوسعه راهها</v>
      </c>
      <c r="AB677" s="1" t="str">
        <f>"95/12/17"</f>
        <v>95/12/17</v>
      </c>
      <c r="AC677" s="1" t="str">
        <f>"استان كرمانشاه"</f>
        <v>استان كرمانشاه</v>
      </c>
      <c r="AD677" s="1" t="str">
        <f>"95/12/18"</f>
        <v>95/12/18</v>
      </c>
      <c r="AE677" s="1" t="str">
        <f t="shared" si="170"/>
        <v>اختتام</v>
      </c>
      <c r="AF677" s="1" t="str">
        <f>""</f>
        <v/>
      </c>
      <c r="AG677" s="1" t="str">
        <f>""</f>
        <v/>
      </c>
      <c r="AH677" s="1" t="str">
        <f>""</f>
        <v/>
      </c>
      <c r="AI677" s="1" t="str">
        <f>""</f>
        <v/>
      </c>
      <c r="AJ677" s="1" t="str">
        <f>""</f>
        <v/>
      </c>
      <c r="AK677" s="1" t="str">
        <f>""</f>
        <v/>
      </c>
    </row>
    <row r="678" spans="1:37" x14ac:dyDescent="0.2">
      <c r="A678" s="1">
        <v>500000</v>
      </c>
      <c r="B678" s="1">
        <v>951900044</v>
      </c>
      <c r="C678" s="1" t="str">
        <f>"تخليه -خراسان جنوبي -كيلومتر5جاده قائن -گناباد-مقابل ايست بازرسي قائن كارگاه دنارهساز"</f>
        <v>تخليه -خراسان جنوبي -كيلومتر5جاده قائن -گناباد-مقابل ايست بازرسي قائن كارگاه دنارهساز</v>
      </c>
      <c r="D678" s="1">
        <v>6250</v>
      </c>
      <c r="E678" s="1">
        <v>499440</v>
      </c>
      <c r="F678" s="1">
        <v>95</v>
      </c>
      <c r="G678" s="1">
        <v>560</v>
      </c>
      <c r="H678" s="1" t="str">
        <f>"95/04/21"</f>
        <v>95/04/21</v>
      </c>
      <c r="I678" s="1" t="str">
        <f t="shared" si="157"/>
        <v>كيلوگرم</v>
      </c>
      <c r="J678" s="1" t="str">
        <f t="shared" si="179"/>
        <v>0000000091</v>
      </c>
      <c r="K678" s="1" t="str">
        <f t="shared" si="180"/>
        <v>قير  PG64-22</v>
      </c>
      <c r="L678" s="1">
        <v>100</v>
      </c>
      <c r="M678" s="1" t="str">
        <f t="shared" si="164"/>
        <v>مخازن قير اصفهان</v>
      </c>
      <c r="N678" s="1">
        <v>8081</v>
      </c>
      <c r="O678" s="1">
        <v>50031262</v>
      </c>
      <c r="P678" s="1" t="str">
        <f>"  دنا رهساز"</f>
        <v xml:space="preserve">  دنا رهساز</v>
      </c>
      <c r="Q678" s="1">
        <v>19</v>
      </c>
      <c r="R6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78" s="1" t="str">
        <f t="shared" si="160"/>
        <v>قرارداد فروش</v>
      </c>
      <c r="T678" s="1" t="str">
        <f t="shared" si="161"/>
        <v>ندارد</v>
      </c>
      <c r="U678" s="1" t="str">
        <f>"حاج صادقي باقر(1841027)"</f>
        <v>حاج صادقي باقر(1841027)</v>
      </c>
      <c r="V678" s="1">
        <v>951900044</v>
      </c>
      <c r="W678" s="1">
        <v>951900044</v>
      </c>
      <c r="X678" s="1" t="str">
        <f>"1395414110"</f>
        <v>1395414110</v>
      </c>
      <c r="Y678" s="1" t="str">
        <f>"95/04/20"</f>
        <v>95/04/20</v>
      </c>
      <c r="Z678" s="1" t="str">
        <f>"15990/510"</f>
        <v>15990/510</v>
      </c>
      <c r="AA678" s="1" t="str">
        <f>"سازمان راهداري وحمل نقل جاده اي"</f>
        <v>سازمان راهداري وحمل نقل جاده اي</v>
      </c>
      <c r="AB678" s="1" t="str">
        <f>"95/04/14"</f>
        <v>95/04/14</v>
      </c>
      <c r="AC678" s="1" t="str">
        <f>"خراسان جنوبي"</f>
        <v>خراسان جنوبي</v>
      </c>
      <c r="AD678" s="1" t="str">
        <f>"95/04/19"</f>
        <v>95/04/19</v>
      </c>
      <c r="AE678" s="1" t="str">
        <f t="shared" si="170"/>
        <v>اختتام</v>
      </c>
      <c r="AF678" s="1" t="str">
        <f>""</f>
        <v/>
      </c>
      <c r="AG678" s="1" t="str">
        <f>""</f>
        <v/>
      </c>
      <c r="AH678" s="1" t="str">
        <f>""</f>
        <v/>
      </c>
      <c r="AI678" s="1" t="str">
        <f>""</f>
        <v/>
      </c>
      <c r="AJ678" s="1" t="str">
        <f>""</f>
        <v/>
      </c>
      <c r="AK678" s="1" t="str">
        <f>""</f>
        <v/>
      </c>
    </row>
    <row r="679" spans="1:37" x14ac:dyDescent="0.2">
      <c r="A679" s="1">
        <v>583000</v>
      </c>
      <c r="B679" s="1">
        <v>951700013</v>
      </c>
      <c r="C679" s="1" t="str">
        <f>"تخليه -خراسان رضوي -كيلومتر15محورگناباد-فردوس -كارخانه آسفالت كيهان راه شرق"</f>
        <v>تخليه -خراسان رضوي -كيلومتر15محورگناباد-فردوس -كارخانه آسفالت كيهان راه شرق</v>
      </c>
      <c r="D679" s="1">
        <v>5650</v>
      </c>
      <c r="E679" s="1">
        <v>579920</v>
      </c>
      <c r="F679" s="1">
        <v>95</v>
      </c>
      <c r="G679" s="1">
        <v>3080</v>
      </c>
      <c r="H679" s="1" t="str">
        <f>"95/02/15"</f>
        <v>95/02/15</v>
      </c>
      <c r="I679" s="1" t="str">
        <f t="shared" si="157"/>
        <v>كيلوگرم</v>
      </c>
      <c r="J679" s="1" t="str">
        <f t="shared" si="179"/>
        <v>0000000091</v>
      </c>
      <c r="K679" s="1" t="str">
        <f t="shared" si="180"/>
        <v>قير  PG64-22</v>
      </c>
      <c r="L679" s="1">
        <v>100</v>
      </c>
      <c r="M679" s="1" t="str">
        <f t="shared" si="164"/>
        <v>مخازن قير اصفهان</v>
      </c>
      <c r="N679" s="1">
        <v>4026</v>
      </c>
      <c r="O679" s="1">
        <v>50030758</v>
      </c>
      <c r="P679" s="1" t="str">
        <f t="shared" ref="P679:P689" si="181">"  اداره كل راه و شهرسازي خراسان رضوي"</f>
        <v xml:space="preserve">  اداره كل راه و شهرسازي خراسان رضوي</v>
      </c>
      <c r="Q679" s="1">
        <v>17</v>
      </c>
      <c r="R679" s="1" t="str">
        <f t="shared" ref="R679:R689" si="182">"فروش داخلي تهران - وزارت راه - راه روستايي - روکش"</f>
        <v>فروش داخلي تهران - وزارت راه - راه روستايي - روکش</v>
      </c>
      <c r="S679" s="1" t="str">
        <f t="shared" si="160"/>
        <v>قرارداد فروش</v>
      </c>
      <c r="T679" s="1" t="str">
        <f t="shared" si="161"/>
        <v>ندارد</v>
      </c>
      <c r="U679" s="1" t="str">
        <f>"بابامحمدي عنايت اله(4844000)"</f>
        <v>بابامحمدي عنايت اله(4844000)</v>
      </c>
      <c r="V679" s="1">
        <v>951700013</v>
      </c>
      <c r="W679" s="1">
        <v>951700013</v>
      </c>
      <c r="X679" s="1" t="str">
        <f>"1395401990"</f>
        <v>1395401990</v>
      </c>
      <c r="Y679" s="1" t="str">
        <f>"95/02/15"</f>
        <v>95/02/15</v>
      </c>
      <c r="Z679" s="1" t="str">
        <f>"68731/510"</f>
        <v>68731/510</v>
      </c>
      <c r="AA679" s="1" t="str">
        <f t="shared" ref="AA679:AA689" si="183">"راه روستائي -روكش"</f>
        <v>راه روستائي -روكش</v>
      </c>
      <c r="AB679" s="1" t="str">
        <f>"94/12/16"</f>
        <v>94/12/16</v>
      </c>
      <c r="AC679" s="1" t="str">
        <f t="shared" ref="AC679:AC689" si="184">"خراسان رضوي"</f>
        <v>خراسان رضوي</v>
      </c>
      <c r="AD679" s="1" t="str">
        <f>"95/02/11"</f>
        <v>95/02/11</v>
      </c>
      <c r="AE679" s="1" t="str">
        <f t="shared" si="170"/>
        <v>اختتام</v>
      </c>
      <c r="AF679" s="1" t="str">
        <f>""</f>
        <v/>
      </c>
      <c r="AG679" s="1" t="str">
        <f>""</f>
        <v/>
      </c>
      <c r="AH679" s="1" t="str">
        <f>""</f>
        <v/>
      </c>
      <c r="AI679" s="1" t="str">
        <f>""</f>
        <v/>
      </c>
      <c r="AJ679" s="1" t="str">
        <f>""</f>
        <v/>
      </c>
      <c r="AK679" s="1" t="str">
        <f>""</f>
        <v/>
      </c>
    </row>
    <row r="680" spans="1:37" x14ac:dyDescent="0.2">
      <c r="A680" s="1">
        <v>595000</v>
      </c>
      <c r="B680" s="1">
        <v>951700078</v>
      </c>
      <c r="C680" s="1" t="str">
        <f>"تخليه -خراسان رضوي كيلومتر2محورروستايي براكوه كارخانه آسفالت شركت نيكچه"</f>
        <v>تخليه -خراسان رضوي كيلومتر2محورروستايي براكوه كارخانه آسفالت شركت نيكچه</v>
      </c>
      <c r="D680" s="1">
        <v>6250</v>
      </c>
      <c r="E680" s="1">
        <v>595000</v>
      </c>
      <c r="F680" s="1">
        <v>95</v>
      </c>
      <c r="G680" s="1">
        <v>0</v>
      </c>
      <c r="H680" s="1" t="str">
        <f>"95/04/08"</f>
        <v>95/04/08</v>
      </c>
      <c r="I680" s="1" t="str">
        <f t="shared" si="157"/>
        <v>كيلوگرم</v>
      </c>
      <c r="J680" s="1" t="str">
        <f t="shared" si="179"/>
        <v>0000000091</v>
      </c>
      <c r="K680" s="1" t="str">
        <f t="shared" si="180"/>
        <v>قير  PG64-22</v>
      </c>
      <c r="L680" s="1">
        <v>100</v>
      </c>
      <c r="M680" s="1" t="str">
        <f t="shared" si="164"/>
        <v>مخازن قير اصفهان</v>
      </c>
      <c r="N680" s="1">
        <v>4026</v>
      </c>
      <c r="O680" s="1">
        <v>50031159</v>
      </c>
      <c r="P680" s="1" t="str">
        <f t="shared" si="181"/>
        <v xml:space="preserve">  اداره كل راه و شهرسازي خراسان رضوي</v>
      </c>
      <c r="Q680" s="1">
        <v>17</v>
      </c>
      <c r="R680" s="1" t="str">
        <f t="shared" si="182"/>
        <v>فروش داخلي تهران - وزارت راه - راه روستايي - روکش</v>
      </c>
      <c r="S680" s="1" t="str">
        <f t="shared" si="160"/>
        <v>قرارداد فروش</v>
      </c>
      <c r="T680" s="1" t="str">
        <f t="shared" si="161"/>
        <v>ندارد</v>
      </c>
      <c r="U680" s="1" t="str">
        <f>"نظام دوست امين (1911102)"</f>
        <v>نظام دوست امين (1911102)</v>
      </c>
      <c r="V680" s="1">
        <v>951700078</v>
      </c>
      <c r="W680" s="1">
        <v>951700078</v>
      </c>
      <c r="X680" s="1" t="str">
        <f>"1395411402"</f>
        <v>1395411402</v>
      </c>
      <c r="Y680" s="1" t="str">
        <f>"95/04/08"</f>
        <v>95/04/08</v>
      </c>
      <c r="Z680" s="1" t="str">
        <f>"13817/510"</f>
        <v>13817/510</v>
      </c>
      <c r="AA680" s="1" t="str">
        <f t="shared" si="183"/>
        <v>راه روستائي -روكش</v>
      </c>
      <c r="AB680" s="1" t="str">
        <f>"95/04/01"</f>
        <v>95/04/01</v>
      </c>
      <c r="AC680" s="1" t="str">
        <f t="shared" si="184"/>
        <v>خراسان رضوي</v>
      </c>
      <c r="AD680" s="1" t="str">
        <f>"95/04/06"</f>
        <v>95/04/06</v>
      </c>
      <c r="AE680" s="1" t="str">
        <f t="shared" si="170"/>
        <v>اختتام</v>
      </c>
      <c r="AF680" s="1" t="str">
        <f>""</f>
        <v/>
      </c>
      <c r="AG680" s="1" t="str">
        <f>""</f>
        <v/>
      </c>
      <c r="AH680" s="1" t="str">
        <f>""</f>
        <v/>
      </c>
      <c r="AI680" s="1" t="str">
        <f>""</f>
        <v/>
      </c>
      <c r="AJ680" s="1" t="str">
        <f>""</f>
        <v/>
      </c>
      <c r="AK680" s="1" t="str">
        <f>""</f>
        <v/>
      </c>
    </row>
    <row r="681" spans="1:37" x14ac:dyDescent="0.2">
      <c r="A681" s="1">
        <v>51000</v>
      </c>
      <c r="B681" s="1">
        <v>951700082</v>
      </c>
      <c r="C681" s="1" t="str">
        <f>"تخليه -خراسان رضوي -كيلومتر25جاده سبزوارشاهرود-كارخانه آسفالت شركت رعدراه بيهق"</f>
        <v>تخليه -خراسان رضوي -كيلومتر25جاده سبزوارشاهرود-كارخانه آسفالت شركت رعدراه بيهق</v>
      </c>
      <c r="D681" s="1">
        <v>6250</v>
      </c>
      <c r="E681" s="1">
        <v>50400</v>
      </c>
      <c r="F681" s="1">
        <v>95</v>
      </c>
      <c r="G681" s="1">
        <v>600</v>
      </c>
      <c r="H681" s="1" t="str">
        <f>"95/04/19"</f>
        <v>95/04/19</v>
      </c>
      <c r="I681" s="1" t="str">
        <f t="shared" si="157"/>
        <v>كيلوگرم</v>
      </c>
      <c r="J681" s="1" t="str">
        <f t="shared" si="179"/>
        <v>0000000091</v>
      </c>
      <c r="K681" s="1" t="str">
        <f t="shared" si="180"/>
        <v>قير  PG64-22</v>
      </c>
      <c r="L681" s="1">
        <v>100</v>
      </c>
      <c r="M681" s="1" t="str">
        <f t="shared" si="164"/>
        <v>مخازن قير اصفهان</v>
      </c>
      <c r="N681" s="1">
        <v>4026</v>
      </c>
      <c r="O681" s="1">
        <v>50031218</v>
      </c>
      <c r="P681" s="1" t="str">
        <f t="shared" si="181"/>
        <v xml:space="preserve">  اداره كل راه و شهرسازي خراسان رضوي</v>
      </c>
      <c r="Q681" s="1">
        <v>17</v>
      </c>
      <c r="R681" s="1" t="str">
        <f t="shared" si="182"/>
        <v>فروش داخلي تهران - وزارت راه - راه روستايي - روکش</v>
      </c>
      <c r="S681" s="1" t="str">
        <f t="shared" si="160"/>
        <v>قرارداد فروش</v>
      </c>
      <c r="T681" s="1" t="str">
        <f t="shared" si="161"/>
        <v>ندارد</v>
      </c>
      <c r="U681" s="1" t="str">
        <f>"حسيني سيدجواد(1841076)"</f>
        <v>حسيني سيدجواد(1841076)</v>
      </c>
      <c r="V681" s="1">
        <v>951700082</v>
      </c>
      <c r="W681" s="1">
        <v>951700082</v>
      </c>
      <c r="X681" s="1" t="str">
        <f>"1394389479"</f>
        <v>1394389479</v>
      </c>
      <c r="Y681" s="1" t="str">
        <f>"95/04/19"</f>
        <v>95/04/19</v>
      </c>
      <c r="Z681" s="1" t="str">
        <f>"60395/510"</f>
        <v>60395/510</v>
      </c>
      <c r="AA681" s="1" t="str">
        <f t="shared" si="183"/>
        <v>راه روستائي -روكش</v>
      </c>
      <c r="AB681" s="1" t="str">
        <f>"94/11/03"</f>
        <v>94/11/03</v>
      </c>
      <c r="AC681" s="1" t="str">
        <f t="shared" si="184"/>
        <v>خراسان رضوي</v>
      </c>
      <c r="AD681" s="1" t="str">
        <f>"94/11/06"</f>
        <v>94/11/06</v>
      </c>
      <c r="AE681" s="1" t="str">
        <f t="shared" si="170"/>
        <v>اختتام</v>
      </c>
      <c r="AF681" s="1" t="str">
        <f>""</f>
        <v/>
      </c>
      <c r="AG681" s="1" t="str">
        <f>""</f>
        <v/>
      </c>
      <c r="AH681" s="1" t="str">
        <f>""</f>
        <v/>
      </c>
      <c r="AI681" s="1" t="str">
        <f>""</f>
        <v/>
      </c>
      <c r="AJ681" s="1" t="str">
        <f>""</f>
        <v/>
      </c>
      <c r="AK681" s="1" t="str">
        <f>""</f>
        <v/>
      </c>
    </row>
    <row r="682" spans="1:37" x14ac:dyDescent="0.2">
      <c r="A682" s="1">
        <v>581160</v>
      </c>
      <c r="B682" s="1">
        <v>951700090</v>
      </c>
      <c r="C682" s="1" t="str">
        <f>"تخليه -خراسان رضوي محورفيروزه عبداله كيلومتر11شركت دل حفره"</f>
        <v>تخليه -خراسان رضوي محورفيروزه عبداله كيلومتر11شركت دل حفره</v>
      </c>
      <c r="D682" s="1">
        <v>6250</v>
      </c>
      <c r="E682" s="1">
        <v>581160</v>
      </c>
      <c r="F682" s="1">
        <v>95</v>
      </c>
      <c r="G682" s="1">
        <v>0</v>
      </c>
      <c r="H682" s="1" t="str">
        <f>"95/04/19"</f>
        <v>95/04/19</v>
      </c>
      <c r="I682" s="1" t="str">
        <f t="shared" si="157"/>
        <v>كيلوگرم</v>
      </c>
      <c r="J682" s="1" t="str">
        <f t="shared" si="179"/>
        <v>0000000091</v>
      </c>
      <c r="K682" s="1" t="str">
        <f t="shared" si="180"/>
        <v>قير  PG64-22</v>
      </c>
      <c r="L682" s="1">
        <v>100</v>
      </c>
      <c r="M682" s="1" t="str">
        <f t="shared" si="164"/>
        <v>مخازن قير اصفهان</v>
      </c>
      <c r="N682" s="1">
        <v>4026</v>
      </c>
      <c r="O682" s="1">
        <v>50031229</v>
      </c>
      <c r="P682" s="1" t="str">
        <f t="shared" si="181"/>
        <v xml:space="preserve">  اداره كل راه و شهرسازي خراسان رضوي</v>
      </c>
      <c r="Q682" s="1">
        <v>17</v>
      </c>
      <c r="R682" s="1" t="str">
        <f t="shared" si="182"/>
        <v>فروش داخلي تهران - وزارت راه - راه روستايي - روکش</v>
      </c>
      <c r="S682" s="1" t="str">
        <f t="shared" si="160"/>
        <v>قرارداد فروش</v>
      </c>
      <c r="T682" s="1" t="str">
        <f t="shared" si="161"/>
        <v>ندارد</v>
      </c>
      <c r="U682" s="1" t="str">
        <f>"حسيني سيدجواد(1841076)"</f>
        <v>حسيني سيدجواد(1841076)</v>
      </c>
      <c r="V682" s="1">
        <v>951700090</v>
      </c>
      <c r="W682" s="1">
        <v>951700090</v>
      </c>
      <c r="X682" s="1" t="str">
        <f>"1394391512"</f>
        <v>1394391512</v>
      </c>
      <c r="Y682" s="1" t="str">
        <f>"95/04/19"</f>
        <v>95/04/19</v>
      </c>
      <c r="Z682" s="1" t="str">
        <f>"63438/510"</f>
        <v>63438/510</v>
      </c>
      <c r="AA682" s="1" t="str">
        <f t="shared" si="183"/>
        <v>راه روستائي -روكش</v>
      </c>
      <c r="AB682" s="1" t="str">
        <f>"94/11/17"</f>
        <v>94/11/17</v>
      </c>
      <c r="AC682" s="1" t="str">
        <f t="shared" si="184"/>
        <v>خراسان رضوي</v>
      </c>
      <c r="AD682" s="1" t="str">
        <f>"94/11/19"</f>
        <v>94/11/19</v>
      </c>
      <c r="AE682" s="1" t="str">
        <f t="shared" si="170"/>
        <v>اختتام</v>
      </c>
      <c r="AF682" s="1" t="str">
        <f>""</f>
        <v/>
      </c>
      <c r="AG682" s="1" t="str">
        <f>""</f>
        <v/>
      </c>
      <c r="AH682" s="1" t="str">
        <f>""</f>
        <v/>
      </c>
      <c r="AI682" s="1" t="str">
        <f>""</f>
        <v/>
      </c>
      <c r="AJ682" s="1" t="str">
        <f>""</f>
        <v/>
      </c>
      <c r="AK682" s="1" t="str">
        <f>""</f>
        <v/>
      </c>
    </row>
    <row r="683" spans="1:37" x14ac:dyDescent="0.2">
      <c r="A683" s="1">
        <v>33000</v>
      </c>
      <c r="B683" s="1">
        <v>951700125</v>
      </c>
      <c r="C683" s="1" t="str">
        <f>"تخليه -خراسان رضوي -تايباد-كارخانه آسفالت استحكام انديش"</f>
        <v>تخليه -خراسان رضوي -تايباد-كارخانه آسفالت استحكام انديش</v>
      </c>
      <c r="D683" s="1">
        <v>6726</v>
      </c>
      <c r="E683" s="1">
        <v>31700</v>
      </c>
      <c r="F683" s="1">
        <v>95</v>
      </c>
      <c r="G683" s="1">
        <v>1300</v>
      </c>
      <c r="H683" s="1" t="str">
        <f>"95/05/06"</f>
        <v>95/05/06</v>
      </c>
      <c r="I683" s="1" t="str">
        <f t="shared" si="157"/>
        <v>كيلوگرم</v>
      </c>
      <c r="J683" s="1" t="str">
        <f t="shared" si="179"/>
        <v>0000000091</v>
      </c>
      <c r="K683" s="1" t="str">
        <f t="shared" si="180"/>
        <v>قير  PG64-22</v>
      </c>
      <c r="L683" s="1">
        <v>100</v>
      </c>
      <c r="M683" s="1" t="str">
        <f t="shared" si="164"/>
        <v>مخازن قير اصفهان</v>
      </c>
      <c r="N683" s="1">
        <v>4026</v>
      </c>
      <c r="O683" s="1">
        <v>50031383</v>
      </c>
      <c r="P683" s="1" t="str">
        <f t="shared" si="181"/>
        <v xml:space="preserve">  اداره كل راه و شهرسازي خراسان رضوي</v>
      </c>
      <c r="Q683" s="1">
        <v>17</v>
      </c>
      <c r="R683" s="1" t="str">
        <f t="shared" si="182"/>
        <v>فروش داخلي تهران - وزارت راه - راه روستايي - روکش</v>
      </c>
      <c r="S683" s="1" t="str">
        <f t="shared" si="160"/>
        <v>قرارداد فروش</v>
      </c>
      <c r="T683" s="1" t="str">
        <f t="shared" si="161"/>
        <v>ندارد</v>
      </c>
      <c r="U683" s="1" t="str">
        <f>"حسيني حسن(1841075)"</f>
        <v>حسيني حسن(1841075)</v>
      </c>
      <c r="V683" s="1">
        <v>951700125</v>
      </c>
      <c r="W683" s="1">
        <v>951700125</v>
      </c>
      <c r="X683" s="1" t="str">
        <f>"1395418062"</f>
        <v>1395418062</v>
      </c>
      <c r="Y683" s="1" t="str">
        <f>"95/05/06"</f>
        <v>95/05/06</v>
      </c>
      <c r="Z683" s="1" t="str">
        <f>"18189/510"</f>
        <v>18189/510</v>
      </c>
      <c r="AA683" s="1" t="str">
        <f t="shared" si="183"/>
        <v>راه روستائي -روكش</v>
      </c>
      <c r="AB683" s="1" t="str">
        <f>"95/04/27"</f>
        <v>95/04/27</v>
      </c>
      <c r="AC683" s="1" t="str">
        <f t="shared" si="184"/>
        <v>خراسان رضوي</v>
      </c>
      <c r="AD683" s="1" t="str">
        <f>"95/05/05"</f>
        <v>95/05/05</v>
      </c>
      <c r="AE683" s="1" t="str">
        <f t="shared" si="170"/>
        <v>اختتام</v>
      </c>
      <c r="AF683" s="1" t="str">
        <f>""</f>
        <v/>
      </c>
      <c r="AG683" s="1" t="str">
        <f>""</f>
        <v/>
      </c>
      <c r="AH683" s="1" t="str">
        <f>""</f>
        <v/>
      </c>
      <c r="AI683" s="1" t="str">
        <f>""</f>
        <v/>
      </c>
      <c r="AJ683" s="1" t="str">
        <f>""</f>
        <v/>
      </c>
      <c r="AK683" s="1" t="str">
        <f>""</f>
        <v/>
      </c>
    </row>
    <row r="684" spans="1:37" x14ac:dyDescent="0.2">
      <c r="A684" s="1">
        <v>35000</v>
      </c>
      <c r="B684" s="1">
        <v>951700152</v>
      </c>
      <c r="C684" s="1" t="str">
        <f>"تخليه - خراسان رضوي- محور مشهد فريمان-مخازن قير راه و شهرسازي فريمان"</f>
        <v>تخليه - خراسان رضوي- محور مشهد فريمان-مخازن قير راه و شهرسازي فريمان</v>
      </c>
      <c r="D684" s="1">
        <v>6726</v>
      </c>
      <c r="E684" s="1">
        <v>22300</v>
      </c>
      <c r="F684" s="1">
        <v>95</v>
      </c>
      <c r="G684" s="1">
        <v>12700</v>
      </c>
      <c r="H684" s="1" t="str">
        <f>"95/05/23"</f>
        <v>95/05/23</v>
      </c>
      <c r="I684" s="1" t="str">
        <f t="shared" si="157"/>
        <v>كيلوگرم</v>
      </c>
      <c r="J684" s="1" t="str">
        <f t="shared" si="179"/>
        <v>0000000091</v>
      </c>
      <c r="K684" s="1" t="str">
        <f t="shared" si="180"/>
        <v>قير  PG64-22</v>
      </c>
      <c r="L684" s="1">
        <v>100</v>
      </c>
      <c r="M684" s="1" t="str">
        <f t="shared" si="164"/>
        <v>مخازن قير اصفهان</v>
      </c>
      <c r="N684" s="1">
        <v>4026</v>
      </c>
      <c r="O684" s="1">
        <v>50031497</v>
      </c>
      <c r="P684" s="1" t="str">
        <f t="shared" si="181"/>
        <v xml:space="preserve">  اداره كل راه و شهرسازي خراسان رضوي</v>
      </c>
      <c r="Q684" s="1">
        <v>17</v>
      </c>
      <c r="R684" s="1" t="str">
        <f t="shared" si="182"/>
        <v>فروش داخلي تهران - وزارت راه - راه روستايي - روکش</v>
      </c>
      <c r="S684" s="1" t="str">
        <f t="shared" si="160"/>
        <v>قرارداد فروش</v>
      </c>
      <c r="T684" s="1" t="str">
        <f t="shared" si="161"/>
        <v>ندارد</v>
      </c>
      <c r="U684" s="1" t="str">
        <f>"حسيني سيدجواد(1841076)"</f>
        <v>حسيني سيدجواد(1841076)</v>
      </c>
      <c r="V684" s="1">
        <v>951700152</v>
      </c>
      <c r="W684" s="1">
        <v>951700152</v>
      </c>
      <c r="X684" s="1" t="str">
        <f>"1395421989"</f>
        <v>1395421989</v>
      </c>
      <c r="Y684" s="1" t="str">
        <f>"95/05/23"</f>
        <v>95/05/23</v>
      </c>
      <c r="Z684" s="1" t="str">
        <f>"21431/510"</f>
        <v>21431/510</v>
      </c>
      <c r="AA684" s="1" t="str">
        <f t="shared" si="183"/>
        <v>راه روستائي -روكش</v>
      </c>
      <c r="AB684" s="1" t="str">
        <f>"95/05/13"</f>
        <v>95/05/13</v>
      </c>
      <c r="AC684" s="1" t="str">
        <f t="shared" si="184"/>
        <v>خراسان رضوي</v>
      </c>
      <c r="AD684" s="1" t="str">
        <f>"95/05/18"</f>
        <v>95/05/18</v>
      </c>
      <c r="AE684" s="1" t="str">
        <f t="shared" si="170"/>
        <v>اختتام</v>
      </c>
      <c r="AF684" s="1" t="str">
        <f>""</f>
        <v/>
      </c>
      <c r="AG684" s="1" t="str">
        <f>""</f>
        <v/>
      </c>
      <c r="AH684" s="1" t="str">
        <f>""</f>
        <v/>
      </c>
      <c r="AI684" s="1" t="str">
        <f>""</f>
        <v/>
      </c>
      <c r="AJ684" s="1" t="str">
        <f>""</f>
        <v/>
      </c>
      <c r="AK684" s="1" t="str">
        <f>""</f>
        <v/>
      </c>
    </row>
    <row r="685" spans="1:37" x14ac:dyDescent="0.2">
      <c r="A685" s="1">
        <v>910000</v>
      </c>
      <c r="B685" s="1">
        <v>951700178</v>
      </c>
      <c r="C685" s="1" t="str">
        <f>"تخليه -خراسان رضوي محورفيروزه عبداله كيلومتر11شركت دل حفره"</f>
        <v>تخليه -خراسان رضوي محورفيروزه عبداله كيلومتر11شركت دل حفره</v>
      </c>
      <c r="D685" s="1">
        <v>7176</v>
      </c>
      <c r="E685" s="1">
        <v>910000</v>
      </c>
      <c r="F685" s="1">
        <v>95</v>
      </c>
      <c r="G685" s="1">
        <v>0</v>
      </c>
      <c r="H685" s="1" t="str">
        <f>"95/06/06"</f>
        <v>95/06/06</v>
      </c>
      <c r="I685" s="1" t="str">
        <f t="shared" si="157"/>
        <v>كيلوگرم</v>
      </c>
      <c r="J685" s="1" t="str">
        <f t="shared" si="179"/>
        <v>0000000091</v>
      </c>
      <c r="K685" s="1" t="str">
        <f t="shared" si="180"/>
        <v>قير  PG64-22</v>
      </c>
      <c r="L685" s="1">
        <v>100</v>
      </c>
      <c r="M685" s="1" t="str">
        <f t="shared" si="164"/>
        <v>مخازن قير اصفهان</v>
      </c>
      <c r="N685" s="1">
        <v>4026</v>
      </c>
      <c r="O685" s="1">
        <v>50031661</v>
      </c>
      <c r="P685" s="1" t="str">
        <f t="shared" si="181"/>
        <v xml:space="preserve">  اداره كل راه و شهرسازي خراسان رضوي</v>
      </c>
      <c r="Q685" s="1">
        <v>17</v>
      </c>
      <c r="R685" s="1" t="str">
        <f t="shared" si="182"/>
        <v>فروش داخلي تهران - وزارت راه - راه روستايي - روکش</v>
      </c>
      <c r="S685" s="1" t="str">
        <f t="shared" si="160"/>
        <v>قرارداد فروش</v>
      </c>
      <c r="T685" s="1" t="str">
        <f t="shared" si="161"/>
        <v>ندارد</v>
      </c>
      <c r="U685" s="1" t="str">
        <f>"حسيني سيدجواد(1841076)"</f>
        <v>حسيني سيدجواد(1841076)</v>
      </c>
      <c r="V685" s="1">
        <v>951700178</v>
      </c>
      <c r="W685" s="1">
        <v>951700178</v>
      </c>
      <c r="X685" s="1" t="str">
        <f>"1395426941"</f>
        <v>1395426941</v>
      </c>
      <c r="Y685" s="1" t="str">
        <f>"95/06/06"</f>
        <v>95/06/06</v>
      </c>
      <c r="Z685" s="1" t="str">
        <f>"23823/510"</f>
        <v>23823/510</v>
      </c>
      <c r="AA685" s="1" t="str">
        <f t="shared" si="183"/>
        <v>راه روستائي -روكش</v>
      </c>
      <c r="AB685" s="1" t="str">
        <f>"95/05/26"</f>
        <v>95/05/26</v>
      </c>
      <c r="AC685" s="1" t="str">
        <f t="shared" si="184"/>
        <v>خراسان رضوي</v>
      </c>
      <c r="AD685" s="1" t="str">
        <f>"95/06/06"</f>
        <v>95/06/06</v>
      </c>
      <c r="AE685" s="1" t="str">
        <f t="shared" si="170"/>
        <v>اختتام</v>
      </c>
      <c r="AF685" s="1" t="str">
        <f>""</f>
        <v/>
      </c>
      <c r="AG685" s="1" t="str">
        <f>""</f>
        <v/>
      </c>
      <c r="AH685" s="1" t="str">
        <f>""</f>
        <v/>
      </c>
      <c r="AI685" s="1" t="str">
        <f>""</f>
        <v/>
      </c>
      <c r="AJ685" s="1" t="str">
        <f>""</f>
        <v/>
      </c>
      <c r="AK685" s="1" t="str">
        <f>""</f>
        <v/>
      </c>
    </row>
    <row r="686" spans="1:37" x14ac:dyDescent="0.2">
      <c r="A686" s="1">
        <v>150000</v>
      </c>
      <c r="B686" s="1">
        <v>951700190</v>
      </c>
      <c r="C686" s="1" t="str">
        <f>"تخليه - خراسان رضوي - مشهد- جاده کلات شرکت پالايش قير زرين"</f>
        <v>تخليه - خراسان رضوي - مشهد- جاده کلات شرکت پالايش قير زرين</v>
      </c>
      <c r="D686" s="1">
        <v>7176</v>
      </c>
      <c r="E686" s="1">
        <v>150000</v>
      </c>
      <c r="F686" s="1">
        <v>95</v>
      </c>
      <c r="G686" s="1">
        <v>0</v>
      </c>
      <c r="H686" s="1" t="str">
        <f>"95/06/07"</f>
        <v>95/06/07</v>
      </c>
      <c r="I686" s="1" t="str">
        <f t="shared" si="157"/>
        <v>كيلوگرم</v>
      </c>
      <c r="J686" s="1" t="str">
        <f t="shared" si="179"/>
        <v>0000000091</v>
      </c>
      <c r="K686" s="1" t="str">
        <f t="shared" si="180"/>
        <v>قير  PG64-22</v>
      </c>
      <c r="L686" s="1">
        <v>100</v>
      </c>
      <c r="M686" s="1" t="str">
        <f t="shared" si="164"/>
        <v>مخازن قير اصفهان</v>
      </c>
      <c r="N686" s="1">
        <v>4026</v>
      </c>
      <c r="O686" s="1">
        <v>50031683</v>
      </c>
      <c r="P686" s="1" t="str">
        <f t="shared" si="181"/>
        <v xml:space="preserve">  اداره كل راه و شهرسازي خراسان رضوي</v>
      </c>
      <c r="Q686" s="1">
        <v>17</v>
      </c>
      <c r="R686" s="1" t="str">
        <f t="shared" si="182"/>
        <v>فروش داخلي تهران - وزارت راه - راه روستايي - روکش</v>
      </c>
      <c r="S686" s="1" t="str">
        <f t="shared" si="160"/>
        <v>قرارداد فروش</v>
      </c>
      <c r="T686" s="1" t="str">
        <f t="shared" si="161"/>
        <v>ندارد</v>
      </c>
      <c r="U686" s="1" t="str">
        <f>"قره باغي مجيد(1871065)"</f>
        <v>قره باغي مجيد(1871065)</v>
      </c>
      <c r="V686" s="1">
        <v>951700190</v>
      </c>
      <c r="W686" s="1">
        <v>951700190</v>
      </c>
      <c r="X686" s="1" t="str">
        <f>"1395426941"</f>
        <v>1395426941</v>
      </c>
      <c r="Y686" s="1" t="str">
        <f>"95/06/07"</f>
        <v>95/06/07</v>
      </c>
      <c r="Z686" s="1" t="str">
        <f>"25075/510"</f>
        <v>25075/510</v>
      </c>
      <c r="AA686" s="1" t="str">
        <f t="shared" si="183"/>
        <v>راه روستائي -روكش</v>
      </c>
      <c r="AB686" s="1" t="str">
        <f>"95/05/31"</f>
        <v>95/05/31</v>
      </c>
      <c r="AC686" s="1" t="str">
        <f t="shared" si="184"/>
        <v>خراسان رضوي</v>
      </c>
      <c r="AD686" s="1" t="str">
        <f>"95/06/06"</f>
        <v>95/06/06</v>
      </c>
      <c r="AE686" s="1" t="str">
        <f t="shared" si="170"/>
        <v>اختتام</v>
      </c>
      <c r="AF686" s="1" t="str">
        <f>""</f>
        <v/>
      </c>
      <c r="AG686" s="1" t="str">
        <f>""</f>
        <v/>
      </c>
      <c r="AH686" s="1" t="str">
        <f>""</f>
        <v/>
      </c>
      <c r="AI686" s="1" t="str">
        <f>""</f>
        <v/>
      </c>
      <c r="AJ686" s="1" t="str">
        <f>""</f>
        <v/>
      </c>
      <c r="AK686" s="1" t="str">
        <f>""</f>
        <v/>
      </c>
    </row>
    <row r="687" spans="1:37" x14ac:dyDescent="0.2">
      <c r="A687" s="1">
        <v>77000</v>
      </c>
      <c r="B687" s="1">
        <v>951700193</v>
      </c>
      <c r="C687" s="1" t="str">
        <f>"تخليه -خراسان رضوي -بردسكن -كارخانه آسفالت زيست اسكان توس"</f>
        <v>تخليه -خراسان رضوي -بردسكن -كارخانه آسفالت زيست اسكان توس</v>
      </c>
      <c r="D687" s="1">
        <v>7176</v>
      </c>
      <c r="E687" s="1">
        <v>77000</v>
      </c>
      <c r="F687" s="1">
        <v>95</v>
      </c>
      <c r="G687" s="1">
        <v>0</v>
      </c>
      <c r="H687" s="1" t="str">
        <f>"95/06/07"</f>
        <v>95/06/07</v>
      </c>
      <c r="I687" s="1" t="str">
        <f t="shared" si="157"/>
        <v>كيلوگرم</v>
      </c>
      <c r="J687" s="1" t="str">
        <f t="shared" si="179"/>
        <v>0000000091</v>
      </c>
      <c r="K687" s="1" t="str">
        <f t="shared" si="180"/>
        <v>قير  PG64-22</v>
      </c>
      <c r="L687" s="1">
        <v>100</v>
      </c>
      <c r="M687" s="1" t="str">
        <f t="shared" si="164"/>
        <v>مخازن قير اصفهان</v>
      </c>
      <c r="N687" s="1">
        <v>4026</v>
      </c>
      <c r="O687" s="1">
        <v>50031688</v>
      </c>
      <c r="P687" s="1" t="str">
        <f t="shared" si="181"/>
        <v xml:space="preserve">  اداره كل راه و شهرسازي خراسان رضوي</v>
      </c>
      <c r="Q687" s="1">
        <v>17</v>
      </c>
      <c r="R687" s="1" t="str">
        <f t="shared" si="182"/>
        <v>فروش داخلي تهران - وزارت راه - راه روستايي - روکش</v>
      </c>
      <c r="S687" s="1" t="str">
        <f t="shared" si="160"/>
        <v>قرارداد فروش</v>
      </c>
      <c r="T687" s="1" t="str">
        <f t="shared" si="161"/>
        <v>ندارد</v>
      </c>
      <c r="U687" s="1" t="str">
        <f>"حسيني پوريا جواد(1841072)"</f>
        <v>حسيني پوريا جواد(1841072)</v>
      </c>
      <c r="V687" s="1">
        <v>951700193</v>
      </c>
      <c r="W687" s="1">
        <v>951700193</v>
      </c>
      <c r="X687" s="1" t="str">
        <f>"1395426941"</f>
        <v>1395426941</v>
      </c>
      <c r="Y687" s="1" t="str">
        <f>"95/06/07"</f>
        <v>95/06/07</v>
      </c>
      <c r="Z687" s="1" t="str">
        <f>"25075/510"</f>
        <v>25075/510</v>
      </c>
      <c r="AA687" s="1" t="str">
        <f t="shared" si="183"/>
        <v>راه روستائي -روكش</v>
      </c>
      <c r="AB687" s="1" t="str">
        <f>"95/05/31"</f>
        <v>95/05/31</v>
      </c>
      <c r="AC687" s="1" t="str">
        <f t="shared" si="184"/>
        <v>خراسان رضوي</v>
      </c>
      <c r="AD687" s="1" t="str">
        <f>"95/06/06"</f>
        <v>95/06/06</v>
      </c>
      <c r="AE687" s="1" t="str">
        <f t="shared" si="170"/>
        <v>اختتام</v>
      </c>
      <c r="AF687" s="1" t="str">
        <f>""</f>
        <v/>
      </c>
      <c r="AG687" s="1" t="str">
        <f>""</f>
        <v/>
      </c>
      <c r="AH687" s="1" t="str">
        <f>""</f>
        <v/>
      </c>
      <c r="AI687" s="1" t="str">
        <f>""</f>
        <v/>
      </c>
      <c r="AJ687" s="1" t="str">
        <f>""</f>
        <v/>
      </c>
      <c r="AK687" s="1" t="str">
        <f>""</f>
        <v/>
      </c>
    </row>
    <row r="688" spans="1:37" x14ac:dyDescent="0.2">
      <c r="A688" s="1">
        <v>315000</v>
      </c>
      <c r="B688" s="1">
        <v>951700116</v>
      </c>
      <c r="C688" s="1" t="str">
        <f>"تخليه -خراسان رضوي- بجستان کارخانه آسفالت عابديان"</f>
        <v>تخليه -خراسان رضوي- بجستان کارخانه آسفالت عابديان</v>
      </c>
      <c r="D688" s="1">
        <v>6726</v>
      </c>
      <c r="E688" s="1">
        <v>137420</v>
      </c>
      <c r="F688" s="1">
        <v>95</v>
      </c>
      <c r="G688" s="1">
        <v>177580</v>
      </c>
      <c r="H688" s="1" t="str">
        <f>"95/05/05"</f>
        <v>95/05/05</v>
      </c>
      <c r="I688" s="1" t="str">
        <f t="shared" si="157"/>
        <v>كيلوگرم</v>
      </c>
      <c r="J688" s="1" t="str">
        <f t="shared" si="179"/>
        <v>0000000091</v>
      </c>
      <c r="K688" s="1" t="str">
        <f t="shared" si="180"/>
        <v>قير  PG64-22</v>
      </c>
      <c r="L688" s="1">
        <v>100</v>
      </c>
      <c r="M688" s="1" t="str">
        <f t="shared" si="164"/>
        <v>مخازن قير اصفهان</v>
      </c>
      <c r="N688" s="1">
        <v>4026</v>
      </c>
      <c r="O688" s="1">
        <v>50031911</v>
      </c>
      <c r="P688" s="1" t="str">
        <f t="shared" si="181"/>
        <v xml:space="preserve">  اداره كل راه و شهرسازي خراسان رضوي</v>
      </c>
      <c r="Q688" s="1">
        <v>17</v>
      </c>
      <c r="R688" s="1" t="str">
        <f t="shared" si="182"/>
        <v>فروش داخلي تهران - وزارت راه - راه روستايي - روکش</v>
      </c>
      <c r="S688" s="1" t="str">
        <f t="shared" si="160"/>
        <v>قرارداد فروش</v>
      </c>
      <c r="T688" s="1" t="str">
        <f t="shared" si="161"/>
        <v>ندارد</v>
      </c>
      <c r="U688" s="1" t="str">
        <f>"حسيني سيدجواد(1841076)"</f>
        <v>حسيني سيدجواد(1841076)</v>
      </c>
      <c r="V688" s="1">
        <v>951700116</v>
      </c>
      <c r="W688" s="1">
        <v>951700116</v>
      </c>
      <c r="X688" s="1" t="str">
        <f>"1395418062"</f>
        <v>1395418062</v>
      </c>
      <c r="Y688" s="1" t="str">
        <f>"95/05/05"</f>
        <v>95/05/05</v>
      </c>
      <c r="Z688" s="1" t="str">
        <f>"18431/510"</f>
        <v>18431/510</v>
      </c>
      <c r="AA688" s="1" t="str">
        <f t="shared" si="183"/>
        <v>راه روستائي -روكش</v>
      </c>
      <c r="AB688" s="1" t="str">
        <f>"95/04/28"</f>
        <v>95/04/28</v>
      </c>
      <c r="AC688" s="1" t="str">
        <f t="shared" si="184"/>
        <v>خراسان رضوي</v>
      </c>
      <c r="AD688" s="1" t="str">
        <f>"95/05/05"</f>
        <v>95/05/05</v>
      </c>
      <c r="AE688" s="1" t="str">
        <f t="shared" si="170"/>
        <v>اختتام</v>
      </c>
      <c r="AF688" s="1" t="str">
        <f>""</f>
        <v/>
      </c>
      <c r="AG688" s="1" t="str">
        <f>""</f>
        <v/>
      </c>
      <c r="AH688" s="1" t="str">
        <f>""</f>
        <v/>
      </c>
      <c r="AI688" s="1" t="str">
        <f>""</f>
        <v/>
      </c>
      <c r="AJ688" s="1" t="str">
        <f>""</f>
        <v/>
      </c>
      <c r="AK688" s="1" t="str">
        <f>""</f>
        <v/>
      </c>
    </row>
    <row r="689" spans="1:37" x14ac:dyDescent="0.2">
      <c r="A689" s="1">
        <v>290000</v>
      </c>
      <c r="B689" s="1">
        <v>951700220</v>
      </c>
      <c r="C689" s="1" t="str">
        <f>"تخليه خراسان رضوي -بجستان اداره اراه وشهرسازي بجستان"</f>
        <v>تخليه خراسان رضوي -بجستان اداره اراه وشهرسازي بجستان</v>
      </c>
      <c r="D689" s="1">
        <v>7276</v>
      </c>
      <c r="E689" s="1">
        <v>142020</v>
      </c>
      <c r="F689" s="1">
        <v>95</v>
      </c>
      <c r="G689" s="1">
        <v>147980</v>
      </c>
      <c r="H689" s="1" t="str">
        <f>"95/07/06"</f>
        <v>95/07/06</v>
      </c>
      <c r="I689" s="1" t="str">
        <f t="shared" si="157"/>
        <v>كيلوگرم</v>
      </c>
      <c r="J689" s="1" t="str">
        <f t="shared" si="179"/>
        <v>0000000091</v>
      </c>
      <c r="K689" s="1" t="str">
        <f t="shared" si="180"/>
        <v>قير  PG64-22</v>
      </c>
      <c r="L689" s="1">
        <v>100</v>
      </c>
      <c r="M689" s="1" t="str">
        <f t="shared" si="164"/>
        <v>مخازن قير اصفهان</v>
      </c>
      <c r="N689" s="1">
        <v>4026</v>
      </c>
      <c r="O689" s="1">
        <v>50031995</v>
      </c>
      <c r="P689" s="1" t="str">
        <f t="shared" si="181"/>
        <v xml:space="preserve">  اداره كل راه و شهرسازي خراسان رضوي</v>
      </c>
      <c r="Q689" s="1">
        <v>17</v>
      </c>
      <c r="R689" s="1" t="str">
        <f t="shared" si="182"/>
        <v>فروش داخلي تهران - وزارت راه - راه روستايي - روکش</v>
      </c>
      <c r="S689" s="1" t="str">
        <f t="shared" si="160"/>
        <v>قرارداد فروش</v>
      </c>
      <c r="T689" s="1" t="str">
        <f t="shared" si="161"/>
        <v>ندارد</v>
      </c>
      <c r="U689" s="1" t="str">
        <f>"ترك شاهسوندي مهدي(1022ج89)"</f>
        <v>ترك شاهسوندي مهدي(1022ج89)</v>
      </c>
      <c r="V689" s="1">
        <v>951700220</v>
      </c>
      <c r="W689" s="1">
        <v>951700220</v>
      </c>
      <c r="X689" s="1" t="str">
        <f>"1395433846"</f>
        <v>1395433846</v>
      </c>
      <c r="Y689" s="1" t="str">
        <f>"95/07/06"</f>
        <v>95/07/06</v>
      </c>
      <c r="Z689" s="1" t="str">
        <f>"30243/510"</f>
        <v>30243/510</v>
      </c>
      <c r="AA689" s="1" t="str">
        <f t="shared" si="183"/>
        <v>راه روستائي -روكش</v>
      </c>
      <c r="AB689" s="1" t="str">
        <f>"95/06/27"</f>
        <v>95/06/27</v>
      </c>
      <c r="AC689" s="1" t="str">
        <f t="shared" si="184"/>
        <v>خراسان رضوي</v>
      </c>
      <c r="AD689" s="1" t="str">
        <f>"95/07/05"</f>
        <v>95/07/05</v>
      </c>
      <c r="AE689" s="1" t="str">
        <f t="shared" ref="AE689:AE720" si="185">"اختتام"</f>
        <v>اختتام</v>
      </c>
      <c r="AF689" s="1" t="str">
        <f>""</f>
        <v/>
      </c>
      <c r="AG689" s="1" t="str">
        <f>""</f>
        <v/>
      </c>
      <c r="AH689" s="1" t="str">
        <f>""</f>
        <v/>
      </c>
      <c r="AI689" s="1" t="str">
        <f>""</f>
        <v/>
      </c>
      <c r="AJ689" s="1" t="str">
        <f>""</f>
        <v/>
      </c>
      <c r="AK689" s="1" t="str">
        <f>""</f>
        <v/>
      </c>
    </row>
    <row r="690" spans="1:37" x14ac:dyDescent="0.2">
      <c r="A690" s="1">
        <v>500000</v>
      </c>
      <c r="B690" s="1">
        <v>951900102</v>
      </c>
      <c r="C690" s="1" t="str">
        <f>"تخليه -خراسان جنوبي محوربيرجندخوسف كارخانه آسفالت قهستان"</f>
        <v>تخليه -خراسان جنوبي محوربيرجندخوسف كارخانه آسفالت قهستان</v>
      </c>
      <c r="D690" s="1">
        <v>6726</v>
      </c>
      <c r="E690" s="1">
        <v>498400</v>
      </c>
      <c r="F690" s="1">
        <v>95</v>
      </c>
      <c r="G690" s="1">
        <v>1600</v>
      </c>
      <c r="H690" s="1" t="str">
        <f>"95/05/18"</f>
        <v>95/05/18</v>
      </c>
      <c r="I690" s="1" t="str">
        <f t="shared" si="157"/>
        <v>كيلوگرم</v>
      </c>
      <c r="J690" s="1" t="str">
        <f t="shared" si="179"/>
        <v>0000000091</v>
      </c>
      <c r="K690" s="1" t="str">
        <f t="shared" si="180"/>
        <v>قير  PG64-22</v>
      </c>
      <c r="L690" s="1">
        <v>100</v>
      </c>
      <c r="M690" s="1" t="str">
        <f t="shared" si="164"/>
        <v>مخازن قير اصفهان</v>
      </c>
      <c r="N690" s="1">
        <v>8702</v>
      </c>
      <c r="O690" s="1">
        <v>50031470</v>
      </c>
      <c r="P690" s="1" t="str">
        <f>"  سايه گستربيرجند"</f>
        <v xml:space="preserve">  سايه گستربيرجند</v>
      </c>
      <c r="Q690" s="1">
        <v>19</v>
      </c>
      <c r="R6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90" s="1" t="str">
        <f t="shared" si="160"/>
        <v>قرارداد فروش</v>
      </c>
      <c r="T690" s="1" t="str">
        <f t="shared" si="161"/>
        <v>ندارد</v>
      </c>
      <c r="U690" s="1" t="str">
        <f>"بابامحمدي عنايت اله(4844000)"</f>
        <v>بابامحمدي عنايت اله(4844000)</v>
      </c>
      <c r="V690" s="1">
        <v>951900102</v>
      </c>
      <c r="W690" s="1">
        <v>951900102</v>
      </c>
      <c r="X690" s="1" t="str">
        <f>"1395421996"</f>
        <v>1395421996</v>
      </c>
      <c r="Y690" s="1" t="str">
        <f>"95/05/18"</f>
        <v>95/05/18</v>
      </c>
      <c r="Z690" s="1" t="str">
        <f>"21680/510"</f>
        <v>21680/510</v>
      </c>
      <c r="AA690" s="1" t="str">
        <f>"سازمان راهداري وحمل نقل جاده اي"</f>
        <v>سازمان راهداري وحمل نقل جاده اي</v>
      </c>
      <c r="AB690" s="1" t="str">
        <f>"95/05/16"</f>
        <v>95/05/16</v>
      </c>
      <c r="AC690" s="1" t="str">
        <f>"خراسان جنوبي"</f>
        <v>خراسان جنوبي</v>
      </c>
      <c r="AD690" s="1" t="str">
        <f>"95/05/18"</f>
        <v>95/05/18</v>
      </c>
      <c r="AE690" s="1" t="str">
        <f t="shared" si="185"/>
        <v>اختتام</v>
      </c>
      <c r="AF690" s="1" t="str">
        <f>""</f>
        <v/>
      </c>
      <c r="AG690" s="1" t="str">
        <f>""</f>
        <v/>
      </c>
      <c r="AH690" s="1" t="str">
        <f>""</f>
        <v/>
      </c>
      <c r="AI690" s="1" t="str">
        <f>""</f>
        <v/>
      </c>
      <c r="AJ690" s="1" t="str">
        <f>""</f>
        <v/>
      </c>
      <c r="AK690" s="1" t="str">
        <f>""</f>
        <v/>
      </c>
    </row>
    <row r="691" spans="1:37" x14ac:dyDescent="0.2">
      <c r="A691" s="1">
        <v>377000</v>
      </c>
      <c r="B691" s="1">
        <v>956100003</v>
      </c>
      <c r="C691" s="1" t="str">
        <f>"تخليه -قم جاده كاشان -جاده كهك -بعدازروستاي صرم -شركت راه گستراميدصرم"</f>
        <v>تخليه -قم جاده كاشان -جاده كهك -بعدازروستاي صرم -شركت راه گستراميدصرم</v>
      </c>
      <c r="D691" s="1">
        <v>6050</v>
      </c>
      <c r="E691" s="1">
        <v>376320</v>
      </c>
      <c r="F691" s="1">
        <v>95</v>
      </c>
      <c r="G691" s="1">
        <v>680</v>
      </c>
      <c r="H691" s="1" t="str">
        <f>"95/03/30"</f>
        <v>95/03/30</v>
      </c>
      <c r="I691" s="1" t="str">
        <f t="shared" si="157"/>
        <v>كيلوگرم</v>
      </c>
      <c r="J691" s="1" t="str">
        <f t="shared" si="179"/>
        <v>0000000091</v>
      </c>
      <c r="K691" s="1" t="str">
        <f t="shared" si="180"/>
        <v>قير  PG64-22</v>
      </c>
      <c r="L691" s="1">
        <v>100</v>
      </c>
      <c r="M691" s="1" t="str">
        <f t="shared" si="164"/>
        <v>مخازن قير اصفهان</v>
      </c>
      <c r="N691" s="1">
        <v>9116</v>
      </c>
      <c r="O691" s="1">
        <v>50031081</v>
      </c>
      <c r="P691" s="1" t="str">
        <f>"  راه گستراميدصرم"</f>
        <v xml:space="preserve">  راه گستراميدصرم</v>
      </c>
      <c r="Q691" s="1">
        <v>61</v>
      </c>
      <c r="R691" s="1" t="str">
        <f>"فروش داخلي - وزارت راه - مسكن مهر"</f>
        <v>فروش داخلي - وزارت راه - مسكن مهر</v>
      </c>
      <c r="S691" s="1" t="str">
        <f t="shared" si="160"/>
        <v>قرارداد فروش</v>
      </c>
      <c r="T691" s="1" t="str">
        <f t="shared" si="161"/>
        <v>ندارد</v>
      </c>
      <c r="U691" s="1" t="str">
        <f>"محمدي نژاد خداوردي(2842024)"</f>
        <v>محمدي نژاد خداوردي(2842024)</v>
      </c>
      <c r="V691" s="1">
        <v>956100003</v>
      </c>
      <c r="W691" s="1">
        <v>956100003</v>
      </c>
      <c r="X691" s="1" t="str">
        <f>"1395410157"</f>
        <v>1395410157</v>
      </c>
      <c r="Y691" s="1" t="str">
        <f>"95/03/30"</f>
        <v>95/03/30</v>
      </c>
      <c r="Z691" s="1" t="str">
        <f>"12457/510"</f>
        <v>12457/510</v>
      </c>
      <c r="AA691" s="1" t="str">
        <f>"مسكن مهر-وزارت راه"</f>
        <v>مسكن مهر-وزارت راه</v>
      </c>
      <c r="AB691" s="1" t="str">
        <f>"95/03/26"</f>
        <v>95/03/26</v>
      </c>
      <c r="AC691" s="1" t="str">
        <f>"قم"</f>
        <v>قم</v>
      </c>
      <c r="AD691" s="1" t="str">
        <f>"95/03/30"</f>
        <v>95/03/30</v>
      </c>
      <c r="AE691" s="1" t="str">
        <f t="shared" si="185"/>
        <v>اختتام</v>
      </c>
      <c r="AF691" s="1" t="str">
        <f>""</f>
        <v/>
      </c>
      <c r="AG691" s="1" t="str">
        <f>""</f>
        <v/>
      </c>
      <c r="AH691" s="1" t="str">
        <f>""</f>
        <v/>
      </c>
      <c r="AI691" s="1" t="str">
        <f>""</f>
        <v/>
      </c>
      <c r="AJ691" s="1" t="str">
        <f>""</f>
        <v/>
      </c>
      <c r="AK691" s="1" t="str">
        <f>""</f>
        <v/>
      </c>
    </row>
    <row r="692" spans="1:37" x14ac:dyDescent="0.2">
      <c r="A692" s="1">
        <v>500000</v>
      </c>
      <c r="B692" s="1">
        <v>951100123</v>
      </c>
      <c r="C692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692" s="1">
        <v>7276</v>
      </c>
      <c r="E692" s="1">
        <v>497100</v>
      </c>
      <c r="F692" s="1">
        <v>95</v>
      </c>
      <c r="G692" s="1">
        <v>2900</v>
      </c>
      <c r="H692" s="1" t="str">
        <f>"95/07/12"</f>
        <v>95/07/12</v>
      </c>
      <c r="I692" s="1" t="str">
        <f t="shared" si="157"/>
        <v>كيلوگرم</v>
      </c>
      <c r="J692" s="1" t="str">
        <f t="shared" si="179"/>
        <v>0000000091</v>
      </c>
      <c r="K692" s="1" t="str">
        <f t="shared" si="180"/>
        <v>قير  PG64-22</v>
      </c>
      <c r="L692" s="1">
        <v>100</v>
      </c>
      <c r="M692" s="1" t="str">
        <f t="shared" si="164"/>
        <v>مخازن قير اصفهان</v>
      </c>
      <c r="N692" s="1">
        <v>9143</v>
      </c>
      <c r="O692" s="1">
        <v>50032065</v>
      </c>
      <c r="P692" s="1" t="str">
        <f>"  بتن پيكر زاگرس"</f>
        <v xml:space="preserve">  بتن پيكر زاگرس</v>
      </c>
      <c r="Q692" s="1">
        <v>11</v>
      </c>
      <c r="R692" s="1" t="str">
        <f>"فروش داخلي تهران - بورس"</f>
        <v>فروش داخلي تهران - بورس</v>
      </c>
      <c r="S692" s="1" t="str">
        <f t="shared" si="160"/>
        <v>قرارداد فروش</v>
      </c>
      <c r="T692" s="1" t="str">
        <f t="shared" si="161"/>
        <v>ندارد</v>
      </c>
      <c r="U692" s="1" t="str">
        <f>"تعاوني جم گستر (1001 ج 89)"</f>
        <v>تعاوني جم گستر (1001 ج 89)</v>
      </c>
      <c r="V692" s="1">
        <v>951100123</v>
      </c>
      <c r="W692" s="1">
        <v>951100123</v>
      </c>
      <c r="X692" s="1" t="str">
        <f>"1395435108"</f>
        <v>1395435108</v>
      </c>
      <c r="Y692" s="1" t="str">
        <f>"95/07/12"</f>
        <v>95/07/12</v>
      </c>
      <c r="Z692" s="1" t="str">
        <f>"95-34681"</f>
        <v>95-34681</v>
      </c>
      <c r="AA692" s="1" t="str">
        <f>"آسفالت سازان"</f>
        <v>آسفالت سازان</v>
      </c>
      <c r="AB692" s="1" t="str">
        <f>"95/07/12"</f>
        <v>95/07/12</v>
      </c>
      <c r="AC692" s="1" t="str">
        <f>"استان كرمانشاه"</f>
        <v>استان كرمانشاه</v>
      </c>
      <c r="AD692" s="1" t="str">
        <f>"95/07/10"</f>
        <v>95/07/10</v>
      </c>
      <c r="AE692" s="1" t="str">
        <f t="shared" si="185"/>
        <v>اختتام</v>
      </c>
      <c r="AF692" s="1" t="str">
        <f>""</f>
        <v/>
      </c>
      <c r="AG692" s="1" t="str">
        <f>""</f>
        <v/>
      </c>
      <c r="AH692" s="1" t="str">
        <f>""</f>
        <v/>
      </c>
      <c r="AI692" s="1" t="str">
        <f>""</f>
        <v/>
      </c>
      <c r="AJ692" s="1" t="str">
        <f>""</f>
        <v/>
      </c>
      <c r="AK692" s="1" t="str">
        <f>""</f>
        <v/>
      </c>
    </row>
    <row r="693" spans="1:37" x14ac:dyDescent="0.2">
      <c r="A693" s="1">
        <v>177420</v>
      </c>
      <c r="B693" s="1">
        <v>951700248</v>
      </c>
      <c r="C693" s="1" t="str">
        <f>"تخليه -خراسان رضوي -سبزوار-كارخانه آسفالت ابريشم راه بيهق"</f>
        <v>تخليه -خراسان رضوي -سبزوار-كارخانه آسفالت ابريشم راه بيهق</v>
      </c>
      <c r="D693" s="1">
        <v>8323</v>
      </c>
      <c r="E693" s="1">
        <v>159960</v>
      </c>
      <c r="F693" s="1">
        <v>95</v>
      </c>
      <c r="G693" s="1">
        <v>17460</v>
      </c>
      <c r="H693" s="1" t="str">
        <f>"95/08/06"</f>
        <v>95/08/06</v>
      </c>
      <c r="I693" s="1" t="str">
        <f t="shared" si="157"/>
        <v>كيلوگرم</v>
      </c>
      <c r="J693" s="1" t="str">
        <f t="shared" si="179"/>
        <v>0000000091</v>
      </c>
      <c r="K693" s="1" t="str">
        <f t="shared" si="180"/>
        <v>قير  PG64-22</v>
      </c>
      <c r="L693" s="1">
        <v>100</v>
      </c>
      <c r="M693" s="1" t="str">
        <f t="shared" si="164"/>
        <v>مخازن قير اصفهان</v>
      </c>
      <c r="N693" s="1">
        <v>4026</v>
      </c>
      <c r="O693" s="1">
        <v>50032296</v>
      </c>
      <c r="P693" s="1" t="str">
        <f>"  اداره كل راه و شهرسازي خراسان رضوي"</f>
        <v xml:space="preserve">  اداره كل راه و شهرسازي خراسان رضوي</v>
      </c>
      <c r="Q693" s="1">
        <v>17</v>
      </c>
      <c r="R693" s="1" t="str">
        <f>"فروش داخلي تهران - وزارت راه - راه روستايي - روکش"</f>
        <v>فروش داخلي تهران - وزارت راه - راه روستايي - روکش</v>
      </c>
      <c r="S693" s="1" t="str">
        <f t="shared" si="160"/>
        <v>قرارداد فروش</v>
      </c>
      <c r="T693" s="1" t="str">
        <f t="shared" si="161"/>
        <v>ندارد</v>
      </c>
      <c r="U693" s="1" t="str">
        <f>"حسيني علي(1841001)"</f>
        <v>حسيني علي(1841001)</v>
      </c>
      <c r="V693" s="1">
        <v>951700248</v>
      </c>
      <c r="W693" s="1">
        <v>951700248</v>
      </c>
      <c r="X693" s="1" t="str">
        <f>"1395433834"</f>
        <v>1395433834</v>
      </c>
      <c r="Y693" s="1" t="str">
        <f>"95/08/06"</f>
        <v>95/08/06</v>
      </c>
      <c r="Z693" s="1" t="str">
        <f>"30701/510"</f>
        <v>30701/510</v>
      </c>
      <c r="AA693" s="1" t="str">
        <f>"راه روستائي -روكش"</f>
        <v>راه روستائي -روكش</v>
      </c>
      <c r="AB693" s="1" t="str">
        <f>"95/06/28"</f>
        <v>95/06/28</v>
      </c>
      <c r="AC693" s="1" t="str">
        <f>"خراسان رضوي"</f>
        <v>خراسان رضوي</v>
      </c>
      <c r="AD693" s="1" t="str">
        <f>"95/07/05"</f>
        <v>95/07/05</v>
      </c>
      <c r="AE693" s="1" t="str">
        <f t="shared" si="185"/>
        <v>اختتام</v>
      </c>
      <c r="AF693" s="1" t="str">
        <f>""</f>
        <v/>
      </c>
      <c r="AG693" s="1" t="str">
        <f>""</f>
        <v/>
      </c>
      <c r="AH693" s="1" t="str">
        <f>""</f>
        <v/>
      </c>
      <c r="AI693" s="1" t="str">
        <f>""</f>
        <v/>
      </c>
      <c r="AJ693" s="1" t="str">
        <f>""</f>
        <v/>
      </c>
      <c r="AK693" s="1" t="str">
        <f>""</f>
        <v/>
      </c>
    </row>
    <row r="694" spans="1:37" x14ac:dyDescent="0.2">
      <c r="A694" s="1">
        <v>21980</v>
      </c>
      <c r="B694" s="1">
        <v>951700249</v>
      </c>
      <c r="C694" s="1" t="str">
        <f>"تخليه خراسان رضوي ابتداي جاده سنگ بست مخازن شركت بيندربست"</f>
        <v>تخليه خراسان رضوي ابتداي جاده سنگ بست مخازن شركت بيندربست</v>
      </c>
      <c r="D694" s="1">
        <v>8323</v>
      </c>
      <c r="E694" s="1">
        <v>21200</v>
      </c>
      <c r="F694" s="1">
        <v>95</v>
      </c>
      <c r="G694" s="1">
        <v>780</v>
      </c>
      <c r="H694" s="1" t="str">
        <f>"95/08/06"</f>
        <v>95/08/06</v>
      </c>
      <c r="I694" s="1" t="str">
        <f t="shared" si="157"/>
        <v>كيلوگرم</v>
      </c>
      <c r="J694" s="1" t="str">
        <f t="shared" si="179"/>
        <v>0000000091</v>
      </c>
      <c r="K694" s="1" t="str">
        <f t="shared" si="180"/>
        <v>قير  PG64-22</v>
      </c>
      <c r="L694" s="1">
        <v>100</v>
      </c>
      <c r="M694" s="1" t="str">
        <f t="shared" si="164"/>
        <v>مخازن قير اصفهان</v>
      </c>
      <c r="N694" s="1">
        <v>4026</v>
      </c>
      <c r="O694" s="1">
        <v>50032297</v>
      </c>
      <c r="P694" s="1" t="str">
        <f>"  اداره كل راه و شهرسازي خراسان رضوي"</f>
        <v xml:space="preserve">  اداره كل راه و شهرسازي خراسان رضوي</v>
      </c>
      <c r="Q694" s="1">
        <v>17</v>
      </c>
      <c r="R694" s="1" t="str">
        <f>"فروش داخلي تهران - وزارت راه - راه روستايي - روکش"</f>
        <v>فروش داخلي تهران - وزارت راه - راه روستايي - روکش</v>
      </c>
      <c r="S694" s="1" t="str">
        <f t="shared" si="160"/>
        <v>قرارداد فروش</v>
      </c>
      <c r="T694" s="1" t="str">
        <f t="shared" si="161"/>
        <v>ندارد</v>
      </c>
      <c r="U694" s="1" t="str">
        <f>"حسيني سيدجواد(1841076)"</f>
        <v>حسيني سيدجواد(1841076)</v>
      </c>
      <c r="V694" s="1">
        <v>951700249</v>
      </c>
      <c r="W694" s="1">
        <v>951700249</v>
      </c>
      <c r="X694" s="1" t="str">
        <f>"1395433834"</f>
        <v>1395433834</v>
      </c>
      <c r="Y694" s="1" t="str">
        <f>"95/08/06"</f>
        <v>95/08/06</v>
      </c>
      <c r="Z694" s="1" t="str">
        <f>"30701/510"</f>
        <v>30701/510</v>
      </c>
      <c r="AA694" s="1" t="str">
        <f>"راه روستائي -روكش"</f>
        <v>راه روستائي -روكش</v>
      </c>
      <c r="AB694" s="1" t="str">
        <f>"95/06/28"</f>
        <v>95/06/28</v>
      </c>
      <c r="AC694" s="1" t="str">
        <f>"خراسان رضوي"</f>
        <v>خراسان رضوي</v>
      </c>
      <c r="AD694" s="1" t="str">
        <f>"95/07/05"</f>
        <v>95/07/05</v>
      </c>
      <c r="AE694" s="1" t="str">
        <f t="shared" si="185"/>
        <v>اختتام</v>
      </c>
      <c r="AF694" s="1" t="str">
        <f>""</f>
        <v/>
      </c>
      <c r="AG694" s="1" t="str">
        <f>""</f>
        <v/>
      </c>
      <c r="AH694" s="1" t="str">
        <f>""</f>
        <v/>
      </c>
      <c r="AI694" s="1" t="str">
        <f>""</f>
        <v/>
      </c>
      <c r="AJ694" s="1" t="str">
        <f>""</f>
        <v/>
      </c>
      <c r="AK694" s="1" t="str">
        <f>""</f>
        <v/>
      </c>
    </row>
    <row r="695" spans="1:37" x14ac:dyDescent="0.2">
      <c r="A695" s="1">
        <v>147980</v>
      </c>
      <c r="B695" s="1">
        <v>951700256</v>
      </c>
      <c r="C695" s="1" t="str">
        <f>"تخليه-خراسان رضوي -بجستان -کارخانه آسفالت-شهرداري بجستان"</f>
        <v>تخليه-خراسان رضوي -بجستان -کارخانه آسفالت-شهرداري بجستان</v>
      </c>
      <c r="D695" s="1">
        <v>8323</v>
      </c>
      <c r="E695" s="1">
        <v>146760</v>
      </c>
      <c r="F695" s="1">
        <v>95</v>
      </c>
      <c r="G695" s="1">
        <v>1220</v>
      </c>
      <c r="H695" s="1" t="str">
        <f>"95/08/08"</f>
        <v>95/08/08</v>
      </c>
      <c r="I695" s="1" t="str">
        <f t="shared" si="157"/>
        <v>كيلوگرم</v>
      </c>
      <c r="J695" s="1" t="str">
        <f t="shared" si="179"/>
        <v>0000000091</v>
      </c>
      <c r="K695" s="1" t="str">
        <f t="shared" si="180"/>
        <v>قير  PG64-22</v>
      </c>
      <c r="L695" s="1">
        <v>100</v>
      </c>
      <c r="M695" s="1" t="str">
        <f t="shared" si="164"/>
        <v>مخازن قير اصفهان</v>
      </c>
      <c r="N695" s="1">
        <v>4026</v>
      </c>
      <c r="O695" s="1">
        <v>50032370</v>
      </c>
      <c r="P695" s="1" t="str">
        <f>"  اداره كل راه و شهرسازي خراسان رضوي"</f>
        <v xml:space="preserve">  اداره كل راه و شهرسازي خراسان رضوي</v>
      </c>
      <c r="Q695" s="1">
        <v>17</v>
      </c>
      <c r="R695" s="1" t="str">
        <f>"فروش داخلي تهران - وزارت راه - راه روستايي - روکش"</f>
        <v>فروش داخلي تهران - وزارت راه - راه روستايي - روکش</v>
      </c>
      <c r="S695" s="1" t="str">
        <f t="shared" si="160"/>
        <v>قرارداد فروش</v>
      </c>
      <c r="T695" s="1" t="str">
        <f t="shared" si="161"/>
        <v>ندارد</v>
      </c>
      <c r="U695" s="1" t="str">
        <f>"ترك شاهسوندي مهدي(1022ج89)"</f>
        <v>ترك شاهسوندي مهدي(1022ج89)</v>
      </c>
      <c r="V695" s="1">
        <v>951700256</v>
      </c>
      <c r="W695" s="1">
        <v>951700256</v>
      </c>
      <c r="X695" s="1" t="str">
        <f>"1395433846"</f>
        <v>1395433846</v>
      </c>
      <c r="Y695" s="1" t="str">
        <f>"95/08/08"</f>
        <v>95/08/08</v>
      </c>
      <c r="Z695" s="1" t="str">
        <f>"30243/510"</f>
        <v>30243/510</v>
      </c>
      <c r="AA695" s="1" t="str">
        <f>"راه روستائي -روكش"</f>
        <v>راه روستائي -روكش</v>
      </c>
      <c r="AB695" s="1" t="str">
        <f>"95/06/27"</f>
        <v>95/06/27</v>
      </c>
      <c r="AC695" s="1" t="str">
        <f>"خراسان رضوي"</f>
        <v>خراسان رضوي</v>
      </c>
      <c r="AD695" s="1" t="str">
        <f>"95/07/05"</f>
        <v>95/07/05</v>
      </c>
      <c r="AE695" s="1" t="str">
        <f t="shared" si="185"/>
        <v>اختتام</v>
      </c>
      <c r="AF695" s="1" t="str">
        <f>""</f>
        <v/>
      </c>
      <c r="AG695" s="1" t="str">
        <f>""</f>
        <v/>
      </c>
      <c r="AH695" s="1" t="str">
        <f>""</f>
        <v/>
      </c>
      <c r="AI695" s="1" t="str">
        <f>""</f>
        <v/>
      </c>
      <c r="AJ695" s="1" t="str">
        <f>""</f>
        <v/>
      </c>
      <c r="AK695" s="1" t="str">
        <f>""</f>
        <v/>
      </c>
    </row>
    <row r="696" spans="1:37" x14ac:dyDescent="0.2">
      <c r="A696" s="1">
        <v>1000000</v>
      </c>
      <c r="B696" s="1">
        <v>956100022</v>
      </c>
      <c r="C696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696" s="1">
        <v>8998</v>
      </c>
      <c r="E696" s="1">
        <v>997240</v>
      </c>
      <c r="F696" s="1">
        <v>95</v>
      </c>
      <c r="G696" s="1">
        <v>2760</v>
      </c>
      <c r="H696" s="1" t="str">
        <f>"95/11/25"</f>
        <v>95/11/25</v>
      </c>
      <c r="I696" s="1" t="str">
        <f t="shared" si="157"/>
        <v>كيلوگرم</v>
      </c>
      <c r="J696" s="1" t="str">
        <f t="shared" si="179"/>
        <v>0000000091</v>
      </c>
      <c r="K696" s="1" t="str">
        <f t="shared" si="180"/>
        <v>قير  PG64-22</v>
      </c>
      <c r="L696" s="1">
        <v>100</v>
      </c>
      <c r="M696" s="1" t="str">
        <f t="shared" si="164"/>
        <v>مخازن قير اصفهان</v>
      </c>
      <c r="N696" s="1">
        <v>4060</v>
      </c>
      <c r="O696" s="1">
        <v>50033726</v>
      </c>
      <c r="P696" s="1" t="str">
        <f>"  توس راديه"</f>
        <v xml:space="preserve">  توس راديه</v>
      </c>
      <c r="Q696" s="1">
        <v>61</v>
      </c>
      <c r="R696" s="1" t="str">
        <f>"فروش داخلي - وزارت راه - مسكن مهر"</f>
        <v>فروش داخلي - وزارت راه - مسكن مهر</v>
      </c>
      <c r="S696" s="1" t="str">
        <f t="shared" si="160"/>
        <v>قرارداد فروش</v>
      </c>
      <c r="T696" s="1" t="str">
        <f t="shared" si="161"/>
        <v>ندارد</v>
      </c>
      <c r="U696" s="1" t="str">
        <f>"بابامحمدي عنايت اله(4844000)"</f>
        <v>بابامحمدي عنايت اله(4844000)</v>
      </c>
      <c r="V696" s="1">
        <v>956100022</v>
      </c>
      <c r="W696" s="1">
        <v>956100022</v>
      </c>
      <c r="X696" s="1" t="str">
        <f>"1395464560"</f>
        <v>1395464560</v>
      </c>
      <c r="Y696" s="1" t="str">
        <f>"95/11/25"</f>
        <v>95/11/25</v>
      </c>
      <c r="Z696" s="1" t="str">
        <f>"57809/710"</f>
        <v>57809/710</v>
      </c>
      <c r="AA696" s="1" t="str">
        <f>"مسكن مهر-وزارت راه"</f>
        <v>مسكن مهر-وزارت راه</v>
      </c>
      <c r="AB696" s="1" t="str">
        <f>"95/11/19"</f>
        <v>95/11/19</v>
      </c>
      <c r="AC696" s="1" t="str">
        <f>"خراسان رضوي"</f>
        <v>خراسان رضوي</v>
      </c>
      <c r="AD696" s="1" t="str">
        <f>"95/11/24"</f>
        <v>95/11/24</v>
      </c>
      <c r="AE696" s="1" t="str">
        <f t="shared" si="185"/>
        <v>اختتام</v>
      </c>
      <c r="AF696" s="1" t="str">
        <f>""</f>
        <v/>
      </c>
      <c r="AG696" s="1" t="str">
        <f>""</f>
        <v/>
      </c>
      <c r="AH696" s="1" t="str">
        <f>""</f>
        <v/>
      </c>
      <c r="AI696" s="1" t="str">
        <f>""</f>
        <v/>
      </c>
      <c r="AJ696" s="1" t="str">
        <f>""</f>
        <v/>
      </c>
      <c r="AK696" s="1" t="str">
        <f>""</f>
        <v/>
      </c>
    </row>
    <row r="697" spans="1:37" x14ac:dyDescent="0.2">
      <c r="A697" s="1">
        <v>167140</v>
      </c>
      <c r="B697" s="1">
        <v>951600062</v>
      </c>
      <c r="C697" s="1" t="str">
        <f>"تخليه -يزد-جاده يزدكرمان -شركت فرش راه"</f>
        <v>تخليه -يزد-جاده يزدكرمان -شركت فرش راه</v>
      </c>
      <c r="D697" s="1">
        <v>9061</v>
      </c>
      <c r="E697" s="1">
        <v>166600</v>
      </c>
      <c r="F697" s="1">
        <v>95</v>
      </c>
      <c r="G697" s="1">
        <v>540</v>
      </c>
      <c r="H697" s="1" t="str">
        <f>"95/10/02"</f>
        <v>95/10/02</v>
      </c>
      <c r="I697" s="1" t="str">
        <f t="shared" si="157"/>
        <v>كيلوگرم</v>
      </c>
      <c r="J697" s="1" t="str">
        <f t="shared" si="179"/>
        <v>0000000091</v>
      </c>
      <c r="K697" s="1" t="str">
        <f t="shared" si="180"/>
        <v>قير  PG64-22</v>
      </c>
      <c r="L697" s="1">
        <v>100</v>
      </c>
      <c r="M697" s="1" t="str">
        <f t="shared" si="164"/>
        <v>مخازن قير اصفهان</v>
      </c>
      <c r="N697" s="1">
        <v>9304</v>
      </c>
      <c r="O697" s="1">
        <v>50033122</v>
      </c>
      <c r="P697" s="1" t="str">
        <f>"  يزدراهداران"</f>
        <v xml:space="preserve">  يزدراهداران</v>
      </c>
      <c r="Q697" s="1">
        <v>16</v>
      </c>
      <c r="R697" s="1" t="str">
        <f>"فروش داخلي تهران - وزارت راه - معاونت اقتصاد"</f>
        <v>فروش داخلي تهران - وزارت راه - معاونت اقتصاد</v>
      </c>
      <c r="S697" s="1" t="str">
        <f t="shared" si="160"/>
        <v>قرارداد فروش</v>
      </c>
      <c r="T697" s="1" t="str">
        <f t="shared" si="161"/>
        <v>ندارد</v>
      </c>
      <c r="U697" s="1" t="str">
        <f>"قانعي محمدرضا(1011ج89)"</f>
        <v>قانعي محمدرضا(1011ج89)</v>
      </c>
      <c r="V697" s="1">
        <v>951600062</v>
      </c>
      <c r="W697" s="1">
        <v>951600062</v>
      </c>
      <c r="X697" s="1" t="str">
        <f>"1395414285"</f>
        <v>1395414285</v>
      </c>
      <c r="Y697" s="1" t="str">
        <f>"95/10/02"</f>
        <v>95/10/02</v>
      </c>
      <c r="Z697" s="1" t="str">
        <f>"15382/510"</f>
        <v>15382/510</v>
      </c>
      <c r="AA697" s="1" t="str">
        <f>"معاونت اقتصادوزارت راه وشهرسازي"</f>
        <v>معاونت اقتصادوزارت راه وشهرسازي</v>
      </c>
      <c r="AB697" s="1" t="str">
        <f>"95/04/12"</f>
        <v>95/04/12</v>
      </c>
      <c r="AC697" s="1" t="str">
        <f>"استان يزد"</f>
        <v>استان يزد</v>
      </c>
      <c r="AD697" s="1" t="str">
        <f>"95/04/02"</f>
        <v>95/04/02</v>
      </c>
      <c r="AE697" s="1" t="str">
        <f t="shared" si="185"/>
        <v>اختتام</v>
      </c>
      <c r="AF697" s="1" t="str">
        <f>""</f>
        <v/>
      </c>
      <c r="AG697" s="1" t="str">
        <f>""</f>
        <v/>
      </c>
      <c r="AH697" s="1" t="str">
        <f>""</f>
        <v/>
      </c>
      <c r="AI697" s="1" t="str">
        <f>""</f>
        <v/>
      </c>
      <c r="AJ697" s="1" t="str">
        <f>""</f>
        <v/>
      </c>
      <c r="AK697" s="1" t="str">
        <f>""</f>
        <v/>
      </c>
    </row>
    <row r="698" spans="1:37" x14ac:dyDescent="0.2">
      <c r="A698" s="1">
        <v>174000</v>
      </c>
      <c r="B698" s="1">
        <v>956200336</v>
      </c>
      <c r="C698" s="1" t="str">
        <f>"تخليه -قم -شهرجعفريه جاده طفرود-كارخانه آسفالت برادران الوند"</f>
        <v>تخليه -قم -شهرجعفريه جاده طفرود-كارخانه آسفالت برادران الوند</v>
      </c>
      <c r="D698" s="1">
        <v>8998</v>
      </c>
      <c r="E698" s="1">
        <v>172560</v>
      </c>
      <c r="F698" s="1">
        <v>95</v>
      </c>
      <c r="G698" s="1">
        <v>1440</v>
      </c>
      <c r="H698" s="1" t="str">
        <f>"95/12/18"</f>
        <v>95/12/18</v>
      </c>
      <c r="I698" s="1" t="str">
        <f t="shared" si="157"/>
        <v>كيلوگرم</v>
      </c>
      <c r="J698" s="1" t="str">
        <f t="shared" si="179"/>
        <v>0000000091</v>
      </c>
      <c r="K698" s="1" t="str">
        <f t="shared" si="180"/>
        <v>قير  PG64-22</v>
      </c>
      <c r="L698" s="1">
        <v>100</v>
      </c>
      <c r="M698" s="1" t="str">
        <f t="shared" si="164"/>
        <v>مخازن قير اصفهان</v>
      </c>
      <c r="N698" s="1">
        <v>9441</v>
      </c>
      <c r="O698" s="1">
        <v>50034058</v>
      </c>
      <c r="P698" s="1" t="str">
        <f>"  راه وساختمان مهرگازران"</f>
        <v xml:space="preserve">  راه وساختمان مهرگازران</v>
      </c>
      <c r="Q698" s="1">
        <v>62</v>
      </c>
      <c r="R698" s="1" t="str">
        <f>"فروش داخلي - سازمان بنيادمسكن انقلاب اسلامي"</f>
        <v>فروش داخلي - سازمان بنيادمسكن انقلاب اسلامي</v>
      </c>
      <c r="S698" s="1" t="str">
        <f t="shared" si="160"/>
        <v>قرارداد فروش</v>
      </c>
      <c r="T698" s="1" t="str">
        <f t="shared" si="161"/>
        <v>ندارد</v>
      </c>
      <c r="U698" s="1" t="str">
        <f>"اميري علي(2842011)"</f>
        <v>اميري علي(2842011)</v>
      </c>
      <c r="V698" s="1">
        <v>956200336</v>
      </c>
      <c r="W698" s="1">
        <v>956200336</v>
      </c>
      <c r="X698" s="1" t="str">
        <f>"1395470081"</f>
        <v>1395470081</v>
      </c>
      <c r="Y698" s="1" t="str">
        <f>"95/12/18"</f>
        <v>95/12/18</v>
      </c>
      <c r="Z698" s="1" t="str">
        <f>"55954/د"</f>
        <v>55954/د</v>
      </c>
      <c r="AA698" s="1" t="str">
        <f>"بنيادمسكن انقلاب اسلامي"</f>
        <v>بنيادمسكن انقلاب اسلامي</v>
      </c>
      <c r="AB698" s="1" t="str">
        <f>"95/12/17"</f>
        <v>95/12/17</v>
      </c>
      <c r="AC698" s="1" t="str">
        <f>"قم"</f>
        <v>قم</v>
      </c>
      <c r="AD698" s="1" t="str">
        <f>"95/12/18"</f>
        <v>95/12/18</v>
      </c>
      <c r="AE698" s="1" t="str">
        <f t="shared" si="185"/>
        <v>اختتام</v>
      </c>
      <c r="AF698" s="1" t="str">
        <f>""</f>
        <v/>
      </c>
      <c r="AG698" s="1" t="str">
        <f>""</f>
        <v/>
      </c>
      <c r="AH698" s="1" t="str">
        <f>""</f>
        <v/>
      </c>
      <c r="AI698" s="1" t="str">
        <f>""</f>
        <v/>
      </c>
      <c r="AJ698" s="1" t="str">
        <f>""</f>
        <v/>
      </c>
      <c r="AK698" s="1" t="str">
        <f>""</f>
        <v/>
      </c>
    </row>
    <row r="699" spans="1:37" x14ac:dyDescent="0.2">
      <c r="A699" s="1">
        <v>333920</v>
      </c>
      <c r="B699" s="1">
        <v>951800111</v>
      </c>
      <c r="C699" s="1" t="str">
        <f>"تخليه -كرمانشاه -گردنه مرصاد-جاده حسن آباد-دوراهي انجيرك كارخانه آسفالت شركت راكن"</f>
        <v>تخليه -كرمانشاه -گردنه مرصاد-جاده حسن آباد-دوراهي انجيرك كارخانه آسفالت شركت راكن</v>
      </c>
      <c r="D699" s="1">
        <v>9061</v>
      </c>
      <c r="E699" s="1">
        <v>326960</v>
      </c>
      <c r="F699" s="1">
        <v>95</v>
      </c>
      <c r="G699" s="1">
        <v>6960</v>
      </c>
      <c r="H699" s="1" t="str">
        <f>"95/10/05"</f>
        <v>95/10/05</v>
      </c>
      <c r="I699" s="1" t="str">
        <f t="shared" si="157"/>
        <v>كيلوگرم</v>
      </c>
      <c r="J699" s="1" t="str">
        <f t="shared" si="179"/>
        <v>0000000091</v>
      </c>
      <c r="K699" s="1" t="str">
        <f t="shared" si="180"/>
        <v>قير  PG64-22</v>
      </c>
      <c r="L699" s="1">
        <v>100</v>
      </c>
      <c r="M699" s="1" t="str">
        <f t="shared" si="164"/>
        <v>مخازن قير اصفهان</v>
      </c>
      <c r="N699" s="1">
        <v>9495</v>
      </c>
      <c r="O699" s="1">
        <v>50033149</v>
      </c>
      <c r="P699" s="1" t="str">
        <f>"  راه و ساختمان راكن"</f>
        <v xml:space="preserve">  راه و ساختمان راكن</v>
      </c>
      <c r="Q699" s="1">
        <v>18</v>
      </c>
      <c r="R699" s="1" t="str">
        <f>"فروش داخلي تهران - وزارت راه - شرکت ساخت و توسعه راهها"</f>
        <v>فروش داخلي تهران - وزارت راه - شرکت ساخت و توسعه راهها</v>
      </c>
      <c r="S699" s="1" t="str">
        <f t="shared" si="160"/>
        <v>قرارداد فروش</v>
      </c>
      <c r="T699" s="1" t="str">
        <f t="shared" si="161"/>
        <v>ندارد</v>
      </c>
      <c r="U699" s="1" t="str">
        <f>"سليمي پارساعارف عماد(1901096)"</f>
        <v>سليمي پارساعارف عماد(1901096)</v>
      </c>
      <c r="V699" s="1">
        <v>951800111</v>
      </c>
      <c r="W699" s="1">
        <v>951800111</v>
      </c>
      <c r="X699" s="1" t="str">
        <f>"1395446080"</f>
        <v>1395446080</v>
      </c>
      <c r="Y699" s="1" t="str">
        <f>"95/10/05"</f>
        <v>95/10/05</v>
      </c>
      <c r="Z699" s="1" t="str">
        <f>"40592/710"</f>
        <v>40592/710</v>
      </c>
      <c r="AA699" s="1" t="str">
        <f>"شركت  ساخت وتوسعه راهها"</f>
        <v>شركت  ساخت وتوسعه راهها</v>
      </c>
      <c r="AB699" s="1" t="str">
        <f>"95/08/19"</f>
        <v>95/08/19</v>
      </c>
      <c r="AC699" s="1" t="str">
        <f>"استان ايلام"</f>
        <v>استان ايلام</v>
      </c>
      <c r="AD699" s="1" t="str">
        <f>"95/08/26"</f>
        <v>95/08/26</v>
      </c>
      <c r="AE699" s="1" t="str">
        <f t="shared" si="185"/>
        <v>اختتام</v>
      </c>
      <c r="AF699" s="1" t="str">
        <f>""</f>
        <v/>
      </c>
      <c r="AG699" s="1" t="str">
        <f>""</f>
        <v/>
      </c>
      <c r="AH699" s="1" t="str">
        <f>""</f>
        <v/>
      </c>
      <c r="AI699" s="1" t="str">
        <f>""</f>
        <v/>
      </c>
      <c r="AJ699" s="1" t="str">
        <f>""</f>
        <v/>
      </c>
      <c r="AK699" s="1" t="str">
        <f>""</f>
        <v/>
      </c>
    </row>
    <row r="700" spans="1:37" x14ac:dyDescent="0.2">
      <c r="A700" s="1">
        <v>700000</v>
      </c>
      <c r="B700" s="1">
        <v>951700130</v>
      </c>
      <c r="C700" s="1" t="str">
        <f>"تخليه - کيلومتر 30جاده سيرجان-بافت کارخانه آسفالت سيرجان بتن راه"</f>
        <v>تخليه - کيلومتر 30جاده سيرجان-بافت کارخانه آسفالت سيرجان بتن راه</v>
      </c>
      <c r="D700" s="1">
        <v>6726</v>
      </c>
      <c r="E700" s="1">
        <v>668280</v>
      </c>
      <c r="F700" s="1">
        <v>95</v>
      </c>
      <c r="G700" s="1">
        <v>31720</v>
      </c>
      <c r="H700" s="1" t="str">
        <f>"95/05/06"</f>
        <v>95/05/06</v>
      </c>
      <c r="I700" s="1" t="str">
        <f t="shared" si="157"/>
        <v>كيلوگرم</v>
      </c>
      <c r="J700" s="1" t="str">
        <f t="shared" si="179"/>
        <v>0000000091</v>
      </c>
      <c r="K700" s="1" t="str">
        <f t="shared" si="180"/>
        <v>قير  PG64-22</v>
      </c>
      <c r="L700" s="1">
        <v>100</v>
      </c>
      <c r="M700" s="1" t="str">
        <f t="shared" si="164"/>
        <v>مخازن قير اصفهان</v>
      </c>
      <c r="N700" s="1">
        <v>9528</v>
      </c>
      <c r="O700" s="1">
        <v>50031391</v>
      </c>
      <c r="P700" s="1" t="str">
        <f>"  سيرجان بتن راه"</f>
        <v xml:space="preserve">  سيرجان بتن راه</v>
      </c>
      <c r="Q700" s="1">
        <v>17</v>
      </c>
      <c r="R700" s="1" t="str">
        <f>"فروش داخلي تهران - وزارت راه - راه روستايي - روکش"</f>
        <v>فروش داخلي تهران - وزارت راه - راه روستايي - روکش</v>
      </c>
      <c r="S700" s="1" t="str">
        <f t="shared" si="160"/>
        <v>قرارداد فروش</v>
      </c>
      <c r="T700" s="1" t="str">
        <f t="shared" si="161"/>
        <v>ندارد</v>
      </c>
      <c r="U700" s="1" t="str">
        <f>"خضرائي فريدون(4844003)"</f>
        <v>خضرائي فريدون(4844003)</v>
      </c>
      <c r="V700" s="1">
        <v>951700130</v>
      </c>
      <c r="W700" s="1">
        <v>951700130</v>
      </c>
      <c r="X700" s="1" t="str">
        <f>"1395419176"</f>
        <v>1395419176</v>
      </c>
      <c r="Y700" s="1" t="str">
        <f>"95/05/06"</f>
        <v>95/05/06</v>
      </c>
      <c r="Z700" s="1" t="str">
        <f>"19456/510"</f>
        <v>19456/510</v>
      </c>
      <c r="AA700" s="1" t="str">
        <f>"راه روستائي -روكش"</f>
        <v>راه روستائي -روكش</v>
      </c>
      <c r="AB700" s="1" t="str">
        <f>"95/05/03"</f>
        <v>95/05/03</v>
      </c>
      <c r="AC700" s="1" t="str">
        <f>"استان كرمان"</f>
        <v>استان كرمان</v>
      </c>
      <c r="AD700" s="1" t="str">
        <f>"95/05/06"</f>
        <v>95/05/06</v>
      </c>
      <c r="AE700" s="1" t="str">
        <f t="shared" si="185"/>
        <v>اختتام</v>
      </c>
      <c r="AF700" s="1" t="str">
        <f>""</f>
        <v/>
      </c>
      <c r="AG700" s="1" t="str">
        <f>""</f>
        <v/>
      </c>
      <c r="AH700" s="1" t="str">
        <f>""</f>
        <v/>
      </c>
      <c r="AI700" s="1" t="str">
        <f>""</f>
        <v/>
      </c>
      <c r="AJ700" s="1" t="str">
        <f>""</f>
        <v/>
      </c>
      <c r="AK700" s="1" t="str">
        <f>""</f>
        <v/>
      </c>
    </row>
    <row r="701" spans="1:37" x14ac:dyDescent="0.2">
      <c r="A701" s="1">
        <v>500000</v>
      </c>
      <c r="B701" s="1">
        <v>951900008</v>
      </c>
      <c r="C701" s="1" t="str">
        <f>"تخليه -زنجان -طارم -گيلوان -كيلومتر3جاده گيلوان به آب بركارخانه آسفالت سلان سر"</f>
        <v>تخليه -زنجان -طارم -گيلوان -كيلومتر3جاده گيلوان به آب بركارخانه آسفالت سلان سر</v>
      </c>
      <c r="D701" s="1">
        <v>5650</v>
      </c>
      <c r="E701" s="1">
        <v>497980</v>
      </c>
      <c r="F701" s="1">
        <v>95</v>
      </c>
      <c r="G701" s="1">
        <v>2020</v>
      </c>
      <c r="H701" s="1" t="str">
        <f>"95/02/14"</f>
        <v>95/02/14</v>
      </c>
      <c r="I701" s="1" t="str">
        <f t="shared" si="157"/>
        <v>كيلوگرم</v>
      </c>
      <c r="J701" s="1" t="str">
        <f>"0000000088"</f>
        <v>0000000088</v>
      </c>
      <c r="K701" s="1" t="str">
        <f>"قير  PG58-22"</f>
        <v>قير  PG58-22</v>
      </c>
      <c r="L701" s="1">
        <v>100</v>
      </c>
      <c r="M701" s="1" t="str">
        <f t="shared" si="164"/>
        <v>مخازن قير اصفهان</v>
      </c>
      <c r="N701" s="1">
        <v>9766</v>
      </c>
      <c r="O701" s="1">
        <v>50030717</v>
      </c>
      <c r="P701" s="1" t="str">
        <f>"  سلان سر"</f>
        <v xml:space="preserve">  سلان سر</v>
      </c>
      <c r="Q701" s="1">
        <v>19</v>
      </c>
      <c r="R7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01" s="1" t="str">
        <f t="shared" si="160"/>
        <v>قرارداد فروش</v>
      </c>
      <c r="T701" s="1" t="str">
        <f t="shared" si="161"/>
        <v>ندارد</v>
      </c>
      <c r="U701" s="1" t="str">
        <f>"خليل الهي حسن(1841005)"</f>
        <v>خليل الهي حسن(1841005)</v>
      </c>
      <c r="V701" s="1">
        <v>951900008</v>
      </c>
      <c r="W701" s="1">
        <v>951900008</v>
      </c>
      <c r="X701" s="1" t="str">
        <f>"1395401951"</f>
        <v>1395401951</v>
      </c>
      <c r="Y701" s="1" t="str">
        <f>"95/02/14"</f>
        <v>95/02/14</v>
      </c>
      <c r="Z701" s="1" t="str">
        <f>"69324/510"</f>
        <v>69324/510</v>
      </c>
      <c r="AA701" s="1" t="str">
        <f>"سازمان راهداري وحمل نقل جاده اي"</f>
        <v>سازمان راهداري وحمل نقل جاده اي</v>
      </c>
      <c r="AB701" s="1" t="str">
        <f>"94/12/18"</f>
        <v>94/12/18</v>
      </c>
      <c r="AC701" s="1" t="str">
        <f>"استان زنجان"</f>
        <v>استان زنجان</v>
      </c>
      <c r="AD701" s="1" t="str">
        <f>"95/02/11"</f>
        <v>95/02/11</v>
      </c>
      <c r="AE701" s="1" t="str">
        <f t="shared" si="185"/>
        <v>اختتام</v>
      </c>
      <c r="AF701" s="1" t="str">
        <f>""</f>
        <v/>
      </c>
      <c r="AG701" s="1" t="str">
        <f>""</f>
        <v/>
      </c>
      <c r="AH701" s="1" t="str">
        <f>""</f>
        <v/>
      </c>
      <c r="AI701" s="1" t="str">
        <f>""</f>
        <v/>
      </c>
      <c r="AJ701" s="1" t="str">
        <f>""</f>
        <v/>
      </c>
      <c r="AK701" s="1" t="str">
        <f>""</f>
        <v/>
      </c>
    </row>
    <row r="702" spans="1:37" x14ac:dyDescent="0.2">
      <c r="A702" s="1">
        <v>100000</v>
      </c>
      <c r="B702" s="1">
        <v>951400055</v>
      </c>
      <c r="C702" s="1" t="str">
        <f>"تخليه كردستان سقزپليس راه جاده مريوان كيلومتر5كارخانه آسفالت روزهلات"</f>
        <v>تخليه كردستان سقزپليس راه جاده مريوان كيلومتر5كارخانه آسفالت روزهلات</v>
      </c>
      <c r="D702" s="1">
        <v>6726</v>
      </c>
      <c r="E702" s="1">
        <v>99080</v>
      </c>
      <c r="F702" s="1">
        <v>95</v>
      </c>
      <c r="G702" s="1">
        <v>920</v>
      </c>
      <c r="H702" s="1" t="str">
        <f>"95/05/18"</f>
        <v>95/05/18</v>
      </c>
      <c r="I702" s="1" t="str">
        <f t="shared" si="157"/>
        <v>كيلوگرم</v>
      </c>
      <c r="J702" s="1" t="str">
        <f>"0000000088"</f>
        <v>0000000088</v>
      </c>
      <c r="K702" s="1" t="str">
        <f>"قير  PG58-22"</f>
        <v>قير  PG58-22</v>
      </c>
      <c r="L702" s="1">
        <v>100</v>
      </c>
      <c r="M702" s="1" t="str">
        <f t="shared" si="164"/>
        <v>مخازن قير اصفهان</v>
      </c>
      <c r="N702" s="1">
        <v>9818</v>
      </c>
      <c r="O702" s="1">
        <v>50031471</v>
      </c>
      <c r="P702" s="1" t="str">
        <f>"  كاردان بهسازغرب"</f>
        <v xml:space="preserve">  كاردان بهسازغرب</v>
      </c>
      <c r="Q702" s="1">
        <v>14</v>
      </c>
      <c r="R702" s="1" t="str">
        <f>"فروش داخلي - وزارت راه - حوزه راه روستايي ساخت"</f>
        <v>فروش داخلي - وزارت راه - حوزه راه روستايي ساخت</v>
      </c>
      <c r="S702" s="1" t="str">
        <f t="shared" si="160"/>
        <v>قرارداد فروش</v>
      </c>
      <c r="T702" s="1" t="str">
        <f t="shared" si="161"/>
        <v>ندارد</v>
      </c>
      <c r="U702" s="1" t="str">
        <f>"ميهن دوست عبداله(2842010)"</f>
        <v>ميهن دوست عبداله(2842010)</v>
      </c>
      <c r="V702" s="1">
        <v>951400055</v>
      </c>
      <c r="W702" s="1">
        <v>951400055</v>
      </c>
      <c r="X702" s="1" t="str">
        <f>"1395421997"</f>
        <v>1395421997</v>
      </c>
      <c r="Y702" s="1" t="str">
        <f>"95/05/18"</f>
        <v>95/05/18</v>
      </c>
      <c r="Z702" s="1" t="str">
        <f>"21228/510"</f>
        <v>21228/510</v>
      </c>
      <c r="AA702" s="1" t="str">
        <f>"راه وروستايي -ساخت"</f>
        <v>راه وروستايي -ساخت</v>
      </c>
      <c r="AB702" s="1" t="str">
        <f>"95/05/12"</f>
        <v>95/05/12</v>
      </c>
      <c r="AC702" s="1" t="str">
        <f>"استان كردستان"</f>
        <v>استان كردستان</v>
      </c>
      <c r="AD702" s="1" t="str">
        <f>"95/05/18"</f>
        <v>95/05/18</v>
      </c>
      <c r="AE702" s="1" t="str">
        <f t="shared" si="185"/>
        <v>اختتام</v>
      </c>
      <c r="AF702" s="1" t="str">
        <f>""</f>
        <v/>
      </c>
      <c r="AG702" s="1" t="str">
        <f>""</f>
        <v/>
      </c>
      <c r="AH702" s="1" t="str">
        <f>""</f>
        <v/>
      </c>
      <c r="AI702" s="1" t="str">
        <f>""</f>
        <v/>
      </c>
      <c r="AJ702" s="1" t="str">
        <f>""</f>
        <v/>
      </c>
      <c r="AK702" s="1" t="str">
        <f>""</f>
        <v/>
      </c>
    </row>
    <row r="703" spans="1:37" x14ac:dyDescent="0.2">
      <c r="A703" s="1">
        <v>2500000</v>
      </c>
      <c r="B703" s="1">
        <v>951600030</v>
      </c>
      <c r="C703" s="1" t="str">
        <f>"تخليه سيستان وبلوچستان -زاهدان فرودگاه زاهدان"</f>
        <v>تخليه سيستان وبلوچستان -زاهدان فرودگاه زاهدان</v>
      </c>
      <c r="D703" s="1">
        <v>7276</v>
      </c>
      <c r="E703" s="1">
        <v>644460</v>
      </c>
      <c r="F703" s="1">
        <v>95</v>
      </c>
      <c r="G703" s="1">
        <v>1855540</v>
      </c>
      <c r="H703" s="1" t="str">
        <f>"95/07/04"</f>
        <v>95/07/04</v>
      </c>
      <c r="I703" s="1" t="str">
        <f t="shared" si="157"/>
        <v>كيلوگرم</v>
      </c>
      <c r="J703" s="1" t="str">
        <f t="shared" ref="J703:J712" si="186">"0000000091"</f>
        <v>0000000091</v>
      </c>
      <c r="K703" s="1" t="str">
        <f t="shared" ref="K703:K712" si="187">"قير  PG64-22"</f>
        <v>قير  PG64-22</v>
      </c>
      <c r="L703" s="1">
        <v>100</v>
      </c>
      <c r="M703" s="1" t="str">
        <f t="shared" si="164"/>
        <v>مخازن قير اصفهان</v>
      </c>
      <c r="N703" s="1">
        <v>4077</v>
      </c>
      <c r="O703" s="1">
        <v>50031933</v>
      </c>
      <c r="P703" s="1" t="str">
        <f>"  ساوير"</f>
        <v xml:space="preserve">  ساوير</v>
      </c>
      <c r="Q703" s="1">
        <v>16</v>
      </c>
      <c r="R703" s="1" t="str">
        <f>"فروش داخلي تهران - وزارت راه - معاونت اقتصاد"</f>
        <v>فروش داخلي تهران - وزارت راه - معاونت اقتصاد</v>
      </c>
      <c r="S703" s="1" t="str">
        <f t="shared" si="160"/>
        <v>قرارداد فروش</v>
      </c>
      <c r="T703" s="1" t="str">
        <f t="shared" si="161"/>
        <v>ندارد</v>
      </c>
      <c r="U703" s="1" t="str">
        <f>"شيشه بر كريم(1841016)"</f>
        <v>شيشه بر كريم(1841016)</v>
      </c>
      <c r="V703" s="1">
        <v>951600030</v>
      </c>
      <c r="W703" s="1">
        <v>951600030</v>
      </c>
      <c r="X703" s="1" t="str">
        <f>"1395433638"</f>
        <v>1395433638</v>
      </c>
      <c r="Y703" s="1" t="str">
        <f>"95/07/04"</f>
        <v>95/07/04</v>
      </c>
      <c r="Z703" s="1" t="str">
        <f>"31183/510"</f>
        <v>31183/510</v>
      </c>
      <c r="AA703" s="1" t="str">
        <f>"معاونت اقتصادوزارت راه وشهرسازي"</f>
        <v>معاونت اقتصادوزارت راه وشهرسازي</v>
      </c>
      <c r="AB703" s="1" t="str">
        <f>"95/06/31"</f>
        <v>95/06/31</v>
      </c>
      <c r="AC703" s="1" t="str">
        <f>"استان سيستان بلوچستان"</f>
        <v>استان سيستان بلوچستان</v>
      </c>
      <c r="AD703" s="1" t="str">
        <f>"95/07/04"</f>
        <v>95/07/04</v>
      </c>
      <c r="AE703" s="1" t="str">
        <f t="shared" si="185"/>
        <v>اختتام</v>
      </c>
      <c r="AF703" s="1" t="str">
        <f>""</f>
        <v/>
      </c>
      <c r="AG703" s="1" t="str">
        <f>""</f>
        <v/>
      </c>
      <c r="AH703" s="1" t="str">
        <f>""</f>
        <v/>
      </c>
      <c r="AI703" s="1" t="str">
        <f>""</f>
        <v/>
      </c>
      <c r="AJ703" s="1" t="str">
        <f>""</f>
        <v/>
      </c>
      <c r="AK703" s="1" t="str">
        <f>""</f>
        <v/>
      </c>
    </row>
    <row r="704" spans="1:37" x14ac:dyDescent="0.2">
      <c r="A704" s="1">
        <v>258000</v>
      </c>
      <c r="B704" s="1">
        <v>951400153</v>
      </c>
      <c r="C704" s="1" t="str">
        <f>"تخليه -سيستان وبلوچستان -زابل كارخانه آسفالت عطارديان"</f>
        <v>تخليه -سيستان وبلوچستان -زابل كارخانه آسفالت عطارديان</v>
      </c>
      <c r="D704" s="1">
        <v>9068</v>
      </c>
      <c r="E704" s="1">
        <v>258000</v>
      </c>
      <c r="F704" s="1">
        <v>95</v>
      </c>
      <c r="G704" s="1">
        <v>0</v>
      </c>
      <c r="H704" s="1" t="str">
        <f>"95/11/27"</f>
        <v>95/11/27</v>
      </c>
      <c r="I704" s="1" t="str">
        <f t="shared" si="157"/>
        <v>كيلوگرم</v>
      </c>
      <c r="J704" s="1" t="str">
        <f t="shared" si="186"/>
        <v>0000000091</v>
      </c>
      <c r="K704" s="1" t="str">
        <f t="shared" si="187"/>
        <v>قير  PG64-22</v>
      </c>
      <c r="L704" s="1">
        <v>100</v>
      </c>
      <c r="M704" s="1" t="str">
        <f t="shared" si="164"/>
        <v>مخازن قير اصفهان</v>
      </c>
      <c r="N704" s="1">
        <v>4095</v>
      </c>
      <c r="O704" s="1">
        <v>50034283</v>
      </c>
      <c r="P704" s="1" t="str">
        <f>"  اداره كل راه وشهرسازي سيستان وبلوچستان"</f>
        <v xml:space="preserve">  اداره كل راه وشهرسازي سيستان وبلوچستان</v>
      </c>
      <c r="Q704" s="1">
        <v>14</v>
      </c>
      <c r="R704" s="1" t="str">
        <f>"فروش داخلي - وزارت راه - حوزه راه روستايي ساخت"</f>
        <v>فروش داخلي - وزارت راه - حوزه راه روستايي ساخت</v>
      </c>
      <c r="S704" s="1" t="str">
        <f t="shared" si="160"/>
        <v>قرارداد فروش</v>
      </c>
      <c r="T704" s="1" t="str">
        <f t="shared" si="161"/>
        <v>ندارد</v>
      </c>
      <c r="U704" s="1" t="str">
        <f>"ميرحسيني چاپارحقيقت كرمان(4844008)"</f>
        <v>ميرحسيني چاپارحقيقت كرمان(4844008)</v>
      </c>
      <c r="V704" s="1">
        <v>951400153</v>
      </c>
      <c r="W704" s="1">
        <v>951400153</v>
      </c>
      <c r="X704" s="1" t="str">
        <f>"1395464668"</f>
        <v>1395464668</v>
      </c>
      <c r="Y704" s="1" t="str">
        <f>"95/11/26"</f>
        <v>95/11/26</v>
      </c>
      <c r="Z704" s="1" t="str">
        <f>"56311/710"</f>
        <v>56311/710</v>
      </c>
      <c r="AA704" s="1" t="str">
        <f>"راه وروستايي -ساخت"</f>
        <v>راه وروستايي -ساخت</v>
      </c>
      <c r="AB704" s="1" t="str">
        <f>"95/11/12"</f>
        <v>95/11/12</v>
      </c>
      <c r="AC704" s="1" t="str">
        <f>"استان سيستان بلوچستان"</f>
        <v>استان سيستان بلوچستان</v>
      </c>
      <c r="AD704" s="1" t="str">
        <f>"95/11/25"</f>
        <v>95/11/25</v>
      </c>
      <c r="AE704" s="1" t="str">
        <f t="shared" si="185"/>
        <v>اختتام</v>
      </c>
      <c r="AF704" s="1" t="str">
        <f>""</f>
        <v/>
      </c>
      <c r="AG704" s="1" t="str">
        <f>""</f>
        <v/>
      </c>
      <c r="AH704" s="1" t="str">
        <f>""</f>
        <v/>
      </c>
      <c r="AI704" s="1" t="str">
        <f>""</f>
        <v/>
      </c>
      <c r="AJ704" s="1" t="str">
        <f>""</f>
        <v/>
      </c>
      <c r="AK704" s="1" t="str">
        <f>""</f>
        <v/>
      </c>
    </row>
    <row r="705" spans="1:37" x14ac:dyDescent="0.2">
      <c r="A705" s="1">
        <v>172000</v>
      </c>
      <c r="B705" s="1">
        <v>951400154</v>
      </c>
      <c r="C705" s="1" t="str">
        <f>"تخليه -سيستان وبلوچستان -زابل كارخانه آسفالت عطارديان"</f>
        <v>تخليه -سيستان وبلوچستان -زابل كارخانه آسفالت عطارديان</v>
      </c>
      <c r="D705" s="1">
        <v>9068</v>
      </c>
      <c r="E705" s="1">
        <v>162720</v>
      </c>
      <c r="F705" s="1">
        <v>95</v>
      </c>
      <c r="G705" s="1">
        <v>9280</v>
      </c>
      <c r="H705" s="1" t="str">
        <f>"95/11/27"</f>
        <v>95/11/27</v>
      </c>
      <c r="I705" s="1" t="str">
        <f t="shared" si="157"/>
        <v>كيلوگرم</v>
      </c>
      <c r="J705" s="1" t="str">
        <f t="shared" si="186"/>
        <v>0000000091</v>
      </c>
      <c r="K705" s="1" t="str">
        <f t="shared" si="187"/>
        <v>قير  PG64-22</v>
      </c>
      <c r="L705" s="1">
        <v>100</v>
      </c>
      <c r="M705" s="1" t="str">
        <f t="shared" si="164"/>
        <v>مخازن قير اصفهان</v>
      </c>
      <c r="N705" s="1">
        <v>4095</v>
      </c>
      <c r="O705" s="1">
        <v>50034284</v>
      </c>
      <c r="P705" s="1" t="str">
        <f>"  اداره كل راه وشهرسازي سيستان وبلوچستان"</f>
        <v xml:space="preserve">  اداره كل راه وشهرسازي سيستان وبلوچستان</v>
      </c>
      <c r="Q705" s="1">
        <v>14</v>
      </c>
      <c r="R705" s="1" t="str">
        <f>"فروش داخلي - وزارت راه - حوزه راه روستايي ساخت"</f>
        <v>فروش داخلي - وزارت راه - حوزه راه روستايي ساخت</v>
      </c>
      <c r="S705" s="1" t="str">
        <f t="shared" si="160"/>
        <v>قرارداد فروش</v>
      </c>
      <c r="T705" s="1" t="str">
        <f t="shared" si="161"/>
        <v>ندارد</v>
      </c>
      <c r="U705" s="1" t="str">
        <f>"ميرحسيني چاپارحقيقت كرمان(4844008)"</f>
        <v>ميرحسيني چاپارحقيقت كرمان(4844008)</v>
      </c>
      <c r="V705" s="1">
        <v>951400154</v>
      </c>
      <c r="W705" s="1">
        <v>951400154</v>
      </c>
      <c r="X705" s="1" t="str">
        <f>"1395464668"</f>
        <v>1395464668</v>
      </c>
      <c r="Y705" s="1" t="str">
        <f>"95/11/26"</f>
        <v>95/11/26</v>
      </c>
      <c r="Z705" s="1" t="str">
        <f>"56313/710"</f>
        <v>56313/710</v>
      </c>
      <c r="AA705" s="1" t="str">
        <f>"راه وروستايي -ساخت"</f>
        <v>راه وروستايي -ساخت</v>
      </c>
      <c r="AB705" s="1" t="str">
        <f>"95/11/12"</f>
        <v>95/11/12</v>
      </c>
      <c r="AC705" s="1" t="str">
        <f>"استان سيستان بلوچستان"</f>
        <v>استان سيستان بلوچستان</v>
      </c>
      <c r="AD705" s="1" t="str">
        <f>"95/11/25"</f>
        <v>95/11/25</v>
      </c>
      <c r="AE705" s="1" t="str">
        <f t="shared" si="185"/>
        <v>اختتام</v>
      </c>
      <c r="AF705" s="1" t="str">
        <f>""</f>
        <v/>
      </c>
      <c r="AG705" s="1" t="str">
        <f>""</f>
        <v/>
      </c>
      <c r="AH705" s="1" t="str">
        <f>""</f>
        <v/>
      </c>
      <c r="AI705" s="1" t="str">
        <f>""</f>
        <v/>
      </c>
      <c r="AJ705" s="1" t="str">
        <f>""</f>
        <v/>
      </c>
      <c r="AK705" s="1" t="str">
        <f>""</f>
        <v/>
      </c>
    </row>
    <row r="706" spans="1:37" x14ac:dyDescent="0.2">
      <c r="A706" s="1">
        <v>172000</v>
      </c>
      <c r="B706" s="1">
        <v>951400157</v>
      </c>
      <c r="C706" s="1" t="str">
        <f>"تخليه -سيستان وبلوچستان -زابل كارخانه آسفالت عطارديان"</f>
        <v>تخليه -سيستان وبلوچستان -زابل كارخانه آسفالت عطارديان</v>
      </c>
      <c r="D706" s="1">
        <v>9354</v>
      </c>
      <c r="E706" s="1">
        <v>172000</v>
      </c>
      <c r="F706" s="1">
        <v>95</v>
      </c>
      <c r="G706" s="1">
        <v>0</v>
      </c>
      <c r="H706" s="1" t="str">
        <f>"95/11/27"</f>
        <v>95/11/27</v>
      </c>
      <c r="I706" s="1" t="str">
        <f t="shared" ref="I706:I769" si="188">"كيلوگرم"</f>
        <v>كيلوگرم</v>
      </c>
      <c r="J706" s="1" t="str">
        <f t="shared" si="186"/>
        <v>0000000091</v>
      </c>
      <c r="K706" s="1" t="str">
        <f t="shared" si="187"/>
        <v>قير  PG64-22</v>
      </c>
      <c r="L706" s="1">
        <v>100</v>
      </c>
      <c r="M706" s="1" t="str">
        <f t="shared" si="164"/>
        <v>مخازن قير اصفهان</v>
      </c>
      <c r="N706" s="1">
        <v>4095</v>
      </c>
      <c r="O706" s="1">
        <v>50034287</v>
      </c>
      <c r="P706" s="1" t="str">
        <f>"  اداره كل راه وشهرسازي سيستان وبلوچستان"</f>
        <v xml:space="preserve">  اداره كل راه وشهرسازي سيستان وبلوچستان</v>
      </c>
      <c r="Q706" s="1">
        <v>14</v>
      </c>
      <c r="R706" s="1" t="str">
        <f>"فروش داخلي - وزارت راه - حوزه راه روستايي ساخت"</f>
        <v>فروش داخلي - وزارت راه - حوزه راه روستايي ساخت</v>
      </c>
      <c r="S706" s="1" t="str">
        <f t="shared" ref="S706:S769" si="189">"قرارداد فروش"</f>
        <v>قرارداد فروش</v>
      </c>
      <c r="T706" s="1" t="str">
        <f t="shared" ref="T706:T769" si="190">"ندارد"</f>
        <v>ندارد</v>
      </c>
      <c r="U706" s="1" t="str">
        <f>"ميرحسيني چاپارحقيقت كرمان(4844008)"</f>
        <v>ميرحسيني چاپارحقيقت كرمان(4844008)</v>
      </c>
      <c r="V706" s="1">
        <v>951400157</v>
      </c>
      <c r="W706" s="1">
        <v>951400157</v>
      </c>
      <c r="X706" s="1" t="str">
        <f>"1395464668"</f>
        <v>1395464668</v>
      </c>
      <c r="Y706" s="1" t="str">
        <f>"95/11/26"</f>
        <v>95/11/26</v>
      </c>
      <c r="Z706" s="1" t="str">
        <f>"56324/710"</f>
        <v>56324/710</v>
      </c>
      <c r="AA706" s="1" t="str">
        <f>"راه وروستايي -ساخت"</f>
        <v>راه وروستايي -ساخت</v>
      </c>
      <c r="AB706" s="1" t="str">
        <f>"95/11/12"</f>
        <v>95/11/12</v>
      </c>
      <c r="AC706" s="1" t="str">
        <f>"استان سيستان بلوچستان"</f>
        <v>استان سيستان بلوچستان</v>
      </c>
      <c r="AD706" s="1" t="str">
        <f>"95/11/25"</f>
        <v>95/11/25</v>
      </c>
      <c r="AE706" s="1" t="str">
        <f t="shared" si="185"/>
        <v>اختتام</v>
      </c>
      <c r="AF706" s="1" t="str">
        <f>""</f>
        <v/>
      </c>
      <c r="AG706" s="1" t="str">
        <f>""</f>
        <v/>
      </c>
      <c r="AH706" s="1" t="str">
        <f>""</f>
        <v/>
      </c>
      <c r="AI706" s="1" t="str">
        <f>""</f>
        <v/>
      </c>
      <c r="AJ706" s="1" t="str">
        <f>""</f>
        <v/>
      </c>
      <c r="AK706" s="1" t="str">
        <f>""</f>
        <v/>
      </c>
    </row>
    <row r="707" spans="1:37" x14ac:dyDescent="0.2">
      <c r="A707" s="1">
        <v>288000</v>
      </c>
      <c r="B707" s="1">
        <v>951700126</v>
      </c>
      <c r="C707" s="1" t="str">
        <f>"تخليه - محور رفسنجان يزد شرکت تعاوني دهياري ها"</f>
        <v>تخليه - محور رفسنجان يزد شرکت تعاوني دهياري ها</v>
      </c>
      <c r="D707" s="1">
        <v>6726</v>
      </c>
      <c r="E707" s="1">
        <v>287420</v>
      </c>
      <c r="F707" s="1">
        <v>95</v>
      </c>
      <c r="G707" s="1">
        <v>580</v>
      </c>
      <c r="H707" s="1" t="str">
        <f>"95/05/06"</f>
        <v>95/05/06</v>
      </c>
      <c r="I707" s="1" t="str">
        <f t="shared" si="188"/>
        <v>كيلوگرم</v>
      </c>
      <c r="J707" s="1" t="str">
        <f t="shared" si="186"/>
        <v>0000000091</v>
      </c>
      <c r="K707" s="1" t="str">
        <f t="shared" si="187"/>
        <v>قير  PG64-22</v>
      </c>
      <c r="L707" s="1">
        <v>100</v>
      </c>
      <c r="M707" s="1" t="str">
        <f t="shared" si="164"/>
        <v>مخازن قير اصفهان</v>
      </c>
      <c r="N707" s="1">
        <v>7034</v>
      </c>
      <c r="O707" s="1">
        <v>50031384</v>
      </c>
      <c r="P707" s="1" t="str">
        <f>"  اداره كل راه وشهرسازي كرمان"</f>
        <v xml:space="preserve">  اداره كل راه وشهرسازي كرمان</v>
      </c>
      <c r="Q707" s="1">
        <v>17</v>
      </c>
      <c r="R707" s="1" t="str">
        <f>"فروش داخلي تهران - وزارت راه - راه روستايي - روکش"</f>
        <v>فروش داخلي تهران - وزارت راه - راه روستايي - روکش</v>
      </c>
      <c r="S707" s="1" t="str">
        <f t="shared" si="189"/>
        <v>قرارداد فروش</v>
      </c>
      <c r="T707" s="1" t="str">
        <f t="shared" si="190"/>
        <v>ندارد</v>
      </c>
      <c r="U707" s="1" t="str">
        <f>"خضرائي فريدون(4844003)"</f>
        <v>خضرائي فريدون(4844003)</v>
      </c>
      <c r="V707" s="1">
        <v>951700126</v>
      </c>
      <c r="W707" s="1">
        <v>951700126</v>
      </c>
      <c r="X707" s="1" t="str">
        <f>"1395418064"</f>
        <v>1395418064</v>
      </c>
      <c r="Y707" s="1" t="str">
        <f>"95/05/06"</f>
        <v>95/05/06</v>
      </c>
      <c r="Z707" s="1" t="str">
        <f>"19503/510"</f>
        <v>19503/510</v>
      </c>
      <c r="AA707" s="1" t="str">
        <f>"سازمان راهداري وحمل نقل جاده اي"</f>
        <v>سازمان راهداري وحمل نقل جاده اي</v>
      </c>
      <c r="AB707" s="1" t="str">
        <f>"95/05/03"</f>
        <v>95/05/03</v>
      </c>
      <c r="AC707" s="1" t="str">
        <f>"استان كرمان"</f>
        <v>استان كرمان</v>
      </c>
      <c r="AD707" s="1" t="str">
        <f>"95/05/05"</f>
        <v>95/05/05</v>
      </c>
      <c r="AE707" s="1" t="str">
        <f t="shared" si="185"/>
        <v>اختتام</v>
      </c>
      <c r="AF707" s="1" t="str">
        <f>""</f>
        <v/>
      </c>
      <c r="AG707" s="1" t="str">
        <f>""</f>
        <v/>
      </c>
      <c r="AH707" s="1" t="str">
        <f>""</f>
        <v/>
      </c>
      <c r="AI707" s="1" t="str">
        <f>""</f>
        <v/>
      </c>
      <c r="AJ707" s="1" t="str">
        <f>""</f>
        <v/>
      </c>
      <c r="AK707" s="1" t="str">
        <f>""</f>
        <v/>
      </c>
    </row>
    <row r="708" spans="1:37" x14ac:dyDescent="0.2">
      <c r="A708" s="1">
        <v>304520</v>
      </c>
      <c r="B708" s="1">
        <v>951700263</v>
      </c>
      <c r="C708" s="1" t="str">
        <f>"تخليه -كرمان جاده جوبارجاده گلومك كارخانه راه وباندكويركرمان"</f>
        <v>تخليه -كرمان جاده جوبارجاده گلومك كارخانه راه وباندكويركرمان</v>
      </c>
      <c r="D708" s="1">
        <v>8323</v>
      </c>
      <c r="E708" s="1">
        <v>22860</v>
      </c>
      <c r="F708" s="1">
        <v>95</v>
      </c>
      <c r="G708" s="1">
        <v>281660</v>
      </c>
      <c r="H708" s="1" t="str">
        <f>"95/08/08"</f>
        <v>95/08/08</v>
      </c>
      <c r="I708" s="1" t="str">
        <f t="shared" si="188"/>
        <v>كيلوگرم</v>
      </c>
      <c r="J708" s="1" t="str">
        <f t="shared" si="186"/>
        <v>0000000091</v>
      </c>
      <c r="K708" s="1" t="str">
        <f t="shared" si="187"/>
        <v>قير  PG64-22</v>
      </c>
      <c r="L708" s="1">
        <v>100</v>
      </c>
      <c r="M708" s="1" t="str">
        <f t="shared" si="164"/>
        <v>مخازن قير اصفهان</v>
      </c>
      <c r="N708" s="1">
        <v>7034</v>
      </c>
      <c r="O708" s="1">
        <v>50032389</v>
      </c>
      <c r="P708" s="1" t="str">
        <f>"  اداره كل راه وشهرسازي كرمان"</f>
        <v xml:space="preserve">  اداره كل راه وشهرسازي كرمان</v>
      </c>
      <c r="Q708" s="1">
        <v>17</v>
      </c>
      <c r="R708" s="1" t="str">
        <f>"فروش داخلي تهران - وزارت راه - راه روستايي - روکش"</f>
        <v>فروش داخلي تهران - وزارت راه - راه روستايي - روکش</v>
      </c>
      <c r="S708" s="1" t="str">
        <f t="shared" si="189"/>
        <v>قرارداد فروش</v>
      </c>
      <c r="T708" s="1" t="str">
        <f t="shared" si="190"/>
        <v>ندارد</v>
      </c>
      <c r="U708" s="1" t="str">
        <f>"قانعي محمدرضا(1011ج89)"</f>
        <v>قانعي محمدرضا(1011ج89)</v>
      </c>
      <c r="V708" s="1">
        <v>951700263</v>
      </c>
      <c r="W708" s="1">
        <v>951700263</v>
      </c>
      <c r="X708" s="1" t="str">
        <f>"1395436740"</f>
        <v>1395436740</v>
      </c>
      <c r="Y708" s="1" t="str">
        <f>"95/08/08"</f>
        <v>95/08/08</v>
      </c>
      <c r="Z708" s="1" t="str">
        <f>"33743/510"</f>
        <v>33743/510</v>
      </c>
      <c r="AA708" s="1" t="str">
        <f>"راه روستائي -روكش"</f>
        <v>راه روستائي -روكش</v>
      </c>
      <c r="AB708" s="1" t="str">
        <f>"95/07/13"</f>
        <v>95/07/13</v>
      </c>
      <c r="AC708" s="1" t="str">
        <f>"استان كرمان"</f>
        <v>استان كرمان</v>
      </c>
      <c r="AD708" s="1" t="str">
        <f>"95/07/17"</f>
        <v>95/07/17</v>
      </c>
      <c r="AE708" s="1" t="str">
        <f t="shared" si="185"/>
        <v>اختتام</v>
      </c>
      <c r="AF708" s="1" t="str">
        <f>""</f>
        <v/>
      </c>
      <c r="AG708" s="1" t="str">
        <f>""</f>
        <v/>
      </c>
      <c r="AH708" s="1" t="str">
        <f>""</f>
        <v/>
      </c>
      <c r="AI708" s="1" t="str">
        <f>""</f>
        <v/>
      </c>
      <c r="AJ708" s="1" t="str">
        <f>""</f>
        <v/>
      </c>
      <c r="AK708" s="1" t="str">
        <f>""</f>
        <v/>
      </c>
    </row>
    <row r="709" spans="1:37" x14ac:dyDescent="0.2">
      <c r="A709" s="1">
        <v>52300</v>
      </c>
      <c r="B709" s="1">
        <v>951700294</v>
      </c>
      <c r="C709" s="1" t="str">
        <f>"تخليه -کرمان-راور-کارخانه قلي زاده"</f>
        <v>تخليه -کرمان-راور-کارخانه قلي زاده</v>
      </c>
      <c r="D709" s="1">
        <v>9061</v>
      </c>
      <c r="E709" s="1">
        <v>51280</v>
      </c>
      <c r="F709" s="1">
        <v>95</v>
      </c>
      <c r="G709" s="1">
        <v>1020</v>
      </c>
      <c r="H709" s="1" t="str">
        <f>"95/10/05"</f>
        <v>95/10/05</v>
      </c>
      <c r="I709" s="1" t="str">
        <f t="shared" si="188"/>
        <v>كيلوگرم</v>
      </c>
      <c r="J709" s="1" t="str">
        <f t="shared" si="186"/>
        <v>0000000091</v>
      </c>
      <c r="K709" s="1" t="str">
        <f t="shared" si="187"/>
        <v>قير  PG64-22</v>
      </c>
      <c r="L709" s="1">
        <v>100</v>
      </c>
      <c r="M709" s="1" t="str">
        <f t="shared" si="164"/>
        <v>مخازن قير اصفهان</v>
      </c>
      <c r="N709" s="1">
        <v>7034</v>
      </c>
      <c r="O709" s="1">
        <v>50033139</v>
      </c>
      <c r="P709" s="1" t="str">
        <f>"  اداره كل راه وشهرسازي كرمان"</f>
        <v xml:space="preserve">  اداره كل راه وشهرسازي كرمان</v>
      </c>
      <c r="Q709" s="1">
        <v>17</v>
      </c>
      <c r="R709" s="1" t="str">
        <f>"فروش داخلي تهران - وزارت راه - راه روستايي - روکش"</f>
        <v>فروش داخلي تهران - وزارت راه - راه روستايي - روکش</v>
      </c>
      <c r="S709" s="1" t="str">
        <f t="shared" si="189"/>
        <v>قرارداد فروش</v>
      </c>
      <c r="T709" s="1" t="str">
        <f t="shared" si="190"/>
        <v>ندارد</v>
      </c>
      <c r="U709" s="1" t="str">
        <f>"قانعي محمدرضا(1011ج89)"</f>
        <v>قانعي محمدرضا(1011ج89)</v>
      </c>
      <c r="V709" s="1">
        <v>951700294</v>
      </c>
      <c r="W709" s="1">
        <v>951700294</v>
      </c>
      <c r="X709" s="1" t="str">
        <f>"1395423492"</f>
        <v>1395423492</v>
      </c>
      <c r="Y709" s="1" t="str">
        <f>"95/10/05"</f>
        <v>95/10/05</v>
      </c>
      <c r="Z709" s="1" t="str">
        <f>"22306/510"</f>
        <v>22306/510</v>
      </c>
      <c r="AA709" s="1" t="str">
        <f>"راه روستائي -روكش"</f>
        <v>راه روستائي -روكش</v>
      </c>
      <c r="AB709" s="1" t="str">
        <f>"95/05/18"</f>
        <v>95/05/18</v>
      </c>
      <c r="AC709" s="1" t="str">
        <f>"استان كرمان"</f>
        <v>استان كرمان</v>
      </c>
      <c r="AD709" s="1" t="str">
        <f>"95/05/23"</f>
        <v>95/05/23</v>
      </c>
      <c r="AE709" s="1" t="str">
        <f t="shared" si="185"/>
        <v>اختتام</v>
      </c>
      <c r="AF709" s="1" t="str">
        <f>""</f>
        <v/>
      </c>
      <c r="AG709" s="1" t="str">
        <f>""</f>
        <v/>
      </c>
      <c r="AH709" s="1" t="str">
        <f>""</f>
        <v/>
      </c>
      <c r="AI709" s="1" t="str">
        <f>""</f>
        <v/>
      </c>
      <c r="AJ709" s="1" t="str">
        <f>""</f>
        <v/>
      </c>
      <c r="AK709" s="1" t="str">
        <f>""</f>
        <v/>
      </c>
    </row>
    <row r="710" spans="1:37" x14ac:dyDescent="0.2">
      <c r="A710" s="1">
        <v>700000</v>
      </c>
      <c r="B710" s="1">
        <v>951600032</v>
      </c>
      <c r="C710" s="1" t="str">
        <f>"تخليه -خرم آباد-جاده كمربندي -جاده پيريجد-كيلومتر2"</f>
        <v>تخليه -خرم آباد-جاده كمربندي -جاده پيريجد-كيلومتر2</v>
      </c>
      <c r="D710" s="1">
        <v>7276</v>
      </c>
      <c r="E710" s="1">
        <v>695840</v>
      </c>
      <c r="F710" s="1">
        <v>95</v>
      </c>
      <c r="G710" s="1">
        <v>4160</v>
      </c>
      <c r="H710" s="1" t="str">
        <f>"95/07/05"</f>
        <v>95/07/05</v>
      </c>
      <c r="I710" s="1" t="str">
        <f t="shared" si="188"/>
        <v>كيلوگرم</v>
      </c>
      <c r="J710" s="1" t="str">
        <f t="shared" si="186"/>
        <v>0000000091</v>
      </c>
      <c r="K710" s="1" t="str">
        <f t="shared" si="187"/>
        <v>قير  PG64-22</v>
      </c>
      <c r="L710" s="1">
        <v>100</v>
      </c>
      <c r="M710" s="1" t="str">
        <f t="shared" si="164"/>
        <v>مخازن قير اصفهان</v>
      </c>
      <c r="N710" s="1">
        <v>8305</v>
      </c>
      <c r="O710" s="1">
        <v>50031957</v>
      </c>
      <c r="P710" s="1" t="str">
        <f>"  سپهربستر"</f>
        <v xml:space="preserve">  سپهربستر</v>
      </c>
      <c r="Q710" s="1">
        <v>16</v>
      </c>
      <c r="R710" s="1" t="str">
        <f>"فروش داخلي تهران - وزارت راه - معاونت اقتصاد"</f>
        <v>فروش داخلي تهران - وزارت راه - معاونت اقتصاد</v>
      </c>
      <c r="S710" s="1" t="str">
        <f t="shared" si="189"/>
        <v>قرارداد فروش</v>
      </c>
      <c r="T710" s="1" t="str">
        <f t="shared" si="190"/>
        <v>ندارد</v>
      </c>
      <c r="U710" s="1" t="str">
        <f>"ريسماني حسن(1007ج89)"</f>
        <v>ريسماني حسن(1007ج89)</v>
      </c>
      <c r="V710" s="1">
        <v>951600032</v>
      </c>
      <c r="W710" s="1">
        <v>951600032</v>
      </c>
      <c r="X710" s="1" t="str">
        <f>"1395433833"</f>
        <v>1395433833</v>
      </c>
      <c r="Y710" s="1" t="str">
        <f>"95/07/05"</f>
        <v>95/07/05</v>
      </c>
      <c r="Z710" s="1" t="str">
        <f>"31438/510"</f>
        <v>31438/510</v>
      </c>
      <c r="AA710" s="1" t="str">
        <f>"معاونت اقتصادوزارت راه وشهرسازي"</f>
        <v>معاونت اقتصادوزارت راه وشهرسازي</v>
      </c>
      <c r="AB710" s="1" t="str">
        <f>"95/07/03"</f>
        <v>95/07/03</v>
      </c>
      <c r="AC710" s="1" t="str">
        <f>"لرستان"</f>
        <v>لرستان</v>
      </c>
      <c r="AD710" s="1" t="str">
        <f>"95/07/05"</f>
        <v>95/07/05</v>
      </c>
      <c r="AE710" s="1" t="str">
        <f t="shared" si="185"/>
        <v>اختتام</v>
      </c>
      <c r="AF710" s="1" t="str">
        <f>""</f>
        <v/>
      </c>
      <c r="AG710" s="1" t="str">
        <f>""</f>
        <v/>
      </c>
      <c r="AH710" s="1" t="str">
        <f>""</f>
        <v/>
      </c>
      <c r="AI710" s="1" t="str">
        <f>""</f>
        <v/>
      </c>
      <c r="AJ710" s="1" t="str">
        <f>""</f>
        <v/>
      </c>
      <c r="AK710" s="1" t="str">
        <f>""</f>
        <v/>
      </c>
    </row>
    <row r="711" spans="1:37" x14ac:dyDescent="0.2">
      <c r="A711" s="1">
        <v>500000</v>
      </c>
      <c r="B711" s="1">
        <v>951100106</v>
      </c>
      <c r="C711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711" s="1">
        <v>7176</v>
      </c>
      <c r="E711" s="1">
        <v>498020</v>
      </c>
      <c r="F711" s="1">
        <v>95</v>
      </c>
      <c r="G711" s="1">
        <v>1980</v>
      </c>
      <c r="H711" s="1" t="str">
        <f>"95/06/08"</f>
        <v>95/06/08</v>
      </c>
      <c r="I711" s="1" t="str">
        <f t="shared" si="188"/>
        <v>كيلوگرم</v>
      </c>
      <c r="J711" s="1" t="str">
        <f t="shared" si="186"/>
        <v>0000000091</v>
      </c>
      <c r="K711" s="1" t="str">
        <f t="shared" si="187"/>
        <v>قير  PG64-22</v>
      </c>
      <c r="L711" s="1">
        <v>100</v>
      </c>
      <c r="M711" s="1" t="str">
        <f t="shared" si="164"/>
        <v>مخازن قير اصفهان</v>
      </c>
      <c r="N711" s="1">
        <v>9734</v>
      </c>
      <c r="O711" s="1">
        <v>50031717</v>
      </c>
      <c r="P711" s="1" t="str">
        <f>"  تيسفون راه زاگرس(زرين بام هليلان )"</f>
        <v xml:space="preserve">  تيسفون راه زاگرس(زرين بام هليلان )</v>
      </c>
      <c r="Q711" s="1">
        <v>11</v>
      </c>
      <c r="R711" s="1" t="str">
        <f>"فروش داخلي تهران - بورس"</f>
        <v>فروش داخلي تهران - بورس</v>
      </c>
      <c r="S711" s="1" t="str">
        <f t="shared" si="189"/>
        <v>قرارداد فروش</v>
      </c>
      <c r="T711" s="1" t="str">
        <f t="shared" si="190"/>
        <v>ندارد</v>
      </c>
      <c r="U711" s="1" t="str">
        <f>"تعاوني جم گستر (1001 ج 89)"</f>
        <v>تعاوني جم گستر (1001 ج 89)</v>
      </c>
      <c r="V711" s="1">
        <v>951100106</v>
      </c>
      <c r="W711" s="1">
        <v>951100106</v>
      </c>
      <c r="X711" s="1" t="str">
        <f>"1395426698"</f>
        <v>1395426698</v>
      </c>
      <c r="Y711" s="1" t="str">
        <f>"95/06/08"</f>
        <v>95/06/08</v>
      </c>
      <c r="Z711" s="1" t="str">
        <f>"95-34550"</f>
        <v>95-34550</v>
      </c>
      <c r="AA711" s="1" t="str">
        <f>"آسفالت سازان"</f>
        <v>آسفالت سازان</v>
      </c>
      <c r="AB711" s="1" t="str">
        <f>"95/06/08"</f>
        <v>95/06/08</v>
      </c>
      <c r="AC711" s="1" t="str">
        <f>"استان كرمانشاه"</f>
        <v>استان كرمانشاه</v>
      </c>
      <c r="AD711" s="1" t="str">
        <f>"95/06/03"</f>
        <v>95/06/03</v>
      </c>
      <c r="AE711" s="1" t="str">
        <f t="shared" si="185"/>
        <v>اختتام</v>
      </c>
      <c r="AF711" s="1" t="str">
        <f>""</f>
        <v/>
      </c>
      <c r="AG711" s="1" t="str">
        <f>""</f>
        <v/>
      </c>
      <c r="AH711" s="1" t="str">
        <f>""</f>
        <v/>
      </c>
      <c r="AI711" s="1" t="str">
        <f>""</f>
        <v/>
      </c>
      <c r="AJ711" s="1" t="str">
        <f>""</f>
        <v/>
      </c>
      <c r="AK711" s="1" t="str">
        <f>""</f>
        <v/>
      </c>
    </row>
    <row r="712" spans="1:37" x14ac:dyDescent="0.2">
      <c r="A712" s="1">
        <v>100000</v>
      </c>
      <c r="B712" s="1">
        <v>951900075</v>
      </c>
      <c r="C712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712" s="1">
        <v>6726</v>
      </c>
      <c r="E712" s="1">
        <v>100000</v>
      </c>
      <c r="F712" s="1">
        <v>95</v>
      </c>
      <c r="G712" s="1">
        <v>0</v>
      </c>
      <c r="H712" s="1" t="str">
        <f>"95/05/05"</f>
        <v>95/05/05</v>
      </c>
      <c r="I712" s="1" t="str">
        <f t="shared" si="188"/>
        <v>كيلوگرم</v>
      </c>
      <c r="J712" s="1" t="str">
        <f t="shared" si="186"/>
        <v>0000000091</v>
      </c>
      <c r="K712" s="1" t="str">
        <f t="shared" si="187"/>
        <v>قير  PG64-22</v>
      </c>
      <c r="L712" s="1">
        <v>100</v>
      </c>
      <c r="M712" s="1" t="str">
        <f t="shared" ref="M712:M775" si="191">"مخازن قير اصفهان"</f>
        <v>مخازن قير اصفهان</v>
      </c>
      <c r="N712" s="1">
        <v>10053</v>
      </c>
      <c r="O712" s="1">
        <v>50031363</v>
      </c>
      <c r="P712" s="1" t="str">
        <f>"  پوشش راه هگمتانه"</f>
        <v xml:space="preserve">  پوشش راه هگمتانه</v>
      </c>
      <c r="Q712" s="1">
        <v>19</v>
      </c>
      <c r="R7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12" s="1" t="str">
        <f t="shared" si="189"/>
        <v>قرارداد فروش</v>
      </c>
      <c r="T712" s="1" t="str">
        <f t="shared" si="190"/>
        <v>ندارد</v>
      </c>
      <c r="U712" s="1" t="str">
        <f>"حاجيلوئي علي اصغر(2842019)"</f>
        <v>حاجيلوئي علي اصغر(2842019)</v>
      </c>
      <c r="V712" s="1">
        <v>951900075</v>
      </c>
      <c r="W712" s="1">
        <v>951900075</v>
      </c>
      <c r="X712" s="1" t="str">
        <f>"1395418059"</f>
        <v>1395418059</v>
      </c>
      <c r="Y712" s="1" t="str">
        <f>"95/05/05"</f>
        <v>95/05/05</v>
      </c>
      <c r="Z712" s="1" t="str">
        <f>"19457/510"</f>
        <v>19457/510</v>
      </c>
      <c r="AA712" s="1" t="str">
        <f>"سازمان راهداري وحمل نقل جاده اي"</f>
        <v>سازمان راهداري وحمل نقل جاده اي</v>
      </c>
      <c r="AB712" s="1" t="str">
        <f>"95/05/03"</f>
        <v>95/05/03</v>
      </c>
      <c r="AC712" s="1" t="str">
        <f>"استان همدان"</f>
        <v>استان همدان</v>
      </c>
      <c r="AD712" s="1" t="str">
        <f>"95/05/05"</f>
        <v>95/05/05</v>
      </c>
      <c r="AE712" s="1" t="str">
        <f t="shared" si="185"/>
        <v>اختتام</v>
      </c>
      <c r="AF712" s="1" t="str">
        <f>""</f>
        <v/>
      </c>
      <c r="AG712" s="1" t="str">
        <f>""</f>
        <v/>
      </c>
      <c r="AH712" s="1" t="str">
        <f>""</f>
        <v/>
      </c>
      <c r="AI712" s="1" t="str">
        <f>""</f>
        <v/>
      </c>
      <c r="AJ712" s="1" t="str">
        <f>""</f>
        <v/>
      </c>
      <c r="AK712" s="1" t="str">
        <f>""</f>
        <v/>
      </c>
    </row>
    <row r="713" spans="1:37" x14ac:dyDescent="0.2">
      <c r="A713" s="1">
        <v>500000</v>
      </c>
      <c r="B713" s="1">
        <v>951100024</v>
      </c>
      <c r="C713" s="1" t="str">
        <f>"تخليه -اصفهان - كاشان - كيلومتر 19محور كاشان - قم شركت درم"</f>
        <v>تخليه -اصفهان - كاشان - كيلومتر 19محور كاشان - قم شركت درم</v>
      </c>
      <c r="D713" s="1">
        <v>5200</v>
      </c>
      <c r="E713" s="1">
        <v>498620</v>
      </c>
      <c r="F713" s="1">
        <v>95</v>
      </c>
      <c r="G713" s="1">
        <v>1380</v>
      </c>
      <c r="H713" s="1" t="str">
        <f>"95/02/01"</f>
        <v>95/02/01</v>
      </c>
      <c r="I713" s="1" t="str">
        <f t="shared" si="188"/>
        <v>كيلوگرم</v>
      </c>
      <c r="J713" s="1" t="str">
        <f>"0000000076"</f>
        <v>0000000076</v>
      </c>
      <c r="K713" s="1" t="str">
        <f>"قير 60/70 - فله"</f>
        <v>قير 60/70 - فله</v>
      </c>
      <c r="L713" s="1">
        <v>100</v>
      </c>
      <c r="M713" s="1" t="str">
        <f t="shared" si="191"/>
        <v>مخازن قير اصفهان</v>
      </c>
      <c r="N713" s="1">
        <v>8073</v>
      </c>
      <c r="O713" s="1">
        <v>50030613</v>
      </c>
      <c r="P713" s="1" t="str">
        <f>"  درم"</f>
        <v xml:space="preserve">  درم</v>
      </c>
      <c r="Q713" s="1">
        <v>11</v>
      </c>
      <c r="R713" s="1" t="str">
        <f>"فروش داخلي تهران - بورس"</f>
        <v>فروش داخلي تهران - بورس</v>
      </c>
      <c r="S713" s="1" t="str">
        <f t="shared" si="189"/>
        <v>قرارداد فروش</v>
      </c>
      <c r="T713" s="1" t="str">
        <f t="shared" si="190"/>
        <v>ندارد</v>
      </c>
      <c r="U713" s="1" t="str">
        <f>"جلالي حميد(1901084)"</f>
        <v>جلالي حميد(1901084)</v>
      </c>
      <c r="V713" s="1">
        <v>951100024</v>
      </c>
      <c r="W713" s="1">
        <v>951100024</v>
      </c>
      <c r="X713" s="1" t="str">
        <f>"1395400042"</f>
        <v>1395400042</v>
      </c>
      <c r="Y713" s="1" t="str">
        <f>"95/02/01"</f>
        <v>95/02/01</v>
      </c>
      <c r="Z713" s="1" t="str">
        <f>"93-34245"</f>
        <v>93-34245</v>
      </c>
      <c r="AA713" s="1" t="str">
        <f>"آسفالت سازان"</f>
        <v>آسفالت سازان</v>
      </c>
      <c r="AB713" s="1" t="str">
        <f>"95/02/01"</f>
        <v>95/02/01</v>
      </c>
      <c r="AC713" s="1" t="str">
        <f>"استان اصفهان"</f>
        <v>استان اصفهان</v>
      </c>
      <c r="AD713" s="1" t="str">
        <f>"95/01/29"</f>
        <v>95/01/29</v>
      </c>
      <c r="AE713" s="1" t="str">
        <f t="shared" si="185"/>
        <v>اختتام</v>
      </c>
      <c r="AF713" s="1" t="str">
        <f>""</f>
        <v/>
      </c>
      <c r="AG713" s="1" t="str">
        <f>""</f>
        <v/>
      </c>
      <c r="AH713" s="1" t="str">
        <f>""</f>
        <v/>
      </c>
      <c r="AI713" s="1" t="str">
        <f>""</f>
        <v/>
      </c>
      <c r="AJ713" s="1" t="str">
        <f>""</f>
        <v/>
      </c>
      <c r="AK713" s="1" t="str">
        <f>""</f>
        <v/>
      </c>
    </row>
    <row r="714" spans="1:37" x14ac:dyDescent="0.2">
      <c r="A714" s="1">
        <v>200000</v>
      </c>
      <c r="B714" s="1">
        <v>956200139</v>
      </c>
      <c r="C714" s="1" t="str">
        <f>"تخليه-محور نجف آباد -تيران- پشت شهرک صنعتي تيران"</f>
        <v>تخليه-محور نجف آباد -تيران- پشت شهرک صنعتي تيران</v>
      </c>
      <c r="D714" s="1">
        <v>8861</v>
      </c>
      <c r="E714" s="1">
        <v>199940</v>
      </c>
      <c r="F714" s="1">
        <v>95</v>
      </c>
      <c r="G714" s="1">
        <v>60</v>
      </c>
      <c r="H714" s="1" t="str">
        <f>"95/10/13"</f>
        <v>95/10/13</v>
      </c>
      <c r="I714" s="1" t="str">
        <f t="shared" si="188"/>
        <v>كيلوگرم</v>
      </c>
      <c r="J714" s="1" t="str">
        <f>"0000000076"</f>
        <v>0000000076</v>
      </c>
      <c r="K714" s="1" t="str">
        <f>"قير 60/70 - فله"</f>
        <v>قير 60/70 - فله</v>
      </c>
      <c r="L714" s="1">
        <v>100</v>
      </c>
      <c r="M714" s="1" t="str">
        <f t="shared" si="191"/>
        <v>مخازن قير اصفهان</v>
      </c>
      <c r="N714" s="1">
        <v>8643</v>
      </c>
      <c r="O714" s="1">
        <v>50033278</v>
      </c>
      <c r="P714" s="1" t="str">
        <f>"  ميلاد راه سپاهان"</f>
        <v xml:space="preserve">  ميلاد راه سپاهان</v>
      </c>
      <c r="Q714" s="1">
        <v>62</v>
      </c>
      <c r="R714" s="1" t="str">
        <f>"فروش داخلي - سازمان بنيادمسكن انقلاب اسلامي"</f>
        <v>فروش داخلي - سازمان بنيادمسكن انقلاب اسلامي</v>
      </c>
      <c r="S714" s="1" t="str">
        <f t="shared" si="189"/>
        <v>قرارداد فروش</v>
      </c>
      <c r="T714" s="1" t="str">
        <f t="shared" si="190"/>
        <v>ندارد</v>
      </c>
      <c r="U714" s="1" t="str">
        <f>"مرادي نجاتعلي(1020ج89)"</f>
        <v>مرادي نجاتعلي(1020ج89)</v>
      </c>
      <c r="V714" s="1">
        <v>956200139</v>
      </c>
      <c r="W714" s="1">
        <v>956200139</v>
      </c>
      <c r="X714" s="1" t="str">
        <f>"1395456365"</f>
        <v>1395456365</v>
      </c>
      <c r="Y714" s="1" t="str">
        <f>"95/10/13"</f>
        <v>95/10/13</v>
      </c>
      <c r="Z714" s="1" t="str">
        <f>"43206/د"</f>
        <v>43206/د</v>
      </c>
      <c r="AA714" s="1" t="str">
        <f>"بنيادمسكن انقلاب اسلامي"</f>
        <v>بنيادمسكن انقلاب اسلامي</v>
      </c>
      <c r="AB714" s="1" t="str">
        <f>"95/10/12"</f>
        <v>95/10/12</v>
      </c>
      <c r="AC714" s="1" t="str">
        <f>"استان اصفهان"</f>
        <v>استان اصفهان</v>
      </c>
      <c r="AD714" s="1" t="str">
        <f>"95/10/13"</f>
        <v>95/10/13</v>
      </c>
      <c r="AE714" s="1" t="str">
        <f t="shared" si="185"/>
        <v>اختتام</v>
      </c>
      <c r="AF714" s="1" t="str">
        <f>""</f>
        <v/>
      </c>
      <c r="AG714" s="1" t="str">
        <f>""</f>
        <v/>
      </c>
      <c r="AH714" s="1" t="str">
        <f>""</f>
        <v/>
      </c>
      <c r="AI714" s="1" t="str">
        <f>""</f>
        <v/>
      </c>
      <c r="AJ714" s="1" t="str">
        <f>""</f>
        <v/>
      </c>
      <c r="AK714" s="1" t="str">
        <f>""</f>
        <v/>
      </c>
    </row>
    <row r="715" spans="1:37" x14ac:dyDescent="0.2">
      <c r="A715" s="1">
        <v>200000</v>
      </c>
      <c r="B715" s="1">
        <v>951900201</v>
      </c>
      <c r="C715" s="1" t="str">
        <f>"تخليه -چهارمحال وبختياري -شهرستان كوهرنگ -بخش بازيافت كارخانه آسفالت پارساكوشان زاگرس"</f>
        <v>تخليه -چهارمحال وبختياري -شهرستان كوهرنگ -بخش بازيافت كارخانه آسفالت پارساكوشان زاگرس</v>
      </c>
      <c r="D715" s="1">
        <v>8323</v>
      </c>
      <c r="E715" s="1">
        <v>198880</v>
      </c>
      <c r="F715" s="1">
        <v>95</v>
      </c>
      <c r="G715" s="1">
        <v>1120</v>
      </c>
      <c r="H715" s="1" t="str">
        <f>"95/08/29"</f>
        <v>95/08/29</v>
      </c>
      <c r="I715" s="1" t="str">
        <f t="shared" si="188"/>
        <v>كيلوگرم</v>
      </c>
      <c r="J715" s="1" t="str">
        <f>"0000000088"</f>
        <v>0000000088</v>
      </c>
      <c r="K715" s="1" t="str">
        <f>"قير  PG58-22"</f>
        <v>قير  PG58-22</v>
      </c>
      <c r="L715" s="1">
        <v>100</v>
      </c>
      <c r="M715" s="1" t="str">
        <f t="shared" si="191"/>
        <v>مخازن قير اصفهان</v>
      </c>
      <c r="N715" s="1">
        <v>10203</v>
      </c>
      <c r="O715" s="1">
        <v>50032634</v>
      </c>
      <c r="P715" s="1" t="str">
        <f>"  پارساکوشان زاگرس"</f>
        <v xml:space="preserve">  پارساکوشان زاگرس</v>
      </c>
      <c r="Q715" s="1">
        <v>19</v>
      </c>
      <c r="R71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15" s="1" t="str">
        <f t="shared" si="189"/>
        <v>قرارداد فروش</v>
      </c>
      <c r="T715" s="1" t="str">
        <f t="shared" si="190"/>
        <v>ندارد</v>
      </c>
      <c r="U715" s="1" t="str">
        <f>"قره باغي مجيد(1871065)"</f>
        <v>قره باغي مجيد(1871065)</v>
      </c>
      <c r="V715" s="1">
        <v>951900201</v>
      </c>
      <c r="W715" s="1">
        <v>951900201</v>
      </c>
      <c r="X715" s="1" t="str">
        <f>"1395446288"</f>
        <v>1395446288</v>
      </c>
      <c r="Y715" s="1" t="str">
        <f>"95/08/29"</f>
        <v>95/08/29</v>
      </c>
      <c r="Z715" s="1" t="str">
        <f>"39751/710"</f>
        <v>39751/710</v>
      </c>
      <c r="AA715" s="1" t="str">
        <f>"سازمان راهداري وحمل نقل جاده اي"</f>
        <v>سازمان راهداري وحمل نقل جاده اي</v>
      </c>
      <c r="AB715" s="1" t="str">
        <f>"95/08/15"</f>
        <v>95/08/15</v>
      </c>
      <c r="AC715" s="1" t="str">
        <f>"استان چهارمحال بختياري"</f>
        <v>استان چهارمحال بختياري</v>
      </c>
      <c r="AD715" s="1" t="str">
        <f>"95/08/29"</f>
        <v>95/08/29</v>
      </c>
      <c r="AE715" s="1" t="str">
        <f t="shared" si="185"/>
        <v>اختتام</v>
      </c>
      <c r="AF715" s="1" t="str">
        <f>""</f>
        <v/>
      </c>
      <c r="AG715" s="1" t="str">
        <f>""</f>
        <v/>
      </c>
      <c r="AH715" s="1" t="str">
        <f>""</f>
        <v/>
      </c>
      <c r="AI715" s="1" t="str">
        <f>""</f>
        <v/>
      </c>
      <c r="AJ715" s="1" t="str">
        <f>""</f>
        <v/>
      </c>
      <c r="AK715" s="1" t="str">
        <f>""</f>
        <v/>
      </c>
    </row>
    <row r="716" spans="1:37" x14ac:dyDescent="0.2">
      <c r="A716" s="1">
        <v>1026000</v>
      </c>
      <c r="B716" s="1">
        <v>951400061</v>
      </c>
      <c r="C716" s="1" t="str">
        <f>"تخليه اصفهان ابتداي شهرداران ابتداي جاده چادگان شهركردكارخانه پارسيان كاني پاسارگاد"</f>
        <v>تخليه اصفهان ابتداي شهرداران ابتداي جاده چادگان شهركردكارخانه پارسيان كاني پاسارگاد</v>
      </c>
      <c r="D716" s="1">
        <v>7176</v>
      </c>
      <c r="E716" s="1">
        <v>1025440</v>
      </c>
      <c r="F716" s="1">
        <v>95</v>
      </c>
      <c r="G716" s="1">
        <v>560</v>
      </c>
      <c r="H716" s="1" t="str">
        <f>"95/06/04"</f>
        <v>95/06/04</v>
      </c>
      <c r="I716" s="1" t="str">
        <f t="shared" si="188"/>
        <v>كيلوگرم</v>
      </c>
      <c r="J716" s="1" t="str">
        <f>"0000000088"</f>
        <v>0000000088</v>
      </c>
      <c r="K716" s="1" t="str">
        <f>"قير  PG58-22"</f>
        <v>قير  PG58-22</v>
      </c>
      <c r="L716" s="1">
        <v>100</v>
      </c>
      <c r="M716" s="1" t="str">
        <f t="shared" si="191"/>
        <v>مخازن قير اصفهان</v>
      </c>
      <c r="N716" s="1">
        <v>10314</v>
      </c>
      <c r="O716" s="1">
        <v>50031628</v>
      </c>
      <c r="P716" s="1" t="str">
        <f>"  محکم بناسازان مشايخ"</f>
        <v xml:space="preserve">  محکم بناسازان مشايخ</v>
      </c>
      <c r="Q716" s="1">
        <v>14</v>
      </c>
      <c r="R716" s="1" t="str">
        <f>"فروش داخلي - وزارت راه - حوزه راه روستايي ساخت"</f>
        <v>فروش داخلي - وزارت راه - حوزه راه روستايي ساخت</v>
      </c>
      <c r="S716" s="1" t="str">
        <f t="shared" si="189"/>
        <v>قرارداد فروش</v>
      </c>
      <c r="T716" s="1" t="str">
        <f t="shared" si="190"/>
        <v>ندارد</v>
      </c>
      <c r="U716" s="1" t="str">
        <f>"سيفي پور گودرز(1019ج89)"</f>
        <v>سيفي پور گودرز(1019ج89)</v>
      </c>
      <c r="V716" s="1">
        <v>951400061</v>
      </c>
      <c r="W716" s="1">
        <v>951400061</v>
      </c>
      <c r="X716" s="1" t="str">
        <f>"1395426712"</f>
        <v>1395426712</v>
      </c>
      <c r="Y716" s="1" t="str">
        <f>"95/06/04"</f>
        <v>95/06/04</v>
      </c>
      <c r="Z716" s="1" t="str">
        <f>"25106/510"</f>
        <v>25106/510</v>
      </c>
      <c r="AA716" s="1" t="str">
        <f>"راه وروستايي -ساخت"</f>
        <v>راه وروستايي -ساخت</v>
      </c>
      <c r="AB716" s="1" t="str">
        <f>"95/05/31"</f>
        <v>95/05/31</v>
      </c>
      <c r="AC716" s="1" t="str">
        <f>"استان اصفهان"</f>
        <v>استان اصفهان</v>
      </c>
      <c r="AD716" s="1" t="str">
        <f>"95/06/03"</f>
        <v>95/06/03</v>
      </c>
      <c r="AE716" s="1" t="str">
        <f t="shared" si="185"/>
        <v>اختتام</v>
      </c>
      <c r="AF716" s="1" t="str">
        <f>""</f>
        <v/>
      </c>
      <c r="AG716" s="1" t="str">
        <f>""</f>
        <v/>
      </c>
      <c r="AH716" s="1" t="str">
        <f>""</f>
        <v/>
      </c>
      <c r="AI716" s="1" t="str">
        <f>""</f>
        <v/>
      </c>
      <c r="AJ716" s="1" t="str">
        <f>""</f>
        <v/>
      </c>
      <c r="AK716" s="1" t="str">
        <f>""</f>
        <v/>
      </c>
    </row>
    <row r="717" spans="1:37" x14ac:dyDescent="0.2">
      <c r="A717" s="1">
        <v>223000</v>
      </c>
      <c r="B717" s="1">
        <v>951400028</v>
      </c>
      <c r="C717" s="1" t="str">
        <f>"تخليه كرمانشاه -روانسر-پاوه كارخانه كمانگر"</f>
        <v>تخليه كرمانشاه -روانسر-پاوه كارخانه كمانگر</v>
      </c>
      <c r="D717" s="1">
        <v>6250</v>
      </c>
      <c r="E717" s="1">
        <v>222340</v>
      </c>
      <c r="F717" s="1">
        <v>95</v>
      </c>
      <c r="G717" s="1">
        <v>660</v>
      </c>
      <c r="H717" s="1" t="str">
        <f>"95/04/05"</f>
        <v>95/04/05</v>
      </c>
      <c r="I717" s="1" t="str">
        <f t="shared" si="188"/>
        <v>كيلوگرم</v>
      </c>
      <c r="J717" s="1" t="str">
        <f>"0000000088"</f>
        <v>0000000088</v>
      </c>
      <c r="K717" s="1" t="str">
        <f>"قير  PG58-22"</f>
        <v>قير  PG58-22</v>
      </c>
      <c r="L717" s="1">
        <v>100</v>
      </c>
      <c r="M717" s="1" t="str">
        <f t="shared" si="191"/>
        <v>مخازن قير اصفهان</v>
      </c>
      <c r="N717" s="1">
        <v>11121</v>
      </c>
      <c r="O717" s="1">
        <v>50031109</v>
      </c>
      <c r="P717" s="1" t="str">
        <f>"  آب گسترزاگرس"</f>
        <v xml:space="preserve">  آب گسترزاگرس</v>
      </c>
      <c r="Q717" s="1">
        <v>14</v>
      </c>
      <c r="R717" s="1" t="str">
        <f>"فروش داخلي - وزارت راه - حوزه راه روستايي ساخت"</f>
        <v>فروش داخلي - وزارت راه - حوزه راه روستايي ساخت</v>
      </c>
      <c r="S717" s="1" t="str">
        <f t="shared" si="189"/>
        <v>قرارداد فروش</v>
      </c>
      <c r="T717" s="1" t="str">
        <f t="shared" si="190"/>
        <v>ندارد</v>
      </c>
      <c r="U717" s="1" t="str">
        <f>"بستاني محسن (2882039)"</f>
        <v>بستاني محسن (2882039)</v>
      </c>
      <c r="V717" s="1">
        <v>951400028</v>
      </c>
      <c r="W717" s="1">
        <v>951400028</v>
      </c>
      <c r="X717" s="1" t="str">
        <f>"1395411208"</f>
        <v>1395411208</v>
      </c>
      <c r="Y717" s="1" t="str">
        <f>"95/04/05"</f>
        <v>95/04/05</v>
      </c>
      <c r="Z717" s="1" t="str">
        <f>"13012/510"</f>
        <v>13012/510</v>
      </c>
      <c r="AA717" s="1" t="str">
        <f>"راه وروستايي -ساخت"</f>
        <v>راه وروستايي -ساخت</v>
      </c>
      <c r="AB717" s="1" t="str">
        <f>"95/03/29"</f>
        <v>95/03/29</v>
      </c>
      <c r="AC717" s="1" t="str">
        <f>"استان كرمانشاه"</f>
        <v>استان كرمانشاه</v>
      </c>
      <c r="AD717" s="1" t="str">
        <f>"95/04/05"</f>
        <v>95/04/05</v>
      </c>
      <c r="AE717" s="1" t="str">
        <f t="shared" si="185"/>
        <v>اختتام</v>
      </c>
      <c r="AF717" s="1" t="str">
        <f>""</f>
        <v/>
      </c>
      <c r="AG717" s="1" t="str">
        <f>""</f>
        <v/>
      </c>
      <c r="AH717" s="1" t="str">
        <f>""</f>
        <v/>
      </c>
      <c r="AI717" s="1" t="str">
        <f>""</f>
        <v/>
      </c>
      <c r="AJ717" s="1" t="str">
        <f>""</f>
        <v/>
      </c>
      <c r="AK717" s="1" t="str">
        <f>""</f>
        <v/>
      </c>
    </row>
    <row r="718" spans="1:37" x14ac:dyDescent="0.2">
      <c r="A718" s="1">
        <v>100000</v>
      </c>
      <c r="B718" s="1">
        <v>951600015</v>
      </c>
      <c r="C718" s="1" t="str">
        <f>"كردستان -شهرستان بيجار-كيلومتر10محوربيجار-زنجان جنب روروستاي سيدان مجموعه كارخانه آسفالت شركت آب راه سازه فربد"</f>
        <v>كردستان -شهرستان بيجار-كيلومتر10محوربيجار-زنجان جنب روروستاي سيدان مجموعه كارخانه آسفالت شركت آب راه سازه فربد</v>
      </c>
      <c r="D718" s="1">
        <v>6726</v>
      </c>
      <c r="E718" s="1">
        <v>100000</v>
      </c>
      <c r="F718" s="1">
        <v>95</v>
      </c>
      <c r="G718" s="1">
        <v>0</v>
      </c>
      <c r="H718" s="1" t="str">
        <f>"95/05/17"</f>
        <v>95/05/17</v>
      </c>
      <c r="I718" s="1" t="str">
        <f t="shared" si="188"/>
        <v>كيلوگرم</v>
      </c>
      <c r="J718" s="1" t="str">
        <f>"0000000088"</f>
        <v>0000000088</v>
      </c>
      <c r="K718" s="1" t="str">
        <f>"قير  PG58-22"</f>
        <v>قير  PG58-22</v>
      </c>
      <c r="L718" s="1">
        <v>100</v>
      </c>
      <c r="M718" s="1" t="str">
        <f t="shared" si="191"/>
        <v>مخازن قير اصفهان</v>
      </c>
      <c r="N718" s="1">
        <v>10605</v>
      </c>
      <c r="O718" s="1">
        <v>50031454</v>
      </c>
      <c r="P718" s="1" t="str">
        <f>"  آب راه سازه فربد"</f>
        <v xml:space="preserve">  آب راه سازه فربد</v>
      </c>
      <c r="Q718" s="1">
        <v>16</v>
      </c>
      <c r="R718" s="1" t="str">
        <f>"فروش داخلي تهران - وزارت راه - معاونت اقتصاد"</f>
        <v>فروش داخلي تهران - وزارت راه - معاونت اقتصاد</v>
      </c>
      <c r="S718" s="1" t="str">
        <f t="shared" si="189"/>
        <v>قرارداد فروش</v>
      </c>
      <c r="T718" s="1" t="str">
        <f t="shared" si="190"/>
        <v>ندارد</v>
      </c>
      <c r="U718" s="1" t="str">
        <f>"ميهن دوست عبداله(2842010)"</f>
        <v>ميهن دوست عبداله(2842010)</v>
      </c>
      <c r="V718" s="1">
        <v>951600015</v>
      </c>
      <c r="W718" s="1">
        <v>951600015</v>
      </c>
      <c r="X718" s="1" t="str">
        <f>"1395421524"</f>
        <v>1395421524</v>
      </c>
      <c r="Y718" s="1" t="str">
        <f>"95/05/17"</f>
        <v>95/05/17</v>
      </c>
      <c r="Z718" s="1" t="str">
        <f>"20092/510"</f>
        <v>20092/510</v>
      </c>
      <c r="AA718" s="1" t="str">
        <f>"معاونت اقتصادوزارت راه وشهرسازي"</f>
        <v>معاونت اقتصادوزارت راه وشهرسازي</v>
      </c>
      <c r="AB718" s="1" t="str">
        <f>"95/05/06"</f>
        <v>95/05/06</v>
      </c>
      <c r="AC718" s="1" t="str">
        <f>"استان كردستان"</f>
        <v>استان كردستان</v>
      </c>
      <c r="AD718" s="1" t="str">
        <f>"95/05/16"</f>
        <v>95/05/16</v>
      </c>
      <c r="AE718" s="1" t="str">
        <f t="shared" si="185"/>
        <v>اختتام</v>
      </c>
      <c r="AF718" s="1" t="str">
        <f>""</f>
        <v/>
      </c>
      <c r="AG718" s="1" t="str">
        <f>""</f>
        <v/>
      </c>
      <c r="AH718" s="1" t="str">
        <f>""</f>
        <v/>
      </c>
      <c r="AI718" s="1" t="str">
        <f>""</f>
        <v/>
      </c>
      <c r="AJ718" s="1" t="str">
        <f>""</f>
        <v/>
      </c>
      <c r="AK718" s="1" t="str">
        <f>""</f>
        <v/>
      </c>
    </row>
    <row r="719" spans="1:37" x14ac:dyDescent="0.2">
      <c r="A719" s="1">
        <v>1600000</v>
      </c>
      <c r="B719" s="1">
        <v>951700165</v>
      </c>
      <c r="C719" s="1" t="str">
        <f>"تخليه -كردستان -كيلومتر10جاده قروه به سنندج كارخانه آسفالت شركت اونگان"</f>
        <v>تخليه -كردستان -كيلومتر10جاده قروه به سنندج كارخانه آسفالت شركت اونگان</v>
      </c>
      <c r="D719" s="1">
        <v>7176</v>
      </c>
      <c r="E719" s="1">
        <v>1599340</v>
      </c>
      <c r="F719" s="1">
        <v>95</v>
      </c>
      <c r="G719" s="1">
        <v>660</v>
      </c>
      <c r="H719" s="1" t="str">
        <f>"95/06/03"</f>
        <v>95/06/03</v>
      </c>
      <c r="I719" s="1" t="str">
        <f t="shared" si="188"/>
        <v>كيلوگرم</v>
      </c>
      <c r="J719" s="1" t="str">
        <f>"0000000088"</f>
        <v>0000000088</v>
      </c>
      <c r="K719" s="1" t="str">
        <f>"قير  PG58-22"</f>
        <v>قير  PG58-22</v>
      </c>
      <c r="L719" s="1">
        <v>100</v>
      </c>
      <c r="M719" s="1" t="str">
        <f t="shared" si="191"/>
        <v>مخازن قير اصفهان</v>
      </c>
      <c r="N719" s="1">
        <v>10911</v>
      </c>
      <c r="O719" s="1">
        <v>50031606</v>
      </c>
      <c r="P719" s="1" t="str">
        <f>"  سازمان توسعه ونوسازي معادن وصنايع معدني ايران"</f>
        <v xml:space="preserve">  سازمان توسعه ونوسازي معادن وصنايع معدني ايران</v>
      </c>
      <c r="Q719" s="1">
        <v>17</v>
      </c>
      <c r="R719" s="1" t="str">
        <f>"فروش داخلي تهران - وزارت راه - راه روستايي - روکش"</f>
        <v>فروش داخلي تهران - وزارت راه - راه روستايي - روکش</v>
      </c>
      <c r="S719" s="1" t="str">
        <f t="shared" si="189"/>
        <v>قرارداد فروش</v>
      </c>
      <c r="T719" s="1" t="str">
        <f t="shared" si="190"/>
        <v>ندارد</v>
      </c>
      <c r="U719" s="1" t="str">
        <f>"ميهن دوست عبداله(2842010)"</f>
        <v>ميهن دوست عبداله(2842010)</v>
      </c>
      <c r="V719" s="1">
        <v>951700165</v>
      </c>
      <c r="W719" s="1">
        <v>951700165</v>
      </c>
      <c r="X719" s="1" t="str">
        <f>"1395426732"</f>
        <v>1395426732</v>
      </c>
      <c r="Y719" s="1" t="str">
        <f>"95/06/03"</f>
        <v>95/06/03</v>
      </c>
      <c r="Z719" s="1" t="str">
        <f>"24658/510"</f>
        <v>24658/510</v>
      </c>
      <c r="AA719" s="1" t="str">
        <f>"راه روستائي -روكش"</f>
        <v>راه روستائي -روكش</v>
      </c>
      <c r="AB719" s="1" t="str">
        <f>"95/05/30"</f>
        <v>95/05/30</v>
      </c>
      <c r="AC719" s="1" t="str">
        <f>"استان كردستان"</f>
        <v>استان كردستان</v>
      </c>
      <c r="AD719" s="1" t="str">
        <f>"95/06/03"</f>
        <v>95/06/03</v>
      </c>
      <c r="AE719" s="1" t="str">
        <f t="shared" si="185"/>
        <v>اختتام</v>
      </c>
      <c r="AF719" s="1" t="str">
        <f>""</f>
        <v/>
      </c>
      <c r="AG719" s="1" t="str">
        <f>""</f>
        <v/>
      </c>
      <c r="AH719" s="1" t="str">
        <f>""</f>
        <v/>
      </c>
      <c r="AI719" s="1" t="str">
        <f>""</f>
        <v/>
      </c>
      <c r="AJ719" s="1" t="str">
        <f>""</f>
        <v/>
      </c>
      <c r="AK719" s="1" t="str">
        <f>""</f>
        <v/>
      </c>
    </row>
    <row r="720" spans="1:37" x14ac:dyDescent="0.2">
      <c r="A720" s="1">
        <v>215000</v>
      </c>
      <c r="B720" s="1">
        <v>951700355</v>
      </c>
      <c r="C720" s="1" t="str">
        <f>"كرمان پروژه مشاركتي دهياري چاه پت كارخانه آسفالت شركت اشكلن"</f>
        <v>كرمان پروژه مشاركتي دهياري چاه پت كارخانه آسفالت شركت اشكلن</v>
      </c>
      <c r="D720" s="1">
        <v>9068</v>
      </c>
      <c r="E720" s="1">
        <v>212600</v>
      </c>
      <c r="F720" s="1">
        <v>95</v>
      </c>
      <c r="G720" s="1">
        <v>2400</v>
      </c>
      <c r="H720" s="1" t="str">
        <f>"95/12/22"</f>
        <v>95/12/22</v>
      </c>
      <c r="I720" s="1" t="str">
        <f t="shared" si="188"/>
        <v>كيلوگرم</v>
      </c>
      <c r="J720" s="1" t="str">
        <f>"0000000091"</f>
        <v>0000000091</v>
      </c>
      <c r="K720" s="1" t="str">
        <f>"قير  PG64-22"</f>
        <v>قير  PG64-22</v>
      </c>
      <c r="L720" s="1">
        <v>100</v>
      </c>
      <c r="M720" s="1" t="str">
        <f t="shared" si="191"/>
        <v>مخازن قير اصفهان</v>
      </c>
      <c r="N720" s="1">
        <v>7034</v>
      </c>
      <c r="O720" s="1">
        <v>50034121</v>
      </c>
      <c r="P720" s="1" t="str">
        <f>"  اداره كل راه وشهرسازي كرمان"</f>
        <v xml:space="preserve">  اداره كل راه وشهرسازي كرمان</v>
      </c>
      <c r="Q720" s="1">
        <v>17</v>
      </c>
      <c r="R720" s="1" t="str">
        <f>"فروش داخلي تهران - وزارت راه - راه روستايي - روکش"</f>
        <v>فروش داخلي تهران - وزارت راه - راه روستايي - روکش</v>
      </c>
      <c r="S720" s="1" t="str">
        <f t="shared" si="189"/>
        <v>قرارداد فروش</v>
      </c>
      <c r="T720" s="1" t="str">
        <f t="shared" si="190"/>
        <v>ندارد</v>
      </c>
      <c r="U720" s="1" t="str">
        <f>"خضرائي فريدون(4844003)"</f>
        <v>خضرائي فريدون(4844003)</v>
      </c>
      <c r="V720" s="1">
        <v>951700355</v>
      </c>
      <c r="W720" s="1">
        <v>951700355</v>
      </c>
      <c r="X720" s="1" t="str">
        <f>"1395470431"</f>
        <v>1395470431</v>
      </c>
      <c r="Y720" s="1" t="str">
        <f>"95/12/22"</f>
        <v>95/12/22</v>
      </c>
      <c r="Z720" s="1" t="str">
        <f>"65427/710"</f>
        <v>65427/710</v>
      </c>
      <c r="AA720" s="1" t="str">
        <f>"راه روستائي -روكش"</f>
        <v>راه روستائي -روكش</v>
      </c>
      <c r="AB720" s="1" t="str">
        <f>"95/12/21"</f>
        <v>95/12/21</v>
      </c>
      <c r="AC720" s="1" t="str">
        <f>"استان كرمان"</f>
        <v>استان كرمان</v>
      </c>
      <c r="AD720" s="1" t="str">
        <f>"95/12/21"</f>
        <v>95/12/21</v>
      </c>
      <c r="AE720" s="1" t="str">
        <f t="shared" si="185"/>
        <v>اختتام</v>
      </c>
      <c r="AF720" s="1" t="str">
        <f>""</f>
        <v/>
      </c>
      <c r="AG720" s="1" t="str">
        <f>""</f>
        <v/>
      </c>
      <c r="AH720" s="1" t="str">
        <f>""</f>
        <v/>
      </c>
      <c r="AI720" s="1" t="str">
        <f>""</f>
        <v/>
      </c>
      <c r="AJ720" s="1" t="str">
        <f>""</f>
        <v/>
      </c>
      <c r="AK720" s="1" t="str">
        <f>""</f>
        <v/>
      </c>
    </row>
    <row r="721" spans="1:37" x14ac:dyDescent="0.2">
      <c r="A721" s="1">
        <v>1000000</v>
      </c>
      <c r="B721" s="1">
        <v>951900266</v>
      </c>
      <c r="C721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721" s="1">
        <v>9068</v>
      </c>
      <c r="E721" s="1">
        <v>998880</v>
      </c>
      <c r="F721" s="1">
        <v>95</v>
      </c>
      <c r="G721" s="1">
        <v>1120</v>
      </c>
      <c r="H721" s="1" t="str">
        <f>"95/12/09"</f>
        <v>95/12/09</v>
      </c>
      <c r="I721" s="1" t="str">
        <f t="shared" si="188"/>
        <v>كيلوگرم</v>
      </c>
      <c r="J721" s="1" t="str">
        <f>"0000000091"</f>
        <v>0000000091</v>
      </c>
      <c r="K721" s="1" t="str">
        <f>"قير  PG64-22"</f>
        <v>قير  PG64-22</v>
      </c>
      <c r="L721" s="1">
        <v>100</v>
      </c>
      <c r="M721" s="1" t="str">
        <f t="shared" si="191"/>
        <v>مخازن قير اصفهان</v>
      </c>
      <c r="N721" s="1">
        <v>7035</v>
      </c>
      <c r="O721" s="1">
        <v>50033905</v>
      </c>
      <c r="P721" s="1" t="str">
        <f>"  سازمان همياري شهرداريهاي يزد"</f>
        <v xml:space="preserve">  سازمان همياري شهرداريهاي يزد</v>
      </c>
      <c r="Q721" s="1">
        <v>19</v>
      </c>
      <c r="R72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21" s="1" t="str">
        <f t="shared" si="189"/>
        <v>قرارداد فروش</v>
      </c>
      <c r="T721" s="1" t="str">
        <f t="shared" si="190"/>
        <v>ندارد</v>
      </c>
      <c r="U721" s="1" t="str">
        <f>"قانعي محمدرضا(1011ج89)"</f>
        <v>قانعي محمدرضا(1011ج89)</v>
      </c>
      <c r="V721" s="1">
        <v>951900266</v>
      </c>
      <c r="W721" s="1">
        <v>951900266</v>
      </c>
      <c r="X721" s="1" t="str">
        <f>"1395467354"</f>
        <v>1395467354</v>
      </c>
      <c r="Y721" s="1" t="str">
        <f>"95/12/04"</f>
        <v>95/12/04</v>
      </c>
      <c r="Z721" s="1" t="str">
        <f>"60000/710"</f>
        <v>60000/710</v>
      </c>
      <c r="AA721" s="1" t="str">
        <f>"سازمان راهداري وحمل نقل جاده اي"</f>
        <v>سازمان راهداري وحمل نقل جاده اي</v>
      </c>
      <c r="AB721" s="1" t="str">
        <f>"95/11/30"</f>
        <v>95/11/30</v>
      </c>
      <c r="AC721" s="1" t="str">
        <f>"استان يزد"</f>
        <v>استان يزد</v>
      </c>
      <c r="AD721" s="1" t="str">
        <f>"95/12/04"</f>
        <v>95/12/04</v>
      </c>
      <c r="AE721" s="1" t="str">
        <f t="shared" ref="AE721:AE726" si="192">"اختتام"</f>
        <v>اختتام</v>
      </c>
      <c r="AF721" s="1" t="str">
        <f>""</f>
        <v/>
      </c>
      <c r="AG721" s="1" t="str">
        <f>""</f>
        <v/>
      </c>
      <c r="AH721" s="1" t="str">
        <f>""</f>
        <v/>
      </c>
      <c r="AI721" s="1" t="str">
        <f>""</f>
        <v/>
      </c>
      <c r="AJ721" s="1" t="str">
        <f>""</f>
        <v/>
      </c>
      <c r="AK721" s="1" t="str">
        <f>""</f>
        <v/>
      </c>
    </row>
    <row r="722" spans="1:37" x14ac:dyDescent="0.2">
      <c r="A722" s="1">
        <v>182000</v>
      </c>
      <c r="B722" s="1">
        <v>951400022</v>
      </c>
      <c r="C722" s="1" t="str">
        <f>"تخليه -كرمانشاه جاده تازه آباد-جوانرودپل زمكان كارخانه رعدآذين"</f>
        <v>تخليه -كرمانشاه جاده تازه آباد-جوانرودپل زمكان كارخانه رعدآذين</v>
      </c>
      <c r="D722" s="1">
        <v>6050</v>
      </c>
      <c r="E722" s="1">
        <v>181660</v>
      </c>
      <c r="F722" s="1">
        <v>95</v>
      </c>
      <c r="G722" s="1">
        <v>340</v>
      </c>
      <c r="H722" s="1" t="str">
        <f>"95/03/30"</f>
        <v>95/03/30</v>
      </c>
      <c r="I722" s="1" t="str">
        <f t="shared" si="188"/>
        <v>كيلوگرم</v>
      </c>
      <c r="J722" s="1" t="str">
        <f>"0000000091"</f>
        <v>0000000091</v>
      </c>
      <c r="K722" s="1" t="str">
        <f>"قير  PG64-22"</f>
        <v>قير  PG64-22</v>
      </c>
      <c r="L722" s="1">
        <v>100</v>
      </c>
      <c r="M722" s="1" t="str">
        <f t="shared" si="191"/>
        <v>مخازن قير اصفهان</v>
      </c>
      <c r="N722" s="1">
        <v>8676</v>
      </c>
      <c r="O722" s="1">
        <v>50031077</v>
      </c>
      <c r="P722" s="1" t="str">
        <f>"  هاني دشت"</f>
        <v xml:space="preserve">  هاني دشت</v>
      </c>
      <c r="Q722" s="1">
        <v>14</v>
      </c>
      <c r="R722" s="1" t="str">
        <f>"فروش داخلي - وزارت راه - حوزه راه روستايي ساخت"</f>
        <v>فروش داخلي - وزارت راه - حوزه راه روستايي ساخت</v>
      </c>
      <c r="S722" s="1" t="str">
        <f t="shared" si="189"/>
        <v>قرارداد فروش</v>
      </c>
      <c r="T722" s="1" t="str">
        <f t="shared" si="190"/>
        <v>ندارد</v>
      </c>
      <c r="U722" s="1" t="str">
        <f>"ميهن دوست عبداله(2842010)"</f>
        <v>ميهن دوست عبداله(2842010)</v>
      </c>
      <c r="V722" s="1">
        <v>951400022</v>
      </c>
      <c r="W722" s="1">
        <v>951400022</v>
      </c>
      <c r="X722" s="1" t="str">
        <f>"1395410160"</f>
        <v>1395410160</v>
      </c>
      <c r="Y722" s="1" t="str">
        <f>"95/03/30"</f>
        <v>95/03/30</v>
      </c>
      <c r="Z722" s="1" t="str">
        <f>"12308/510"</f>
        <v>12308/510</v>
      </c>
      <c r="AA722" s="1" t="str">
        <f>"راه وروستايي -ساخت"</f>
        <v>راه وروستايي -ساخت</v>
      </c>
      <c r="AB722" s="1" t="str">
        <f>"95/03/25"</f>
        <v>95/03/25</v>
      </c>
      <c r="AC722" s="1" t="str">
        <f>"استان كرمانشاه"</f>
        <v>استان كرمانشاه</v>
      </c>
      <c r="AD722" s="1" t="str">
        <f>"95/03/30"</f>
        <v>95/03/30</v>
      </c>
      <c r="AE722" s="1" t="str">
        <f t="shared" si="192"/>
        <v>اختتام</v>
      </c>
      <c r="AF722" s="1" t="str">
        <f>""</f>
        <v/>
      </c>
      <c r="AG722" s="1" t="str">
        <f>""</f>
        <v/>
      </c>
      <c r="AH722" s="1" t="str">
        <f>""</f>
        <v/>
      </c>
      <c r="AI722" s="1" t="str">
        <f>""</f>
        <v/>
      </c>
      <c r="AJ722" s="1" t="str">
        <f>""</f>
        <v/>
      </c>
      <c r="AK722" s="1" t="str">
        <f>""</f>
        <v/>
      </c>
    </row>
    <row r="723" spans="1:37" x14ac:dyDescent="0.2">
      <c r="A723" s="1">
        <v>500000</v>
      </c>
      <c r="B723" s="1">
        <v>951900004</v>
      </c>
      <c r="C723" s="1" t="str">
        <f>"تخليه -خراسان رضوي شهرستان باخرزكيلومتر5باخرزكارخانه آسفالت شهرداري باخرز"</f>
        <v>تخليه -خراسان رضوي شهرستان باخرزكيلومتر5باخرزكارخانه آسفالت شهرداري باخرز</v>
      </c>
      <c r="D723" s="1">
        <v>5650</v>
      </c>
      <c r="E723" s="1">
        <v>497740</v>
      </c>
      <c r="F723" s="1">
        <v>95</v>
      </c>
      <c r="G723" s="1">
        <v>2260</v>
      </c>
      <c r="H723" s="1" t="str">
        <f>"95/02/14"</f>
        <v>95/02/14</v>
      </c>
      <c r="I723" s="1" t="str">
        <f t="shared" si="188"/>
        <v>كيلوگرم</v>
      </c>
      <c r="J723" s="1" t="str">
        <f>"0000000091"</f>
        <v>0000000091</v>
      </c>
      <c r="K723" s="1" t="str">
        <f>"قير  PG64-22"</f>
        <v>قير  PG64-22</v>
      </c>
      <c r="L723" s="1">
        <v>100</v>
      </c>
      <c r="M723" s="1" t="str">
        <f t="shared" si="191"/>
        <v>مخازن قير اصفهان</v>
      </c>
      <c r="N723" s="1">
        <v>8833</v>
      </c>
      <c r="O723" s="1">
        <v>50030708</v>
      </c>
      <c r="P723" s="1" t="str">
        <f>"  طاقديس سازه توس"</f>
        <v xml:space="preserve">  طاقديس سازه توس</v>
      </c>
      <c r="Q723" s="1">
        <v>19</v>
      </c>
      <c r="R7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23" s="1" t="str">
        <f t="shared" si="189"/>
        <v>قرارداد فروش</v>
      </c>
      <c r="T723" s="1" t="str">
        <f t="shared" si="190"/>
        <v>ندارد</v>
      </c>
      <c r="U723" s="1" t="str">
        <f>"بابامحمدي عنايت اله(4844000)"</f>
        <v>بابامحمدي عنايت اله(4844000)</v>
      </c>
      <c r="V723" s="1">
        <v>951900004</v>
      </c>
      <c r="W723" s="1">
        <v>951900004</v>
      </c>
      <c r="X723" s="1" t="str">
        <f>"1395401778"</f>
        <v>1395401778</v>
      </c>
      <c r="Y723" s="1" t="str">
        <f>"95/02/14"</f>
        <v>95/02/14</v>
      </c>
      <c r="Z723" s="1" t="str">
        <f>"65619/510"</f>
        <v>65619/510</v>
      </c>
      <c r="AA723" s="1" t="str">
        <f>"سازمان راهداري وحمل نقل جاده اي"</f>
        <v>سازمان راهداري وحمل نقل جاده اي</v>
      </c>
      <c r="AB723" s="1" t="str">
        <f>"94/11/27"</f>
        <v>94/11/27</v>
      </c>
      <c r="AC723" s="1" t="str">
        <f>"خراسان رضوي"</f>
        <v>خراسان رضوي</v>
      </c>
      <c r="AD723" s="1" t="str">
        <f>"95/02/08"</f>
        <v>95/02/08</v>
      </c>
      <c r="AE723" s="1" t="str">
        <f t="shared" si="192"/>
        <v>اختتام</v>
      </c>
      <c r="AF723" s="1" t="str">
        <f>""</f>
        <v/>
      </c>
      <c r="AG723" s="1" t="str">
        <f>""</f>
        <v/>
      </c>
      <c r="AH723" s="1" t="str">
        <f>""</f>
        <v/>
      </c>
      <c r="AI723" s="1" t="str">
        <f>""</f>
        <v/>
      </c>
      <c r="AJ723" s="1" t="str">
        <f>""</f>
        <v/>
      </c>
      <c r="AK723" s="1" t="str">
        <f>""</f>
        <v/>
      </c>
    </row>
    <row r="724" spans="1:37" x14ac:dyDescent="0.2">
      <c r="A724" s="1">
        <v>500000</v>
      </c>
      <c r="B724" s="1">
        <v>951100089</v>
      </c>
      <c r="C724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724" s="1">
        <v>6250</v>
      </c>
      <c r="E724" s="1">
        <v>491920</v>
      </c>
      <c r="F724" s="1">
        <v>95</v>
      </c>
      <c r="G724" s="1">
        <v>8080</v>
      </c>
      <c r="H724" s="1" t="str">
        <f>"95/04/28"</f>
        <v>95/04/28</v>
      </c>
      <c r="I724" s="1" t="str">
        <f t="shared" si="188"/>
        <v>كيلوگرم</v>
      </c>
      <c r="J724" s="1" t="str">
        <f>"0000000091"</f>
        <v>0000000091</v>
      </c>
      <c r="K724" s="1" t="str">
        <f>"قير  PG64-22"</f>
        <v>قير  PG64-22</v>
      </c>
      <c r="L724" s="1">
        <v>100</v>
      </c>
      <c r="M724" s="1" t="str">
        <f t="shared" si="191"/>
        <v>مخازن قير اصفهان</v>
      </c>
      <c r="N724" s="1">
        <v>9143</v>
      </c>
      <c r="O724" s="1">
        <v>50031305</v>
      </c>
      <c r="P724" s="1" t="str">
        <f>"  بتن پيكر زاگرس"</f>
        <v xml:space="preserve">  بتن پيكر زاگرس</v>
      </c>
      <c r="Q724" s="1">
        <v>11</v>
      </c>
      <c r="R724" s="1" t="str">
        <f>"فروش داخلي تهران - بورس"</f>
        <v>فروش داخلي تهران - بورس</v>
      </c>
      <c r="S724" s="1" t="str">
        <f t="shared" si="189"/>
        <v>قرارداد فروش</v>
      </c>
      <c r="T724" s="1" t="str">
        <f t="shared" si="190"/>
        <v>ندارد</v>
      </c>
      <c r="U724" s="1" t="str">
        <f>"افراسيابي كيومرث(2842031)"</f>
        <v>افراسيابي كيومرث(2842031)</v>
      </c>
      <c r="V724" s="1">
        <v>951100089</v>
      </c>
      <c r="W724" s="1">
        <v>951100089</v>
      </c>
      <c r="X724" s="1" t="str">
        <f>"1395414104"</f>
        <v>1395414104</v>
      </c>
      <c r="Y724" s="1" t="str">
        <f>"95/04/26"</f>
        <v>95/04/26</v>
      </c>
      <c r="Z724" s="1" t="str">
        <f>"95-34603"</f>
        <v>95-34603</v>
      </c>
      <c r="AA724" s="1" t="str">
        <f>"آسفالت سازان"</f>
        <v>آسفالت سازان</v>
      </c>
      <c r="AB724" s="1" t="str">
        <f>"95/04/26"</f>
        <v>95/04/26</v>
      </c>
      <c r="AC724" s="1" t="str">
        <f>"استان كرمانشاه"</f>
        <v>استان كرمانشاه</v>
      </c>
      <c r="AD724" s="1" t="str">
        <f>"95/04/26"</f>
        <v>95/04/26</v>
      </c>
      <c r="AE724" s="1" t="str">
        <f t="shared" si="192"/>
        <v>اختتام</v>
      </c>
      <c r="AF724" s="1" t="str">
        <f>""</f>
        <v/>
      </c>
      <c r="AG724" s="1" t="str">
        <f>""</f>
        <v/>
      </c>
      <c r="AH724" s="1" t="str">
        <f>""</f>
        <v/>
      </c>
      <c r="AI724" s="1" t="str">
        <f>""</f>
        <v/>
      </c>
      <c r="AJ724" s="1" t="str">
        <f>""</f>
        <v/>
      </c>
      <c r="AK724" s="1" t="str">
        <f>""</f>
        <v/>
      </c>
    </row>
    <row r="725" spans="1:37" x14ac:dyDescent="0.2">
      <c r="A725" s="1">
        <v>140000</v>
      </c>
      <c r="B725" s="1">
        <v>951400025</v>
      </c>
      <c r="C725" s="1" t="str">
        <f>"تخليه -كردستان سقزكيلومتر12جاده بوكان روبروي تقاطع روستاي آخكندكارخانه شركت ماردين گستر"</f>
        <v>تخليه -كردستان سقزكيلومتر12جاده بوكان روبروي تقاطع روستاي آخكندكارخانه شركت ماردين گستر</v>
      </c>
      <c r="D725" s="1">
        <v>6250</v>
      </c>
      <c r="E725" s="1">
        <v>139640</v>
      </c>
      <c r="F725" s="1">
        <v>95</v>
      </c>
      <c r="G725" s="1">
        <v>360</v>
      </c>
      <c r="H725" s="1" t="str">
        <f>"95/04/05"</f>
        <v>95/04/05</v>
      </c>
      <c r="I725" s="1" t="str">
        <f t="shared" si="188"/>
        <v>كيلوگرم</v>
      </c>
      <c r="J725" s="1" t="str">
        <f>"0000000088"</f>
        <v>0000000088</v>
      </c>
      <c r="K725" s="1" t="str">
        <f>"قير  PG58-22"</f>
        <v>قير  PG58-22</v>
      </c>
      <c r="L725" s="1">
        <v>100</v>
      </c>
      <c r="M725" s="1" t="str">
        <f t="shared" si="191"/>
        <v>مخازن قير اصفهان</v>
      </c>
      <c r="N725" s="1">
        <v>11129</v>
      </c>
      <c r="O725" s="1">
        <v>50031105</v>
      </c>
      <c r="P725" s="1" t="str">
        <f>"  پلورراه آبيدر"</f>
        <v xml:space="preserve">  پلورراه آبيدر</v>
      </c>
      <c r="Q725" s="1">
        <v>14</v>
      </c>
      <c r="R725" s="1" t="str">
        <f>"فروش داخلي - وزارت راه - حوزه راه روستايي ساخت"</f>
        <v>فروش داخلي - وزارت راه - حوزه راه روستايي ساخت</v>
      </c>
      <c r="S725" s="1" t="str">
        <f t="shared" si="189"/>
        <v>قرارداد فروش</v>
      </c>
      <c r="T725" s="1" t="str">
        <f t="shared" si="190"/>
        <v>ندارد</v>
      </c>
      <c r="U725" s="1" t="str">
        <f>"ميهن دوست عبداله(2842010)"</f>
        <v>ميهن دوست عبداله(2842010)</v>
      </c>
      <c r="V725" s="1">
        <v>951400025</v>
      </c>
      <c r="W725" s="1">
        <v>951400025</v>
      </c>
      <c r="X725" s="1" t="str">
        <f>"1395411208"</f>
        <v>1395411208</v>
      </c>
      <c r="Y725" s="1" t="str">
        <f>"95/04/05"</f>
        <v>95/04/05</v>
      </c>
      <c r="Z725" s="1" t="str">
        <f>"13143/510"</f>
        <v>13143/510</v>
      </c>
      <c r="AA725" s="1" t="str">
        <f>"راه وروستايي -ساخت"</f>
        <v>راه وروستايي -ساخت</v>
      </c>
      <c r="AB725" s="1" t="str">
        <f>"95/03/30"</f>
        <v>95/03/30</v>
      </c>
      <c r="AC725" s="1" t="str">
        <f>"استان كردستان"</f>
        <v>استان كردستان</v>
      </c>
      <c r="AD725" s="1" t="str">
        <f>"95/04/05"</f>
        <v>95/04/05</v>
      </c>
      <c r="AE725" s="1" t="str">
        <f t="shared" si="192"/>
        <v>اختتام</v>
      </c>
      <c r="AF725" s="1" t="str">
        <f>""</f>
        <v/>
      </c>
      <c r="AG725" s="1" t="str">
        <f>""</f>
        <v/>
      </c>
      <c r="AH725" s="1" t="str">
        <f>""</f>
        <v/>
      </c>
      <c r="AI725" s="1" t="str">
        <f>""</f>
        <v/>
      </c>
      <c r="AJ725" s="1" t="str">
        <f>""</f>
        <v/>
      </c>
      <c r="AK725" s="1" t="str">
        <f>""</f>
        <v/>
      </c>
    </row>
    <row r="726" spans="1:37" x14ac:dyDescent="0.2">
      <c r="A726" s="1">
        <v>2000000</v>
      </c>
      <c r="B726" s="1">
        <v>951800029</v>
      </c>
      <c r="C726" s="1" t="str">
        <f>"تخليه -گرمساركيلومتر115آزادراه حرم تاحرم-شركت زرين سپاهان"</f>
        <v>تخليه -گرمساركيلومتر115آزادراه حرم تاحرم-شركت زرين سپاهان</v>
      </c>
      <c r="D726" s="1">
        <v>6250</v>
      </c>
      <c r="E726" s="1">
        <v>1998840</v>
      </c>
      <c r="F726" s="1">
        <v>95</v>
      </c>
      <c r="G726" s="1">
        <v>1160</v>
      </c>
      <c r="H726" s="1" t="str">
        <f>"95/04/21"</f>
        <v>95/04/21</v>
      </c>
      <c r="I726" s="1" t="str">
        <f t="shared" si="188"/>
        <v>كيلوگرم</v>
      </c>
      <c r="J726" s="1" t="str">
        <f>"0000000091"</f>
        <v>0000000091</v>
      </c>
      <c r="K726" s="1" t="str">
        <f>"قير  PG64-22"</f>
        <v>قير  PG64-22</v>
      </c>
      <c r="L726" s="1">
        <v>100</v>
      </c>
      <c r="M726" s="1" t="str">
        <f t="shared" si="191"/>
        <v>مخازن قير اصفهان</v>
      </c>
      <c r="N726" s="1">
        <v>10333</v>
      </c>
      <c r="O726" s="1">
        <v>50031268</v>
      </c>
      <c r="P726" s="1" t="str">
        <f>"  قرارگاه سازندگي خاتم الانبياء-قرب کربلا"</f>
        <v xml:space="preserve">  قرارگاه سازندگي خاتم الانبياء-قرب کربلا</v>
      </c>
      <c r="Q726" s="1">
        <v>18</v>
      </c>
      <c r="R726" s="1" t="str">
        <f>"فروش داخلي تهران - وزارت راه - شرکت ساخت و توسعه راهها"</f>
        <v>فروش داخلي تهران - وزارت راه - شرکت ساخت و توسعه راهها</v>
      </c>
      <c r="S726" s="1" t="str">
        <f t="shared" si="189"/>
        <v>قرارداد فروش</v>
      </c>
      <c r="T726" s="1" t="str">
        <f t="shared" si="190"/>
        <v>ندارد</v>
      </c>
      <c r="U726" s="1" t="str">
        <f>"دهقانيان بهرام(4844012)"</f>
        <v>دهقانيان بهرام(4844012)</v>
      </c>
      <c r="V726" s="1">
        <v>951800029</v>
      </c>
      <c r="W726" s="1">
        <v>951800029</v>
      </c>
      <c r="X726" s="1" t="str">
        <f>"1395414446"</f>
        <v>1395414446</v>
      </c>
      <c r="Y726" s="1" t="str">
        <f>"95/04/21"</f>
        <v>95/04/21</v>
      </c>
      <c r="Z726" s="1" t="str">
        <f>"16330/510"</f>
        <v>16330/510</v>
      </c>
      <c r="AA726" s="1" t="str">
        <f>"شركت  ساخت وتوسعه راهها"</f>
        <v>شركت  ساخت وتوسعه راهها</v>
      </c>
      <c r="AB726" s="1" t="str">
        <f>"95/04/15"</f>
        <v>95/04/15</v>
      </c>
      <c r="AC726" s="1" t="str">
        <f>"استان سمنان"</f>
        <v>استان سمنان</v>
      </c>
      <c r="AD726" s="1" t="str">
        <f>"95/04/21"</f>
        <v>95/04/21</v>
      </c>
      <c r="AE726" s="1" t="str">
        <f t="shared" si="192"/>
        <v>اختتام</v>
      </c>
      <c r="AF726" s="1" t="str">
        <f>""</f>
        <v/>
      </c>
      <c r="AG726" s="1" t="str">
        <f>""</f>
        <v/>
      </c>
      <c r="AH726" s="1" t="str">
        <f>""</f>
        <v/>
      </c>
      <c r="AI726" s="1" t="str">
        <f>""</f>
        <v/>
      </c>
      <c r="AJ726" s="1" t="str">
        <f>""</f>
        <v/>
      </c>
      <c r="AK726" s="1" t="str">
        <f>""</f>
        <v/>
      </c>
    </row>
    <row r="727" spans="1:37" x14ac:dyDescent="0.2">
      <c r="A727" s="1">
        <v>25440</v>
      </c>
      <c r="B727" s="1">
        <v>951100061</v>
      </c>
      <c r="C727" s="1" t="str">
        <f>"تخليه - کاشان کيلومتر 17قمصر شركت بتن آسفالت مهر"</f>
        <v>تخليه - کاشان کيلومتر 17قمصر شركت بتن آسفالت مهر</v>
      </c>
      <c r="D727" s="1">
        <v>5863</v>
      </c>
      <c r="E727" s="1">
        <v>25440</v>
      </c>
      <c r="F727" s="1">
        <v>95</v>
      </c>
      <c r="G727" s="1">
        <v>0</v>
      </c>
      <c r="H727" s="1" t="str">
        <f>"95/03/17"</f>
        <v>95/03/17</v>
      </c>
      <c r="I727" s="1" t="str">
        <f t="shared" si="188"/>
        <v>كيلوگرم</v>
      </c>
      <c r="J727" s="1" t="str">
        <f>"0000000087"</f>
        <v>0000000087</v>
      </c>
      <c r="K727" s="1" t="str">
        <f>"قير امولسيون زود شكن فله(CRS1)"</f>
        <v>قير امولسيون زود شكن فله(CRS1)</v>
      </c>
      <c r="L727" s="1">
        <v>100</v>
      </c>
      <c r="M727" s="1" t="str">
        <f t="shared" si="191"/>
        <v>مخازن قير اصفهان</v>
      </c>
      <c r="N727" s="1">
        <v>9268</v>
      </c>
      <c r="O727" s="1">
        <v>50031068</v>
      </c>
      <c r="P727" s="1" t="str">
        <f>"  بتن آسفالت مهر"</f>
        <v xml:space="preserve">  بتن آسفالت مهر</v>
      </c>
      <c r="Q727" s="1">
        <v>11</v>
      </c>
      <c r="R727" s="1" t="str">
        <f>"فروش داخلي تهران - بورس"</f>
        <v>فروش داخلي تهران - بورس</v>
      </c>
      <c r="S727" s="1" t="str">
        <f t="shared" si="189"/>
        <v>قرارداد فروش</v>
      </c>
      <c r="T727" s="1" t="str">
        <f t="shared" si="190"/>
        <v>ندارد</v>
      </c>
      <c r="U727" s="1" t="str">
        <f>"شهبازي محمدرضا(1029ج89)"</f>
        <v>شهبازي محمدرضا(1029ج89)</v>
      </c>
      <c r="V727" s="1">
        <v>951100061</v>
      </c>
      <c r="W727" s="1">
        <v>951100061</v>
      </c>
      <c r="X727" s="1" t="str">
        <f>"1395407383"</f>
        <v>1395407383</v>
      </c>
      <c r="Y727" s="1" t="str">
        <f>"95/03/16"</f>
        <v>95/03/16</v>
      </c>
      <c r="Z727" s="1" t="str">
        <f>"95-34458"</f>
        <v>95-34458</v>
      </c>
      <c r="AA727" s="1" t="str">
        <f>"آسفالت سازان"</f>
        <v>آسفالت سازان</v>
      </c>
      <c r="AB727" s="1" t="str">
        <f>"95/03/16"</f>
        <v>95/03/16</v>
      </c>
      <c r="AC727" s="1" t="str">
        <f>"استان اصفهان"</f>
        <v>استان اصفهان</v>
      </c>
      <c r="AD727" s="1" t="str">
        <f>"93/03/12"</f>
        <v>93/03/12</v>
      </c>
      <c r="AE727" s="1" t="str">
        <f>"تاييدشده"</f>
        <v>تاييدشده</v>
      </c>
      <c r="AF727" s="1" t="str">
        <f>""</f>
        <v/>
      </c>
      <c r="AG727" s="1" t="str">
        <f>""</f>
        <v/>
      </c>
      <c r="AH727" s="1" t="str">
        <f>""</f>
        <v/>
      </c>
      <c r="AI727" s="1" t="str">
        <f>""</f>
        <v/>
      </c>
      <c r="AJ727" s="1" t="str">
        <f>""</f>
        <v/>
      </c>
      <c r="AK727" s="1" t="str">
        <f>""</f>
        <v/>
      </c>
    </row>
    <row r="728" spans="1:37" x14ac:dyDescent="0.2">
      <c r="A728" s="1">
        <v>1000000</v>
      </c>
      <c r="B728" s="1">
        <v>951800135</v>
      </c>
      <c r="C728" s="1" t="str">
        <f>"تخليه - فارس-پروژه تکميل عمليات اجرائي بزرگراه کنارگذر فيروزآباد و تبادل انتهايي -شرکت زرين دشت"</f>
        <v>تخليه - فارس-پروژه تکميل عمليات اجرائي بزرگراه کنارگذر فيروزآباد و تبادل انتهايي -شرکت زرين دشت</v>
      </c>
      <c r="D728" s="1">
        <v>8998</v>
      </c>
      <c r="E728" s="1">
        <v>998960</v>
      </c>
      <c r="F728" s="1">
        <v>95</v>
      </c>
      <c r="G728" s="1">
        <v>1040</v>
      </c>
      <c r="H728" s="1" t="str">
        <f>"95/11/13"</f>
        <v>95/11/13</v>
      </c>
      <c r="I728" s="1" t="str">
        <f t="shared" si="188"/>
        <v>كيلوگرم</v>
      </c>
      <c r="J728" s="1" t="str">
        <f t="shared" ref="J728:J737" si="193">"0000000091"</f>
        <v>0000000091</v>
      </c>
      <c r="K728" s="1" t="str">
        <f t="shared" ref="K728:K737" si="194">"قير  PG64-22"</f>
        <v>قير  PG64-22</v>
      </c>
      <c r="L728" s="1">
        <v>100</v>
      </c>
      <c r="M728" s="1" t="str">
        <f t="shared" si="191"/>
        <v>مخازن قير اصفهان</v>
      </c>
      <c r="N728" s="1">
        <v>8034</v>
      </c>
      <c r="O728" s="1">
        <v>50033581</v>
      </c>
      <c r="P728" s="1" t="str">
        <f>"  ساختماني زرين دشت"</f>
        <v xml:space="preserve">  ساختماني زرين دشت</v>
      </c>
      <c r="Q728" s="1">
        <v>18</v>
      </c>
      <c r="R728" s="1" t="str">
        <f>"فروش داخلي تهران - وزارت راه - شرکت ساخت و توسعه راهها"</f>
        <v>فروش داخلي تهران - وزارت راه - شرکت ساخت و توسعه راهها</v>
      </c>
      <c r="S728" s="1" t="str">
        <f t="shared" si="189"/>
        <v>قرارداد فروش</v>
      </c>
      <c r="T728" s="1" t="str">
        <f t="shared" si="190"/>
        <v>ندارد</v>
      </c>
      <c r="U728" s="1" t="str">
        <f>"افناني اسفندآبادي سعيد(4844002)"</f>
        <v>افناني اسفندآبادي سعيد(4844002)</v>
      </c>
      <c r="V728" s="1">
        <v>951800135</v>
      </c>
      <c r="W728" s="1">
        <v>951800135</v>
      </c>
      <c r="X728" s="1" t="str">
        <f>"1395462680"</f>
        <v>1395462680</v>
      </c>
      <c r="Y728" s="1" t="str">
        <f>"95/11/13"</f>
        <v>95/11/13</v>
      </c>
      <c r="Z728" s="1" t="str">
        <f>"56082/710"</f>
        <v>56082/710</v>
      </c>
      <c r="AA728" s="1" t="str">
        <f>"شركت  ساخت وتوسعه راهها"</f>
        <v>شركت  ساخت وتوسعه راهها</v>
      </c>
      <c r="AB728" s="1" t="str">
        <f>"95/11/11"</f>
        <v>95/11/11</v>
      </c>
      <c r="AC728" s="1" t="str">
        <f>"استان فارس"</f>
        <v>استان فارس</v>
      </c>
      <c r="AD728" s="1" t="str">
        <f>"95/11/13"</f>
        <v>95/11/13</v>
      </c>
      <c r="AE728" s="1" t="str">
        <f t="shared" ref="AE728:AE745" si="195">"اختتام"</f>
        <v>اختتام</v>
      </c>
      <c r="AF728" s="1" t="str">
        <f>""</f>
        <v/>
      </c>
      <c r="AG728" s="1" t="str">
        <f>""</f>
        <v/>
      </c>
      <c r="AH728" s="1" t="str">
        <f>""</f>
        <v/>
      </c>
      <c r="AI728" s="1" t="str">
        <f>""</f>
        <v/>
      </c>
      <c r="AJ728" s="1" t="str">
        <f>""</f>
        <v/>
      </c>
      <c r="AK728" s="1" t="str">
        <f>""</f>
        <v/>
      </c>
    </row>
    <row r="729" spans="1:37" x14ac:dyDescent="0.2">
      <c r="A729" s="1">
        <v>1000000</v>
      </c>
      <c r="B729" s="1">
        <v>951800099</v>
      </c>
      <c r="C729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729" s="1">
        <v>7276</v>
      </c>
      <c r="E729" s="1">
        <v>634160</v>
      </c>
      <c r="F729" s="1">
        <v>95</v>
      </c>
      <c r="G729" s="1">
        <v>365840</v>
      </c>
      <c r="H729" s="1" t="str">
        <f>"95/09/07"</f>
        <v>95/09/07</v>
      </c>
      <c r="I729" s="1" t="str">
        <f t="shared" si="188"/>
        <v>كيلوگرم</v>
      </c>
      <c r="J729" s="1" t="str">
        <f t="shared" si="193"/>
        <v>0000000091</v>
      </c>
      <c r="K729" s="1" t="str">
        <f t="shared" si="194"/>
        <v>قير  PG64-22</v>
      </c>
      <c r="L729" s="1">
        <v>100</v>
      </c>
      <c r="M729" s="1" t="str">
        <f t="shared" si="191"/>
        <v>مخازن قير اصفهان</v>
      </c>
      <c r="N729" s="1">
        <v>8072</v>
      </c>
      <c r="O729" s="1">
        <v>50032714</v>
      </c>
      <c r="P729" s="1" t="str">
        <f>"  بنادر"</f>
        <v xml:space="preserve">  بنادر</v>
      </c>
      <c r="Q729" s="1">
        <v>18</v>
      </c>
      <c r="R729" s="1" t="str">
        <f>"فروش داخلي تهران - وزارت راه - شرکت ساخت و توسعه راهها"</f>
        <v>فروش داخلي تهران - وزارت راه - شرکت ساخت و توسعه راهها</v>
      </c>
      <c r="S729" s="1" t="str">
        <f t="shared" si="189"/>
        <v>قرارداد فروش</v>
      </c>
      <c r="T729" s="1" t="str">
        <f t="shared" si="190"/>
        <v>ندارد</v>
      </c>
      <c r="U729" s="1" t="str">
        <f>"عزيزي صفر(1006ج 89)"</f>
        <v>عزيزي صفر(1006ج 89)</v>
      </c>
      <c r="V729" s="1">
        <v>951800099</v>
      </c>
      <c r="W729" s="1">
        <v>951800099</v>
      </c>
      <c r="X729" s="1" t="str">
        <f>"1395447767"</f>
        <v>1395447767</v>
      </c>
      <c r="Y729" s="1" t="str">
        <f>"95/09/07"</f>
        <v>95/09/07</v>
      </c>
      <c r="Z729" s="1" t="str">
        <f>"42744/710"</f>
        <v>42744/710</v>
      </c>
      <c r="AA729" s="1" t="str">
        <f>"وزارت راه و ترابري-زيرساخت"</f>
        <v>وزارت راه و ترابري-زيرساخت</v>
      </c>
      <c r="AB729" s="1" t="str">
        <f>"95/09/03"</f>
        <v>95/09/03</v>
      </c>
      <c r="AC729" s="1" t="str">
        <f>"استان كرمانشاه"</f>
        <v>استان كرمانشاه</v>
      </c>
      <c r="AD729" s="1" t="str">
        <f>"95/09/07"</f>
        <v>95/09/07</v>
      </c>
      <c r="AE729" s="1" t="str">
        <f t="shared" si="195"/>
        <v>اختتام</v>
      </c>
      <c r="AF729" s="1" t="str">
        <f>""</f>
        <v/>
      </c>
      <c r="AG729" s="1" t="str">
        <f>""</f>
        <v/>
      </c>
      <c r="AH729" s="1" t="str">
        <f>""</f>
        <v/>
      </c>
      <c r="AI729" s="1" t="str">
        <f>""</f>
        <v/>
      </c>
      <c r="AJ729" s="1" t="str">
        <f>""</f>
        <v/>
      </c>
      <c r="AK729" s="1" t="str">
        <f>""</f>
        <v/>
      </c>
    </row>
    <row r="730" spans="1:37" x14ac:dyDescent="0.2">
      <c r="A730" s="1">
        <v>365840</v>
      </c>
      <c r="B730" s="1">
        <v>951800107</v>
      </c>
      <c r="C730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730" s="1">
        <v>9061</v>
      </c>
      <c r="E730" s="1">
        <v>339660</v>
      </c>
      <c r="F730" s="1">
        <v>95</v>
      </c>
      <c r="G730" s="1">
        <v>26180</v>
      </c>
      <c r="H730" s="1" t="str">
        <f>"95/10/02"</f>
        <v>95/10/02</v>
      </c>
      <c r="I730" s="1" t="str">
        <f t="shared" si="188"/>
        <v>كيلوگرم</v>
      </c>
      <c r="J730" s="1" t="str">
        <f t="shared" si="193"/>
        <v>0000000091</v>
      </c>
      <c r="K730" s="1" t="str">
        <f t="shared" si="194"/>
        <v>قير  PG64-22</v>
      </c>
      <c r="L730" s="1">
        <v>100</v>
      </c>
      <c r="M730" s="1" t="str">
        <f t="shared" si="191"/>
        <v>مخازن قير اصفهان</v>
      </c>
      <c r="N730" s="1">
        <v>8072</v>
      </c>
      <c r="O730" s="1">
        <v>50033119</v>
      </c>
      <c r="P730" s="1" t="str">
        <f>"  بنادر"</f>
        <v xml:space="preserve">  بنادر</v>
      </c>
      <c r="Q730" s="1">
        <v>18</v>
      </c>
      <c r="R730" s="1" t="str">
        <f>"فروش داخلي تهران - وزارت راه - شرکت ساخت و توسعه راهها"</f>
        <v>فروش داخلي تهران - وزارت راه - شرکت ساخت و توسعه راهها</v>
      </c>
      <c r="S730" s="1" t="str">
        <f t="shared" si="189"/>
        <v>قرارداد فروش</v>
      </c>
      <c r="T730" s="1" t="str">
        <f t="shared" si="190"/>
        <v>ندارد</v>
      </c>
      <c r="U730" s="1" t="str">
        <f>"عزيزي صفر(1006ج 89)"</f>
        <v>عزيزي صفر(1006ج 89)</v>
      </c>
      <c r="V730" s="1">
        <v>951800107</v>
      </c>
      <c r="W730" s="1">
        <v>951800107</v>
      </c>
      <c r="X730" s="1" t="str">
        <f>"1395447767"</f>
        <v>1395447767</v>
      </c>
      <c r="Y730" s="1" t="str">
        <f>"95/10/02"</f>
        <v>95/10/02</v>
      </c>
      <c r="Z730" s="1" t="str">
        <f>"42744/710"</f>
        <v>42744/710</v>
      </c>
      <c r="AA730" s="1" t="str">
        <f>"شركت  ساخت وتوسعه راهها"</f>
        <v>شركت  ساخت وتوسعه راهها</v>
      </c>
      <c r="AB730" s="1" t="str">
        <f>"95/09/03"</f>
        <v>95/09/03</v>
      </c>
      <c r="AC730" s="1" t="str">
        <f>"استان كرمانشاه"</f>
        <v>استان كرمانشاه</v>
      </c>
      <c r="AD730" s="1" t="str">
        <f>"95/09/07"</f>
        <v>95/09/07</v>
      </c>
      <c r="AE730" s="1" t="str">
        <f t="shared" si="195"/>
        <v>اختتام</v>
      </c>
      <c r="AF730" s="1" t="str">
        <f>""</f>
        <v/>
      </c>
      <c r="AG730" s="1" t="str">
        <f>""</f>
        <v/>
      </c>
      <c r="AH730" s="1" t="str">
        <f>""</f>
        <v/>
      </c>
      <c r="AI730" s="1" t="str">
        <f>""</f>
        <v/>
      </c>
      <c r="AJ730" s="1" t="str">
        <f>""</f>
        <v/>
      </c>
      <c r="AK730" s="1" t="str">
        <f>""</f>
        <v/>
      </c>
    </row>
    <row r="731" spans="1:37" x14ac:dyDescent="0.2">
      <c r="A731" s="1">
        <v>250000</v>
      </c>
      <c r="B731" s="1">
        <v>951700218</v>
      </c>
      <c r="C731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731" s="1">
        <v>7276</v>
      </c>
      <c r="E731" s="1">
        <v>48640</v>
      </c>
      <c r="F731" s="1">
        <v>95</v>
      </c>
      <c r="G731" s="1">
        <v>201360</v>
      </c>
      <c r="H731" s="1" t="str">
        <f>"95/07/06"</f>
        <v>95/07/06</v>
      </c>
      <c r="I731" s="1" t="str">
        <f t="shared" si="188"/>
        <v>كيلوگرم</v>
      </c>
      <c r="J731" s="1" t="str">
        <f t="shared" si="193"/>
        <v>0000000091</v>
      </c>
      <c r="K731" s="1" t="str">
        <f t="shared" si="194"/>
        <v>قير  PG64-22</v>
      </c>
      <c r="L731" s="1">
        <v>100</v>
      </c>
      <c r="M731" s="1" t="str">
        <f t="shared" si="191"/>
        <v>مخازن قير اصفهان</v>
      </c>
      <c r="N731" s="1">
        <v>8091</v>
      </c>
      <c r="O731" s="1">
        <v>50031979</v>
      </c>
      <c r="P731" s="1" t="str">
        <f>"  اداره كل راه وشهرسازي اصفهان"</f>
        <v xml:space="preserve">  اداره كل راه وشهرسازي اصفهان</v>
      </c>
      <c r="Q731" s="1">
        <v>17</v>
      </c>
      <c r="R731" s="1" t="str">
        <f>"فروش داخلي تهران - وزارت راه - راه روستايي - روکش"</f>
        <v>فروش داخلي تهران - وزارت راه - راه روستايي - روکش</v>
      </c>
      <c r="S731" s="1" t="str">
        <f t="shared" si="189"/>
        <v>قرارداد فروش</v>
      </c>
      <c r="T731" s="1" t="str">
        <f t="shared" si="190"/>
        <v>ندارد</v>
      </c>
      <c r="U731" s="1" t="str">
        <f>"اسماعيلي پور امين (1013ج89)"</f>
        <v>اسماعيلي پور امين (1013ج89)</v>
      </c>
      <c r="V731" s="1">
        <v>951700218</v>
      </c>
      <c r="W731" s="1">
        <v>951700218</v>
      </c>
      <c r="X731" s="1" t="str">
        <f>"1395433830"</f>
        <v>1395433830</v>
      </c>
      <c r="Y731" s="1" t="str">
        <f>"95/07/06"</f>
        <v>95/07/06</v>
      </c>
      <c r="Z731" s="1" t="str">
        <f>"31549/510"</f>
        <v>31549/510</v>
      </c>
      <c r="AA731" s="1" t="str">
        <f>"راه روستائي -روكش"</f>
        <v>راه روستائي -روكش</v>
      </c>
      <c r="AB731" s="1" t="str">
        <f>"95/07/03"</f>
        <v>95/07/03</v>
      </c>
      <c r="AC731" s="1" t="str">
        <f>"استان اصفهان"</f>
        <v>استان اصفهان</v>
      </c>
      <c r="AD731" s="1" t="str">
        <f>"95/07/05"</f>
        <v>95/07/05</v>
      </c>
      <c r="AE731" s="1" t="str">
        <f t="shared" si="195"/>
        <v>اختتام</v>
      </c>
      <c r="AF731" s="1" t="str">
        <f>""</f>
        <v/>
      </c>
      <c r="AG731" s="1" t="str">
        <f>""</f>
        <v/>
      </c>
      <c r="AH731" s="1" t="str">
        <f>""</f>
        <v/>
      </c>
      <c r="AI731" s="1" t="str">
        <f>""</f>
        <v/>
      </c>
      <c r="AJ731" s="1" t="str">
        <f>""</f>
        <v/>
      </c>
      <c r="AK731" s="1" t="str">
        <f>""</f>
        <v/>
      </c>
    </row>
    <row r="732" spans="1:37" x14ac:dyDescent="0.2">
      <c r="A732" s="1">
        <v>300000</v>
      </c>
      <c r="B732" s="1">
        <v>951900047</v>
      </c>
      <c r="C732" s="1" t="str">
        <f>"تخليه- کارگاه شرکت راهسازي سروکهن"</f>
        <v>تخليه- کارگاه شرکت راهسازي سروکهن</v>
      </c>
      <c r="D732" s="1">
        <v>6250</v>
      </c>
      <c r="E732" s="1">
        <v>297540</v>
      </c>
      <c r="F732" s="1">
        <v>95</v>
      </c>
      <c r="G732" s="1">
        <v>2460</v>
      </c>
      <c r="H732" s="1" t="str">
        <f>"95/04/22"</f>
        <v>95/04/22</v>
      </c>
      <c r="I732" s="1" t="str">
        <f t="shared" si="188"/>
        <v>كيلوگرم</v>
      </c>
      <c r="J732" s="1" t="str">
        <f t="shared" si="193"/>
        <v>0000000091</v>
      </c>
      <c r="K732" s="1" t="str">
        <f t="shared" si="194"/>
        <v>قير  PG64-22</v>
      </c>
      <c r="L732" s="1">
        <v>100</v>
      </c>
      <c r="M732" s="1" t="str">
        <f t="shared" si="191"/>
        <v>مخازن قير اصفهان</v>
      </c>
      <c r="N732" s="1">
        <v>9329</v>
      </c>
      <c r="O732" s="1">
        <v>50031277</v>
      </c>
      <c r="P732" s="1" t="str">
        <f>"  راهسازي سروكهن"</f>
        <v xml:space="preserve">  راهسازي سروكهن</v>
      </c>
      <c r="Q732" s="1">
        <v>19</v>
      </c>
      <c r="R73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32" s="1" t="str">
        <f t="shared" si="189"/>
        <v>قرارداد فروش</v>
      </c>
      <c r="T732" s="1" t="str">
        <f t="shared" si="190"/>
        <v>ندارد</v>
      </c>
      <c r="U732" s="1" t="str">
        <f>"قانعي محمدرضا(1011ج89)"</f>
        <v>قانعي محمدرضا(1011ج89)</v>
      </c>
      <c r="V732" s="1">
        <v>951900047</v>
      </c>
      <c r="W732" s="1">
        <v>951900047</v>
      </c>
      <c r="X732" s="1" t="str">
        <f>"1395414670"</f>
        <v>1395414670</v>
      </c>
      <c r="Y732" s="1" t="str">
        <f>"95/04/22"</f>
        <v>95/04/22</v>
      </c>
      <c r="Z732" s="1" t="str">
        <f>"14993/510"</f>
        <v>14993/510</v>
      </c>
      <c r="AA732" s="1" t="str">
        <f>"سازمان راهداري وحمل نقل جاده اي"</f>
        <v>سازمان راهداري وحمل نقل جاده اي</v>
      </c>
      <c r="AB732" s="1" t="str">
        <f>"95/04/08"</f>
        <v>95/04/08</v>
      </c>
      <c r="AC732" s="1" t="str">
        <f>"استان يزد"</f>
        <v>استان يزد</v>
      </c>
      <c r="AD732" s="1" t="str">
        <f>"95/04/22"</f>
        <v>95/04/22</v>
      </c>
      <c r="AE732" s="1" t="str">
        <f t="shared" si="195"/>
        <v>اختتام</v>
      </c>
      <c r="AF732" s="1" t="str">
        <f>""</f>
        <v/>
      </c>
      <c r="AG732" s="1" t="str">
        <f>""</f>
        <v/>
      </c>
      <c r="AH732" s="1" t="str">
        <f>""</f>
        <v/>
      </c>
      <c r="AI732" s="1" t="str">
        <f>""</f>
        <v/>
      </c>
      <c r="AJ732" s="1" t="str">
        <f>""</f>
        <v/>
      </c>
      <c r="AK732" s="1" t="str">
        <f>""</f>
        <v/>
      </c>
    </row>
    <row r="733" spans="1:37" x14ac:dyDescent="0.2">
      <c r="A733" s="1">
        <v>100000</v>
      </c>
      <c r="B733" s="1">
        <v>951900132</v>
      </c>
      <c r="C733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733" s="1">
        <v>7176</v>
      </c>
      <c r="E733" s="1">
        <v>96320</v>
      </c>
      <c r="F733" s="1">
        <v>95</v>
      </c>
      <c r="G733" s="1">
        <v>3680</v>
      </c>
      <c r="H733" s="1" t="str">
        <f>"95/06/04"</f>
        <v>95/06/04</v>
      </c>
      <c r="I733" s="1" t="str">
        <f t="shared" si="188"/>
        <v>كيلوگرم</v>
      </c>
      <c r="J733" s="1" t="str">
        <f t="shared" si="193"/>
        <v>0000000091</v>
      </c>
      <c r="K733" s="1" t="str">
        <f t="shared" si="194"/>
        <v>قير  PG64-22</v>
      </c>
      <c r="L733" s="1">
        <v>100</v>
      </c>
      <c r="M733" s="1" t="str">
        <f t="shared" si="191"/>
        <v>مخازن قير اصفهان</v>
      </c>
      <c r="N733" s="1">
        <v>9345</v>
      </c>
      <c r="O733" s="1">
        <v>50031642</v>
      </c>
      <c r="P733" s="1" t="str">
        <f>"  ثمين راه صفاهان"</f>
        <v xml:space="preserve">  ثمين راه صفاهان</v>
      </c>
      <c r="Q733" s="1">
        <v>19</v>
      </c>
      <c r="R7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33" s="1" t="str">
        <f t="shared" si="189"/>
        <v>قرارداد فروش</v>
      </c>
      <c r="T733" s="1" t="str">
        <f t="shared" si="190"/>
        <v>ندارد</v>
      </c>
      <c r="U733" s="1" t="str">
        <f>"شهبازي محمدرضا(1029ج89)"</f>
        <v>شهبازي محمدرضا(1029ج89)</v>
      </c>
      <c r="V733" s="1">
        <v>951900132</v>
      </c>
      <c r="W733" s="1">
        <v>951900132</v>
      </c>
      <c r="X733" s="1" t="str">
        <f>"1395426708"</f>
        <v>1395426708</v>
      </c>
      <c r="Y733" s="1" t="str">
        <f>"95/06/04"</f>
        <v>95/06/04</v>
      </c>
      <c r="Z733" s="1" t="str">
        <f>"23968/510"</f>
        <v>23968/510</v>
      </c>
      <c r="AA733" s="1" t="str">
        <f>"سازمان راهداري وحمل نقل جاده اي"</f>
        <v>سازمان راهداري وحمل نقل جاده اي</v>
      </c>
      <c r="AB733" s="1" t="str">
        <f>"95/05/26"</f>
        <v>95/05/26</v>
      </c>
      <c r="AC733" s="1" t="str">
        <f>"استان اصفهان"</f>
        <v>استان اصفهان</v>
      </c>
      <c r="AD733" s="1" t="str">
        <f>"95/06/03"</f>
        <v>95/06/03</v>
      </c>
      <c r="AE733" s="1" t="str">
        <f t="shared" si="195"/>
        <v>اختتام</v>
      </c>
      <c r="AF733" s="1" t="str">
        <f>""</f>
        <v/>
      </c>
      <c r="AG733" s="1" t="str">
        <f>""</f>
        <v/>
      </c>
      <c r="AH733" s="1" t="str">
        <f>""</f>
        <v/>
      </c>
      <c r="AI733" s="1" t="str">
        <f>""</f>
        <v/>
      </c>
      <c r="AJ733" s="1" t="str">
        <f>""</f>
        <v/>
      </c>
      <c r="AK733" s="1" t="str">
        <f>""</f>
        <v/>
      </c>
    </row>
    <row r="734" spans="1:37" x14ac:dyDescent="0.2">
      <c r="A734" s="1">
        <v>500000</v>
      </c>
      <c r="B734" s="1">
        <v>951700138</v>
      </c>
      <c r="C734" s="1" t="str">
        <f>"تخليه -قم -جعفريه - بعد از ناحيه صنعتي طغرودكارخانه آسفالت مهرگازران"</f>
        <v>تخليه -قم -جعفريه - بعد از ناحيه صنعتي طغرودكارخانه آسفالت مهرگازران</v>
      </c>
      <c r="D734" s="1">
        <v>6726</v>
      </c>
      <c r="E734" s="1">
        <v>499460</v>
      </c>
      <c r="F734" s="1">
        <v>95</v>
      </c>
      <c r="G734" s="1">
        <v>540</v>
      </c>
      <c r="H734" s="1" t="str">
        <f>"95/05/16"</f>
        <v>95/05/16</v>
      </c>
      <c r="I734" s="1" t="str">
        <f t="shared" si="188"/>
        <v>كيلوگرم</v>
      </c>
      <c r="J734" s="1" t="str">
        <f t="shared" si="193"/>
        <v>0000000091</v>
      </c>
      <c r="K734" s="1" t="str">
        <f t="shared" si="194"/>
        <v>قير  PG64-22</v>
      </c>
      <c r="L734" s="1">
        <v>100</v>
      </c>
      <c r="M734" s="1" t="str">
        <f t="shared" si="191"/>
        <v>مخازن قير اصفهان</v>
      </c>
      <c r="N734" s="1">
        <v>9441</v>
      </c>
      <c r="O734" s="1">
        <v>50031432</v>
      </c>
      <c r="P734" s="1" t="str">
        <f>"  راه وساختمان مهرگازران"</f>
        <v xml:space="preserve">  راه وساختمان مهرگازران</v>
      </c>
      <c r="Q734" s="1">
        <v>17</v>
      </c>
      <c r="R734" s="1" t="str">
        <f>"فروش داخلي تهران - وزارت راه - راه روستايي - روکش"</f>
        <v>فروش داخلي تهران - وزارت راه - راه روستايي - روکش</v>
      </c>
      <c r="S734" s="1" t="str">
        <f t="shared" si="189"/>
        <v>قرارداد فروش</v>
      </c>
      <c r="T734" s="1" t="str">
        <f t="shared" si="190"/>
        <v>ندارد</v>
      </c>
      <c r="U734" s="1" t="str">
        <f>"اميري علي(2842011)"</f>
        <v>اميري علي(2842011)</v>
      </c>
      <c r="V734" s="1">
        <v>951700138</v>
      </c>
      <c r="W734" s="1">
        <v>951700138</v>
      </c>
      <c r="X734" s="1" t="str">
        <f>"1395421152"</f>
        <v>1395421152</v>
      </c>
      <c r="Y734" s="1" t="str">
        <f>"95/05/16"</f>
        <v>95/05/16</v>
      </c>
      <c r="Z734" s="1" t="str">
        <f>"20824/510"</f>
        <v>20824/510</v>
      </c>
      <c r="AA734" s="1" t="str">
        <f>"راه روستائي -روكش"</f>
        <v>راه روستائي -روكش</v>
      </c>
      <c r="AB734" s="1" t="str">
        <f>"95/05/11"</f>
        <v>95/05/11</v>
      </c>
      <c r="AC734" s="1" t="str">
        <f>"قم"</f>
        <v>قم</v>
      </c>
      <c r="AD734" s="1" t="str">
        <f>"95/05/13"</f>
        <v>95/05/13</v>
      </c>
      <c r="AE734" s="1" t="str">
        <f t="shared" si="195"/>
        <v>اختتام</v>
      </c>
      <c r="AF734" s="1" t="str">
        <f>""</f>
        <v/>
      </c>
      <c r="AG734" s="1" t="str">
        <f>""</f>
        <v/>
      </c>
      <c r="AH734" s="1" t="str">
        <f>""</f>
        <v/>
      </c>
      <c r="AI734" s="1" t="str">
        <f>""</f>
        <v/>
      </c>
      <c r="AJ734" s="1" t="str">
        <f>""</f>
        <v/>
      </c>
      <c r="AK734" s="1" t="str">
        <f>""</f>
        <v/>
      </c>
    </row>
    <row r="735" spans="1:37" x14ac:dyDescent="0.2">
      <c r="A735" s="1">
        <v>174000</v>
      </c>
      <c r="B735" s="1">
        <v>956200304</v>
      </c>
      <c r="C735" s="1" t="str">
        <f>"تخليه -قم -كيلومتر9جاده كوه سفيد-شركت آرين پي سهند"</f>
        <v>تخليه -قم -كيلومتر9جاده كوه سفيد-شركت آرين پي سهند</v>
      </c>
      <c r="D735" s="1">
        <v>8998</v>
      </c>
      <c r="E735" s="1">
        <v>172300</v>
      </c>
      <c r="F735" s="1">
        <v>95</v>
      </c>
      <c r="G735" s="1">
        <v>1700</v>
      </c>
      <c r="H735" s="1" t="str">
        <f>"95/12/09"</f>
        <v>95/12/09</v>
      </c>
      <c r="I735" s="1" t="str">
        <f t="shared" si="188"/>
        <v>كيلوگرم</v>
      </c>
      <c r="J735" s="1" t="str">
        <f t="shared" si="193"/>
        <v>0000000091</v>
      </c>
      <c r="K735" s="1" t="str">
        <f t="shared" si="194"/>
        <v>قير  PG64-22</v>
      </c>
      <c r="L735" s="1">
        <v>100</v>
      </c>
      <c r="M735" s="1" t="str">
        <f t="shared" si="191"/>
        <v>مخازن قير اصفهان</v>
      </c>
      <c r="N735" s="1">
        <v>10442</v>
      </c>
      <c r="O735" s="1">
        <v>50034047</v>
      </c>
      <c r="P735" s="1" t="str">
        <f>"  راه وساختماني آرين پي سهند"</f>
        <v xml:space="preserve">  راه وساختماني آرين پي سهند</v>
      </c>
      <c r="Q735" s="1">
        <v>62</v>
      </c>
      <c r="R735" s="1" t="str">
        <f>"فروش داخلي - سازمان بنيادمسكن انقلاب اسلامي"</f>
        <v>فروش داخلي - سازمان بنيادمسكن انقلاب اسلامي</v>
      </c>
      <c r="S735" s="1" t="str">
        <f t="shared" si="189"/>
        <v>قرارداد فروش</v>
      </c>
      <c r="T735" s="1" t="str">
        <f t="shared" si="190"/>
        <v>ندارد</v>
      </c>
      <c r="U735" s="1" t="str">
        <f>"هيزچي مرتضي(1841036)"</f>
        <v>هيزچي مرتضي(1841036)</v>
      </c>
      <c r="V735" s="1">
        <v>956200304</v>
      </c>
      <c r="W735" s="1">
        <v>956200304</v>
      </c>
      <c r="X735" s="1" t="str">
        <f>"1395467972"</f>
        <v>1395467972</v>
      </c>
      <c r="Y735" s="1" t="str">
        <f>"95/12/09"</f>
        <v>95/12/09</v>
      </c>
      <c r="Z735" s="1" t="str">
        <f>"54079/د"</f>
        <v>54079/د</v>
      </c>
      <c r="AA735" s="1" t="str">
        <f>"بنيادمسكن انقلاب اسلامي"</f>
        <v>بنيادمسكن انقلاب اسلامي</v>
      </c>
      <c r="AB735" s="1" t="str">
        <f>"95/12/08"</f>
        <v>95/12/08</v>
      </c>
      <c r="AC735" s="1" t="str">
        <f>"قم"</f>
        <v>قم</v>
      </c>
      <c r="AD735" s="1" t="str">
        <f>"95/12/09"</f>
        <v>95/12/09</v>
      </c>
      <c r="AE735" s="1" t="str">
        <f t="shared" si="195"/>
        <v>اختتام</v>
      </c>
      <c r="AF735" s="1" t="str">
        <f>""</f>
        <v/>
      </c>
      <c r="AG735" s="1" t="str">
        <f>""</f>
        <v/>
      </c>
      <c r="AH735" s="1" t="str">
        <f>""</f>
        <v/>
      </c>
      <c r="AI735" s="1" t="str">
        <f>""</f>
        <v/>
      </c>
      <c r="AJ735" s="1" t="str">
        <f>""</f>
        <v/>
      </c>
      <c r="AK735" s="1" t="str">
        <f>""</f>
        <v/>
      </c>
    </row>
    <row r="736" spans="1:37" x14ac:dyDescent="0.2">
      <c r="A736" s="1">
        <v>500000</v>
      </c>
      <c r="B736" s="1">
        <v>951900078</v>
      </c>
      <c r="C736" s="1" t="str">
        <f>"تخليه-مبارکه-روبروي شهر طالخونچه-منطقه صنعتي امير کبير-کارخانه آسفالت نويدنورسپاهان"</f>
        <v>تخليه-مبارکه-روبروي شهر طالخونچه-منطقه صنعتي امير کبير-کارخانه آسفالت نويدنورسپاهان</v>
      </c>
      <c r="D736" s="1">
        <v>6726</v>
      </c>
      <c r="E736" s="1">
        <v>500000</v>
      </c>
      <c r="F736" s="1">
        <v>95</v>
      </c>
      <c r="G736" s="1">
        <v>0</v>
      </c>
      <c r="H736" s="1" t="str">
        <f>"95/05/06"</f>
        <v>95/05/06</v>
      </c>
      <c r="I736" s="1" t="str">
        <f t="shared" si="188"/>
        <v>كيلوگرم</v>
      </c>
      <c r="J736" s="1" t="str">
        <f t="shared" si="193"/>
        <v>0000000091</v>
      </c>
      <c r="K736" s="1" t="str">
        <f t="shared" si="194"/>
        <v>قير  PG64-22</v>
      </c>
      <c r="L736" s="1">
        <v>100</v>
      </c>
      <c r="M736" s="1" t="str">
        <f t="shared" si="191"/>
        <v>مخازن قير اصفهان</v>
      </c>
      <c r="N736" s="1">
        <v>10497</v>
      </c>
      <c r="O736" s="1">
        <v>50031388</v>
      </c>
      <c r="P736" s="1" t="str">
        <f>"  نويدنورسپاهان"</f>
        <v xml:space="preserve">  نويدنورسپاهان</v>
      </c>
      <c r="Q736" s="1">
        <v>19</v>
      </c>
      <c r="R73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36" s="1" t="str">
        <f t="shared" si="189"/>
        <v>قرارداد فروش</v>
      </c>
      <c r="T736" s="1" t="str">
        <f t="shared" si="190"/>
        <v>ندارد</v>
      </c>
      <c r="U736" s="1" t="str">
        <f>"شهبازي محمدرضا(1029ج89)"</f>
        <v>شهبازي محمدرضا(1029ج89)</v>
      </c>
      <c r="V736" s="1">
        <v>951900078</v>
      </c>
      <c r="W736" s="1">
        <v>951900078</v>
      </c>
      <c r="X736" s="1" t="str">
        <f>"1395419174"</f>
        <v>1395419174</v>
      </c>
      <c r="Y736" s="1" t="str">
        <f>"95/05/06"</f>
        <v>95/05/06</v>
      </c>
      <c r="Z736" s="1" t="str">
        <f>"19581/510"</f>
        <v>19581/510</v>
      </c>
      <c r="AA736" s="1" t="str">
        <f>"سازمان راهداري وحمل نقل جاده اي"</f>
        <v>سازمان راهداري وحمل نقل جاده اي</v>
      </c>
      <c r="AB736" s="1" t="str">
        <f>"95/05/03"</f>
        <v>95/05/03</v>
      </c>
      <c r="AC736" s="1" t="str">
        <f>"استان اصفهان"</f>
        <v>استان اصفهان</v>
      </c>
      <c r="AD736" s="1" t="str">
        <f>"95/05/06"</f>
        <v>95/05/06</v>
      </c>
      <c r="AE736" s="1" t="str">
        <f t="shared" si="195"/>
        <v>اختتام</v>
      </c>
      <c r="AF736" s="1" t="str">
        <f>""</f>
        <v/>
      </c>
      <c r="AG736" s="1" t="str">
        <f>""</f>
        <v/>
      </c>
      <c r="AH736" s="1" t="str">
        <f>""</f>
        <v/>
      </c>
      <c r="AI736" s="1" t="str">
        <f>""</f>
        <v/>
      </c>
      <c r="AJ736" s="1" t="str">
        <f>""</f>
        <v/>
      </c>
      <c r="AK736" s="1" t="str">
        <f>""</f>
        <v/>
      </c>
    </row>
    <row r="737" spans="1:37" x14ac:dyDescent="0.2">
      <c r="A737" s="1">
        <v>250000</v>
      </c>
      <c r="B737" s="1">
        <v>951900108</v>
      </c>
      <c r="C737" s="1" t="str">
        <f>"تخليه -اصفهان -فريدن -كارخانه آسفالت دامنه"</f>
        <v>تخليه -اصفهان -فريدن -كارخانه آسفالت دامنه</v>
      </c>
      <c r="D737" s="1">
        <v>6726</v>
      </c>
      <c r="E737" s="1">
        <v>248260</v>
      </c>
      <c r="F737" s="1">
        <v>95</v>
      </c>
      <c r="G737" s="1">
        <v>1740</v>
      </c>
      <c r="H737" s="1" t="str">
        <f>"95/05/23"</f>
        <v>95/05/23</v>
      </c>
      <c r="I737" s="1" t="str">
        <f t="shared" si="188"/>
        <v>كيلوگرم</v>
      </c>
      <c r="J737" s="1" t="str">
        <f t="shared" si="193"/>
        <v>0000000091</v>
      </c>
      <c r="K737" s="1" t="str">
        <f t="shared" si="194"/>
        <v>قير  PG64-22</v>
      </c>
      <c r="L737" s="1">
        <v>100</v>
      </c>
      <c r="M737" s="1" t="str">
        <f t="shared" si="191"/>
        <v>مخازن قير اصفهان</v>
      </c>
      <c r="N737" s="1">
        <v>10536</v>
      </c>
      <c r="O737" s="1">
        <v>50031488</v>
      </c>
      <c r="P737" s="1" t="str">
        <f>"  آبجيل صنعت"</f>
        <v xml:space="preserve">  آبجيل صنعت</v>
      </c>
      <c r="Q737" s="1">
        <v>19</v>
      </c>
      <c r="R73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37" s="1" t="str">
        <f t="shared" si="189"/>
        <v>قرارداد فروش</v>
      </c>
      <c r="T737" s="1" t="str">
        <f t="shared" si="190"/>
        <v>ندارد</v>
      </c>
      <c r="U737" s="1" t="str">
        <f>"سيفي پور گودرز(1019ج89)"</f>
        <v>سيفي پور گودرز(1019ج89)</v>
      </c>
      <c r="V737" s="1">
        <v>951900108</v>
      </c>
      <c r="W737" s="1">
        <v>951900108</v>
      </c>
      <c r="X737" s="1" t="str">
        <f>"1395421985"</f>
        <v>1395421985</v>
      </c>
      <c r="Y737" s="1" t="str">
        <f>"95/05/23"</f>
        <v>95/05/23</v>
      </c>
      <c r="Z737" s="1" t="str">
        <f>"21881/510"</f>
        <v>21881/510</v>
      </c>
      <c r="AA737" s="1" t="str">
        <f>"سازمان راهداري وحمل نقل جاده اي"</f>
        <v>سازمان راهداري وحمل نقل جاده اي</v>
      </c>
      <c r="AB737" s="1" t="str">
        <f>"95/05/16"</f>
        <v>95/05/16</v>
      </c>
      <c r="AC737" s="1" t="str">
        <f>"استان اصفهان"</f>
        <v>استان اصفهان</v>
      </c>
      <c r="AD737" s="1" t="str">
        <f>"95/05/18"</f>
        <v>95/05/18</v>
      </c>
      <c r="AE737" s="1" t="str">
        <f t="shared" si="195"/>
        <v>اختتام</v>
      </c>
      <c r="AF737" s="1" t="str">
        <f>""</f>
        <v/>
      </c>
      <c r="AG737" s="1" t="str">
        <f>""</f>
        <v/>
      </c>
      <c r="AH737" s="1" t="str">
        <f>""</f>
        <v/>
      </c>
      <c r="AI737" s="1" t="str">
        <f>""</f>
        <v/>
      </c>
      <c r="AJ737" s="1" t="str">
        <f>""</f>
        <v/>
      </c>
      <c r="AK737" s="1" t="str">
        <f>""</f>
        <v/>
      </c>
    </row>
    <row r="738" spans="1:37" x14ac:dyDescent="0.2">
      <c r="A738" s="1">
        <v>600000</v>
      </c>
      <c r="B738" s="1">
        <v>951800143</v>
      </c>
      <c r="C738" s="1" t="str">
        <f>"تخليه -لرستان -اليگودرز-شهرك صنعتي كيلومتر10جاده ازنا-اليگودرز-شركت ره دژزاگرس"</f>
        <v>تخليه -لرستان -اليگودرز-شهرك صنعتي كيلومتر10جاده ازنا-اليگودرز-شركت ره دژزاگرس</v>
      </c>
      <c r="D738" s="1">
        <v>9354</v>
      </c>
      <c r="E738" s="1">
        <v>598760</v>
      </c>
      <c r="F738" s="1">
        <v>95</v>
      </c>
      <c r="G738" s="1">
        <v>1240</v>
      </c>
      <c r="H738" s="1" t="str">
        <f>"95/12/04"</f>
        <v>95/12/04</v>
      </c>
      <c r="I738" s="1" t="str">
        <f t="shared" si="188"/>
        <v>كيلوگرم</v>
      </c>
      <c r="J738" s="1" t="str">
        <f>"0000000089"</f>
        <v>0000000089</v>
      </c>
      <c r="K738" s="1" t="str">
        <f>"قير  PG58-16"</f>
        <v>قير  PG58-16</v>
      </c>
      <c r="L738" s="1">
        <v>100</v>
      </c>
      <c r="M738" s="1" t="str">
        <f t="shared" si="191"/>
        <v>مخازن قير اصفهان</v>
      </c>
      <c r="N738" s="1">
        <v>8650</v>
      </c>
      <c r="O738" s="1">
        <v>50033841</v>
      </c>
      <c r="P738" s="1" t="str">
        <f>"  ره دژزاگرس"</f>
        <v xml:space="preserve">  ره دژزاگرس</v>
      </c>
      <c r="Q738" s="1">
        <v>18</v>
      </c>
      <c r="R738" s="1" t="str">
        <f>"فروش داخلي تهران - وزارت راه - شرکت ساخت و توسعه راهها"</f>
        <v>فروش داخلي تهران - وزارت راه - شرکت ساخت و توسعه راهها</v>
      </c>
      <c r="S738" s="1" t="str">
        <f t="shared" si="189"/>
        <v>قرارداد فروش</v>
      </c>
      <c r="T738" s="1" t="str">
        <f t="shared" si="190"/>
        <v>ندارد</v>
      </c>
      <c r="U738" s="1" t="str">
        <f>"رضائي كلهر حسن (1901099)"</f>
        <v>رضائي كلهر حسن (1901099)</v>
      </c>
      <c r="V738" s="1">
        <v>951800143</v>
      </c>
      <c r="W738" s="1">
        <v>951800143</v>
      </c>
      <c r="X738" s="1" t="str">
        <f>"1395466580"</f>
        <v>1395466580</v>
      </c>
      <c r="Y738" s="1" t="str">
        <f>"95/12/04"</f>
        <v>95/12/04</v>
      </c>
      <c r="Z738" s="1" t="str">
        <f>"60176/710"</f>
        <v>60176/710</v>
      </c>
      <c r="AA738" s="1" t="str">
        <f>"شركت  ساخت وتوسعه راهها"</f>
        <v>شركت  ساخت وتوسعه راهها</v>
      </c>
      <c r="AB738" s="1" t="str">
        <f>"95/11/30"</f>
        <v>95/11/30</v>
      </c>
      <c r="AC738" s="1" t="str">
        <f>"لرستان"</f>
        <v>لرستان</v>
      </c>
      <c r="AD738" s="1" t="str">
        <f>"95/12/03"</f>
        <v>95/12/03</v>
      </c>
      <c r="AE738" s="1" t="str">
        <f t="shared" si="195"/>
        <v>اختتام</v>
      </c>
      <c r="AF738" s="1" t="str">
        <f>""</f>
        <v/>
      </c>
      <c r="AG738" s="1" t="str">
        <f>""</f>
        <v/>
      </c>
      <c r="AH738" s="1" t="str">
        <f>""</f>
        <v/>
      </c>
      <c r="AI738" s="1" t="str">
        <f>""</f>
        <v/>
      </c>
      <c r="AJ738" s="1" t="str">
        <f>""</f>
        <v/>
      </c>
      <c r="AK738" s="1" t="str">
        <f>""</f>
        <v/>
      </c>
    </row>
    <row r="739" spans="1:37" x14ac:dyDescent="0.2">
      <c r="A739" s="1">
        <v>200000</v>
      </c>
      <c r="B739" s="1">
        <v>951900091</v>
      </c>
      <c r="C739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739" s="1">
        <v>6726</v>
      </c>
      <c r="E739" s="1">
        <v>199280</v>
      </c>
      <c r="F739" s="1">
        <v>95</v>
      </c>
      <c r="G739" s="1">
        <v>720</v>
      </c>
      <c r="H739" s="1" t="str">
        <f>"95/05/16"</f>
        <v>95/05/16</v>
      </c>
      <c r="I739" s="1" t="str">
        <f t="shared" si="188"/>
        <v>كيلوگرم</v>
      </c>
      <c r="J739" s="1" t="str">
        <f>"0000000089"</f>
        <v>0000000089</v>
      </c>
      <c r="K739" s="1" t="str">
        <f>"قير  PG58-16"</f>
        <v>قير  PG58-16</v>
      </c>
      <c r="L739" s="1">
        <v>100</v>
      </c>
      <c r="M739" s="1" t="str">
        <f t="shared" si="191"/>
        <v>مخازن قير اصفهان</v>
      </c>
      <c r="N739" s="1">
        <v>8874</v>
      </c>
      <c r="O739" s="1">
        <v>50031436</v>
      </c>
      <c r="P739" s="1" t="str">
        <f>"  كيهان پژوه پويا"</f>
        <v xml:space="preserve">  كيهان پژوه پويا</v>
      </c>
      <c r="Q739" s="1">
        <v>19</v>
      </c>
      <c r="R73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39" s="1" t="str">
        <f t="shared" si="189"/>
        <v>قرارداد فروش</v>
      </c>
      <c r="T739" s="1" t="str">
        <f t="shared" si="190"/>
        <v>ندارد</v>
      </c>
      <c r="U739" s="1" t="str">
        <f>"ريسماني حسن(1007ج89)"</f>
        <v>ريسماني حسن(1007ج89)</v>
      </c>
      <c r="V739" s="1">
        <v>951900091</v>
      </c>
      <c r="W739" s="1">
        <v>951900091</v>
      </c>
      <c r="X739" s="1" t="str">
        <f>"1395421161"</f>
        <v>1395421161</v>
      </c>
      <c r="Y739" s="1" t="str">
        <f>"95/05/16"</f>
        <v>95/05/16</v>
      </c>
      <c r="Z739" s="1" t="str">
        <f>"20843/510"</f>
        <v>20843/510</v>
      </c>
      <c r="AA739" s="1" t="str">
        <f>"سازمان راهداري وحمل نقل جاده اي"</f>
        <v>سازمان راهداري وحمل نقل جاده اي</v>
      </c>
      <c r="AB739" s="1" t="str">
        <f>"95/05/11"</f>
        <v>95/05/11</v>
      </c>
      <c r="AC739" s="1" t="str">
        <f>"لرستان"</f>
        <v>لرستان</v>
      </c>
      <c r="AD739" s="1" t="str">
        <f>"95/05/13"</f>
        <v>95/05/13</v>
      </c>
      <c r="AE739" s="1" t="str">
        <f t="shared" si="195"/>
        <v>اختتام</v>
      </c>
      <c r="AF739" s="1" t="str">
        <f>""</f>
        <v/>
      </c>
      <c r="AG739" s="1" t="str">
        <f>""</f>
        <v/>
      </c>
      <c r="AH739" s="1" t="str">
        <f>""</f>
        <v/>
      </c>
      <c r="AI739" s="1" t="str">
        <f>""</f>
        <v/>
      </c>
      <c r="AJ739" s="1" t="str">
        <f>""</f>
        <v/>
      </c>
      <c r="AK739" s="1" t="str">
        <f>""</f>
        <v/>
      </c>
    </row>
    <row r="740" spans="1:37" x14ac:dyDescent="0.2">
      <c r="A740" s="1">
        <v>200000</v>
      </c>
      <c r="B740" s="1">
        <v>951900203</v>
      </c>
      <c r="C740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740" s="1">
        <v>8323</v>
      </c>
      <c r="E740" s="1">
        <v>137680</v>
      </c>
      <c r="F740" s="1">
        <v>95</v>
      </c>
      <c r="G740" s="1">
        <v>62320</v>
      </c>
      <c r="H740" s="1" t="str">
        <f>"95/08/29"</f>
        <v>95/08/29</v>
      </c>
      <c r="I740" s="1" t="str">
        <f t="shared" si="188"/>
        <v>كيلوگرم</v>
      </c>
      <c r="J740" s="1" t="str">
        <f>"0000000089"</f>
        <v>0000000089</v>
      </c>
      <c r="K740" s="1" t="str">
        <f>"قير  PG58-16"</f>
        <v>قير  PG58-16</v>
      </c>
      <c r="L740" s="1">
        <v>100</v>
      </c>
      <c r="M740" s="1" t="str">
        <f t="shared" si="191"/>
        <v>مخازن قير اصفهان</v>
      </c>
      <c r="N740" s="1">
        <v>8874</v>
      </c>
      <c r="O740" s="1">
        <v>50032636</v>
      </c>
      <c r="P740" s="1" t="str">
        <f>"  كيهان پژوه پويا"</f>
        <v xml:space="preserve">  كيهان پژوه پويا</v>
      </c>
      <c r="Q740" s="1">
        <v>19</v>
      </c>
      <c r="R7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40" s="1" t="str">
        <f t="shared" si="189"/>
        <v>قرارداد فروش</v>
      </c>
      <c r="T740" s="1" t="str">
        <f t="shared" si="190"/>
        <v>ندارد</v>
      </c>
      <c r="U740" s="1" t="str">
        <f>"ريسماني حسن(1007ج89)"</f>
        <v>ريسماني حسن(1007ج89)</v>
      </c>
      <c r="V740" s="1">
        <v>951900203</v>
      </c>
      <c r="W740" s="1">
        <v>951900203</v>
      </c>
      <c r="X740" s="1" t="str">
        <f>"1395446289"</f>
        <v>1395446289</v>
      </c>
      <c r="Y740" s="1" t="str">
        <f>"95/08/29"</f>
        <v>95/08/29</v>
      </c>
      <c r="Z740" s="1" t="str">
        <f>"39762/710"</f>
        <v>39762/710</v>
      </c>
      <c r="AA740" s="1" t="str">
        <f>"سازمان راهداري وحمل نقل جاده اي"</f>
        <v>سازمان راهداري وحمل نقل جاده اي</v>
      </c>
      <c r="AB740" s="1" t="str">
        <f>"95/08/15"</f>
        <v>95/08/15</v>
      </c>
      <c r="AC740" s="1" t="str">
        <f>"لرستان"</f>
        <v>لرستان</v>
      </c>
      <c r="AD740" s="1" t="str">
        <f>"95/08/29"</f>
        <v>95/08/29</v>
      </c>
      <c r="AE740" s="1" t="str">
        <f t="shared" si="195"/>
        <v>اختتام</v>
      </c>
      <c r="AF740" s="1" t="str">
        <f>""</f>
        <v/>
      </c>
      <c r="AG740" s="1" t="str">
        <f>""</f>
        <v/>
      </c>
      <c r="AH740" s="1" t="str">
        <f>""</f>
        <v/>
      </c>
      <c r="AI740" s="1" t="str">
        <f>""</f>
        <v/>
      </c>
      <c r="AJ740" s="1" t="str">
        <f>""</f>
        <v/>
      </c>
      <c r="AK740" s="1" t="str">
        <f>""</f>
        <v/>
      </c>
    </row>
    <row r="741" spans="1:37" x14ac:dyDescent="0.2">
      <c r="A741" s="1">
        <v>550000</v>
      </c>
      <c r="B741" s="1">
        <v>951900074</v>
      </c>
      <c r="C741" s="1" t="str">
        <f>"همدان -كيلومتر45جاده همدان بيجار-روبروي راهدارخانه سوباشي-شرکت اروند راه امير"</f>
        <v>همدان -كيلومتر45جاده همدان بيجار-روبروي راهدارخانه سوباشي-شرکت اروند راه امير</v>
      </c>
      <c r="D741" s="1">
        <v>6726</v>
      </c>
      <c r="E741" s="1">
        <v>548780</v>
      </c>
      <c r="F741" s="1">
        <v>95</v>
      </c>
      <c r="G741" s="1">
        <v>1220</v>
      </c>
      <c r="H741" s="1" t="str">
        <f>"95/05/05"</f>
        <v>95/05/05</v>
      </c>
      <c r="I741" s="1" t="str">
        <f t="shared" si="188"/>
        <v>كيلوگرم</v>
      </c>
      <c r="J741" s="1" t="str">
        <f t="shared" ref="J741:J747" si="196">"0000000091"</f>
        <v>0000000091</v>
      </c>
      <c r="K741" s="1" t="str">
        <f t="shared" ref="K741:K747" si="197">"قير  PG64-22"</f>
        <v>قير  PG64-22</v>
      </c>
      <c r="L741" s="1">
        <v>100</v>
      </c>
      <c r="M741" s="1" t="str">
        <f t="shared" si="191"/>
        <v>مخازن قير اصفهان</v>
      </c>
      <c r="N741" s="1">
        <v>9929</v>
      </c>
      <c r="O741" s="1">
        <v>50031362</v>
      </c>
      <c r="P741" s="1" t="str">
        <f>"  اروند راه امير"</f>
        <v xml:space="preserve">  اروند راه امير</v>
      </c>
      <c r="Q741" s="1">
        <v>19</v>
      </c>
      <c r="R7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41" s="1" t="str">
        <f t="shared" si="189"/>
        <v>قرارداد فروش</v>
      </c>
      <c r="T741" s="1" t="str">
        <f t="shared" si="190"/>
        <v>ندارد</v>
      </c>
      <c r="U741" s="1" t="str">
        <f>"حاجيلوئي علي اصغر(2842019)"</f>
        <v>حاجيلوئي علي اصغر(2842019)</v>
      </c>
      <c r="V741" s="1">
        <v>951900074</v>
      </c>
      <c r="W741" s="1">
        <v>951900074</v>
      </c>
      <c r="X741" s="1" t="str">
        <f>"1395418061"</f>
        <v>1395418061</v>
      </c>
      <c r="Y741" s="1" t="str">
        <f>"95/05/05"</f>
        <v>95/05/05</v>
      </c>
      <c r="Z741" s="1" t="str">
        <f>"19111/510"</f>
        <v>19111/510</v>
      </c>
      <c r="AA741" s="1" t="str">
        <f>"سازمان راهداري وحمل نقل جاده اي"</f>
        <v>سازمان راهداري وحمل نقل جاده اي</v>
      </c>
      <c r="AB741" s="1" t="str">
        <f>"95/05/02"</f>
        <v>95/05/02</v>
      </c>
      <c r="AC741" s="1" t="str">
        <f>"استان همدان"</f>
        <v>استان همدان</v>
      </c>
      <c r="AD741" s="1" t="str">
        <f>"95/05/05"</f>
        <v>95/05/05</v>
      </c>
      <c r="AE741" s="1" t="str">
        <f t="shared" si="195"/>
        <v>اختتام</v>
      </c>
      <c r="AF741" s="1" t="str">
        <f>""</f>
        <v/>
      </c>
      <c r="AG741" s="1" t="str">
        <f>""</f>
        <v/>
      </c>
      <c r="AH741" s="1" t="str">
        <f>""</f>
        <v/>
      </c>
      <c r="AI741" s="1" t="str">
        <f>""</f>
        <v/>
      </c>
      <c r="AJ741" s="1" t="str">
        <f>""</f>
        <v/>
      </c>
      <c r="AK741" s="1" t="str">
        <f>""</f>
        <v/>
      </c>
    </row>
    <row r="742" spans="1:37" x14ac:dyDescent="0.2">
      <c r="A742" s="1">
        <v>1000000</v>
      </c>
      <c r="B742" s="1">
        <v>951900022</v>
      </c>
      <c r="C742" s="1" t="str">
        <f>"تخليه يزدمحوريزد-طبس كيلومتر55"</f>
        <v>تخليه يزدمحوريزد-طبس كيلومتر55</v>
      </c>
      <c r="D742" s="1">
        <v>6050</v>
      </c>
      <c r="E742" s="1">
        <v>998760</v>
      </c>
      <c r="F742" s="1">
        <v>95</v>
      </c>
      <c r="G742" s="1">
        <v>1240</v>
      </c>
      <c r="H742" s="1" t="str">
        <f>"95/03/12"</f>
        <v>95/03/12</v>
      </c>
      <c r="I742" s="1" t="str">
        <f t="shared" si="188"/>
        <v>كيلوگرم</v>
      </c>
      <c r="J742" s="1" t="str">
        <f t="shared" si="196"/>
        <v>0000000091</v>
      </c>
      <c r="K742" s="1" t="str">
        <f t="shared" si="197"/>
        <v>قير  PG64-22</v>
      </c>
      <c r="L742" s="1">
        <v>100</v>
      </c>
      <c r="M742" s="1" t="str">
        <f t="shared" si="191"/>
        <v>مخازن قير اصفهان</v>
      </c>
      <c r="N742" s="1">
        <v>8106</v>
      </c>
      <c r="O742" s="1">
        <v>50030938</v>
      </c>
      <c r="P742" s="1" t="str">
        <f>"  سامان محيط"</f>
        <v xml:space="preserve">  سامان محيط</v>
      </c>
      <c r="Q742" s="1">
        <v>19</v>
      </c>
      <c r="R7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42" s="1" t="str">
        <f t="shared" si="189"/>
        <v>قرارداد فروش</v>
      </c>
      <c r="T742" s="1" t="str">
        <f t="shared" si="190"/>
        <v>ندارد</v>
      </c>
      <c r="U742" s="1" t="str">
        <f>"عظيمي محمد(2842015)"</f>
        <v>عظيمي محمد(2842015)</v>
      </c>
      <c r="V742" s="1">
        <v>951900022</v>
      </c>
      <c r="W742" s="1">
        <v>951900022</v>
      </c>
      <c r="X742" s="1" t="str">
        <f>"1395406642"</f>
        <v>1395406642</v>
      </c>
      <c r="Y742" s="1" t="str">
        <f>"95/03/11"</f>
        <v>95/03/11</v>
      </c>
      <c r="Z742" s="1" t="str">
        <f>"52581/510"</f>
        <v>52581/510</v>
      </c>
      <c r="AA742" s="1" t="str">
        <f>"سازمان راهداري وحمل نقل جاده اي"</f>
        <v>سازمان راهداري وحمل نقل جاده اي</v>
      </c>
      <c r="AB742" s="1" t="str">
        <f>"94/09/23"</f>
        <v>94/09/23</v>
      </c>
      <c r="AC742" s="1" t="str">
        <f>"استان يزد"</f>
        <v>استان يزد</v>
      </c>
      <c r="AD742" s="1" t="str">
        <f>"95/03/11"</f>
        <v>95/03/11</v>
      </c>
      <c r="AE742" s="1" t="str">
        <f t="shared" si="195"/>
        <v>اختتام</v>
      </c>
      <c r="AF742" s="1" t="str">
        <f>""</f>
        <v/>
      </c>
      <c r="AG742" s="1" t="str">
        <f>""</f>
        <v/>
      </c>
      <c r="AH742" s="1" t="str">
        <f>""</f>
        <v/>
      </c>
      <c r="AI742" s="1" t="str">
        <f>""</f>
        <v/>
      </c>
      <c r="AJ742" s="1" t="str">
        <f>""</f>
        <v/>
      </c>
      <c r="AK742" s="1" t="str">
        <f>""</f>
        <v/>
      </c>
    </row>
    <row r="743" spans="1:37" x14ac:dyDescent="0.2">
      <c r="A743" s="1">
        <v>200000</v>
      </c>
      <c r="B743" s="1">
        <v>951100084</v>
      </c>
      <c r="C743" s="1" t="str">
        <f>"تخليه -كيلومتر5قبل ازكرندكارخانه آسفالت دالاهووكيلومتر7جاده هرسين روستاي پل چهر-كارخانه آسفالت مرزراه"</f>
        <v>تخليه -كيلومتر5قبل ازكرندكارخانه آسفالت دالاهووكيلومتر7جاده هرسين روستاي پل چهر-كارخانه آسفالت مرزراه</v>
      </c>
      <c r="D743" s="1">
        <v>6250</v>
      </c>
      <c r="E743" s="1">
        <v>200000</v>
      </c>
      <c r="F743" s="1">
        <v>95</v>
      </c>
      <c r="G743" s="1">
        <v>0</v>
      </c>
      <c r="H743" s="1" t="str">
        <f>"95/04/15"</f>
        <v>95/04/15</v>
      </c>
      <c r="I743" s="1" t="str">
        <f t="shared" si="188"/>
        <v>كيلوگرم</v>
      </c>
      <c r="J743" s="1" t="str">
        <f t="shared" si="196"/>
        <v>0000000091</v>
      </c>
      <c r="K743" s="1" t="str">
        <f t="shared" si="197"/>
        <v>قير  PG64-22</v>
      </c>
      <c r="L743" s="1">
        <v>100</v>
      </c>
      <c r="M743" s="1" t="str">
        <f t="shared" si="191"/>
        <v>مخازن قير اصفهان</v>
      </c>
      <c r="N743" s="1">
        <v>8120</v>
      </c>
      <c r="O743" s="1">
        <v>50031204</v>
      </c>
      <c r="P743" s="1" t="str">
        <f>"  مرزراه"</f>
        <v xml:space="preserve">  مرزراه</v>
      </c>
      <c r="Q743" s="1">
        <v>11</v>
      </c>
      <c r="R743" s="1" t="str">
        <f>"فروش داخلي تهران - بورس"</f>
        <v>فروش داخلي تهران - بورس</v>
      </c>
      <c r="S743" s="1" t="str">
        <f t="shared" si="189"/>
        <v>قرارداد فروش</v>
      </c>
      <c r="T743" s="1" t="str">
        <f t="shared" si="190"/>
        <v>ندارد</v>
      </c>
      <c r="U743" s="1" t="str">
        <f>"شمسيان پور حبيب اله(2842034)"</f>
        <v>شمسيان پور حبيب اله(2842034)</v>
      </c>
      <c r="V743" s="1">
        <v>951100084</v>
      </c>
      <c r="W743" s="1">
        <v>951100084</v>
      </c>
      <c r="X743" s="1" t="str">
        <f>"1395412881"</f>
        <v>1395412881</v>
      </c>
      <c r="Y743" s="1" t="str">
        <f>"95/04/14"</f>
        <v>95/04/14</v>
      </c>
      <c r="Z743" s="1" t="str">
        <f>"95-34577"</f>
        <v>95-34577</v>
      </c>
      <c r="AA743" s="1" t="str">
        <f>"آسفالت سازان"</f>
        <v>آسفالت سازان</v>
      </c>
      <c r="AB743" s="1" t="str">
        <f>"95/04/14"</f>
        <v>95/04/14</v>
      </c>
      <c r="AC743" s="1" t="str">
        <f>"استان كرمانشاه"</f>
        <v>استان كرمانشاه</v>
      </c>
      <c r="AD743" s="1" t="str">
        <f>"95/04/13"</f>
        <v>95/04/13</v>
      </c>
      <c r="AE743" s="1" t="str">
        <f t="shared" si="195"/>
        <v>اختتام</v>
      </c>
      <c r="AF743" s="1" t="str">
        <f>""</f>
        <v/>
      </c>
      <c r="AG743" s="1" t="str">
        <f>""</f>
        <v/>
      </c>
      <c r="AH743" s="1" t="str">
        <f>""</f>
        <v/>
      </c>
      <c r="AI743" s="1" t="str">
        <f>""</f>
        <v/>
      </c>
      <c r="AJ743" s="1" t="str">
        <f>""</f>
        <v/>
      </c>
      <c r="AK743" s="1" t="str">
        <f>""</f>
        <v/>
      </c>
    </row>
    <row r="744" spans="1:37" x14ac:dyDescent="0.2">
      <c r="A744" s="1">
        <v>85000</v>
      </c>
      <c r="B744" s="1">
        <v>951100148</v>
      </c>
      <c r="C744" s="1" t="str">
        <f>"تخليه كرمانشاه محوركرمانشاه -هرسين ازپليس راه كيلومتر9روبروي روستاي چهر"</f>
        <v>تخليه كرمانشاه محوركرمانشاه -هرسين ازپليس راه كيلومتر9روبروي روستاي چهر</v>
      </c>
      <c r="D744" s="1">
        <v>7276</v>
      </c>
      <c r="E744" s="1">
        <v>83620</v>
      </c>
      <c r="F744" s="1">
        <v>95</v>
      </c>
      <c r="G744" s="1">
        <v>1380</v>
      </c>
      <c r="H744" s="1" t="str">
        <f>"95/09/06"</f>
        <v>95/09/06</v>
      </c>
      <c r="I744" s="1" t="str">
        <f t="shared" si="188"/>
        <v>كيلوگرم</v>
      </c>
      <c r="J744" s="1" t="str">
        <f t="shared" si="196"/>
        <v>0000000091</v>
      </c>
      <c r="K744" s="1" t="str">
        <f t="shared" si="197"/>
        <v>قير  PG64-22</v>
      </c>
      <c r="L744" s="1">
        <v>100</v>
      </c>
      <c r="M744" s="1" t="str">
        <f t="shared" si="191"/>
        <v>مخازن قير اصفهان</v>
      </c>
      <c r="N744" s="1">
        <v>8120</v>
      </c>
      <c r="O744" s="1">
        <v>50032698</v>
      </c>
      <c r="P744" s="1" t="str">
        <f>"  مرزراه"</f>
        <v xml:space="preserve">  مرزراه</v>
      </c>
      <c r="Q744" s="1">
        <v>11</v>
      </c>
      <c r="R744" s="1" t="str">
        <f>"فروش داخلي تهران - بورس"</f>
        <v>فروش داخلي تهران - بورس</v>
      </c>
      <c r="S744" s="1" t="str">
        <f t="shared" si="189"/>
        <v>قرارداد فروش</v>
      </c>
      <c r="T744" s="1" t="str">
        <f t="shared" si="190"/>
        <v>ندارد</v>
      </c>
      <c r="U744" s="1" t="str">
        <f>"شمسيان پور حبيب اله(2842034)"</f>
        <v>شمسيان پور حبيب اله(2842034)</v>
      </c>
      <c r="V744" s="1">
        <v>951100148</v>
      </c>
      <c r="W744" s="1">
        <v>951100148</v>
      </c>
      <c r="X744" s="1" t="str">
        <f>"1395447610"</f>
        <v>1395447610</v>
      </c>
      <c r="Y744" s="1" t="str">
        <f>"95/09/06"</f>
        <v>95/09/06</v>
      </c>
      <c r="Z744" s="1" t="str">
        <f>"95-34837"</f>
        <v>95-34837</v>
      </c>
      <c r="AA744" s="1" t="str">
        <f>"راه سازي"</f>
        <v>راه سازي</v>
      </c>
      <c r="AB744" s="1" t="str">
        <f>"95/09/06"</f>
        <v>95/09/06</v>
      </c>
      <c r="AC744" s="1" t="str">
        <f>"استان كرمانشاه"</f>
        <v>استان كرمانشاه</v>
      </c>
      <c r="AD744" s="1" t="str">
        <f>"95/09/06"</f>
        <v>95/09/06</v>
      </c>
      <c r="AE744" s="1" t="str">
        <f t="shared" si="195"/>
        <v>اختتام</v>
      </c>
      <c r="AF744" s="1" t="str">
        <f>""</f>
        <v/>
      </c>
      <c r="AG744" s="1" t="str">
        <f>""</f>
        <v/>
      </c>
      <c r="AH744" s="1" t="str">
        <f>""</f>
        <v/>
      </c>
      <c r="AI744" s="1" t="str">
        <f>""</f>
        <v/>
      </c>
      <c r="AJ744" s="1" t="str">
        <f>""</f>
        <v/>
      </c>
      <c r="AK744" s="1" t="str">
        <f>""</f>
        <v/>
      </c>
    </row>
    <row r="745" spans="1:37" x14ac:dyDescent="0.2">
      <c r="A745" s="1">
        <v>1000000</v>
      </c>
      <c r="B745" s="1">
        <v>951600087</v>
      </c>
      <c r="C745" s="1" t="str">
        <f>"تخليه -كرمانشاه -5كيلومترقبل ازكرندكارخانه آسفالت همياردالاهو"</f>
        <v>تخليه -كرمانشاه -5كيلومترقبل ازكرندكارخانه آسفالت همياردالاهو</v>
      </c>
      <c r="D745" s="1">
        <v>9354</v>
      </c>
      <c r="E745" s="1">
        <v>987420</v>
      </c>
      <c r="F745" s="1">
        <v>95</v>
      </c>
      <c r="G745" s="1">
        <v>12580</v>
      </c>
      <c r="H745" s="1" t="str">
        <f>"95/11/10"</f>
        <v>95/11/10</v>
      </c>
      <c r="I745" s="1" t="str">
        <f t="shared" si="188"/>
        <v>كيلوگرم</v>
      </c>
      <c r="J745" s="1" t="str">
        <f t="shared" si="196"/>
        <v>0000000091</v>
      </c>
      <c r="K745" s="1" t="str">
        <f t="shared" si="197"/>
        <v>قير  PG64-22</v>
      </c>
      <c r="L745" s="1">
        <v>100</v>
      </c>
      <c r="M745" s="1" t="str">
        <f t="shared" si="191"/>
        <v>مخازن قير اصفهان</v>
      </c>
      <c r="N745" s="1">
        <v>8120</v>
      </c>
      <c r="O745" s="1">
        <v>50033560</v>
      </c>
      <c r="P745" s="1" t="str">
        <f>"  مرزراه"</f>
        <v xml:space="preserve">  مرزراه</v>
      </c>
      <c r="Q745" s="1">
        <v>16</v>
      </c>
      <c r="R745" s="1" t="str">
        <f>"فروش داخلي تهران - وزارت راه - معاونت اقتصاد"</f>
        <v>فروش داخلي تهران - وزارت راه - معاونت اقتصاد</v>
      </c>
      <c r="S745" s="1" t="str">
        <f t="shared" si="189"/>
        <v>قرارداد فروش</v>
      </c>
      <c r="T745" s="1" t="str">
        <f t="shared" si="190"/>
        <v>ندارد</v>
      </c>
      <c r="U745" s="1" t="str">
        <f>"شمسيان پور حبيب اله(2842034)"</f>
        <v>شمسيان پور حبيب اله(2842034)</v>
      </c>
      <c r="V745" s="1">
        <v>951600087</v>
      </c>
      <c r="W745" s="1">
        <v>951600087</v>
      </c>
      <c r="X745" s="1" t="str">
        <f>"1395461521"</f>
        <v>1395461521</v>
      </c>
      <c r="Y745" s="1" t="str">
        <f>"95/11/10"</f>
        <v>95/11/10</v>
      </c>
      <c r="Z745" s="1" t="str">
        <f>"55038/710"</f>
        <v>55038/710</v>
      </c>
      <c r="AA745" s="1" t="str">
        <f>"معاونت اقتصادوزارت راه وشهرسازي"</f>
        <v>معاونت اقتصادوزارت راه وشهرسازي</v>
      </c>
      <c r="AB745" s="1" t="str">
        <f>"95/11/06"</f>
        <v>95/11/06</v>
      </c>
      <c r="AC745" s="1" t="str">
        <f>"استان كرمانشاه"</f>
        <v>استان كرمانشاه</v>
      </c>
      <c r="AD745" s="1" t="str">
        <f>"95/11/10"</f>
        <v>95/11/10</v>
      </c>
      <c r="AE745" s="1" t="str">
        <f t="shared" si="195"/>
        <v>اختتام</v>
      </c>
      <c r="AF745" s="1" t="str">
        <f>""</f>
        <v/>
      </c>
      <c r="AG745" s="1" t="str">
        <f>""</f>
        <v/>
      </c>
      <c r="AH745" s="1" t="str">
        <f>""</f>
        <v/>
      </c>
      <c r="AI745" s="1" t="str">
        <f>""</f>
        <v/>
      </c>
      <c r="AJ745" s="1" t="str">
        <f>""</f>
        <v/>
      </c>
      <c r="AK745" s="1" t="str">
        <f>""</f>
        <v/>
      </c>
    </row>
    <row r="746" spans="1:37" x14ac:dyDescent="0.2">
      <c r="A746" s="1">
        <v>3000000</v>
      </c>
      <c r="B746" s="1">
        <v>951100178</v>
      </c>
      <c r="C746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746" s="1">
        <v>9511</v>
      </c>
      <c r="E746" s="1">
        <v>3000000</v>
      </c>
      <c r="F746" s="1">
        <v>95</v>
      </c>
      <c r="G746" s="1">
        <v>0</v>
      </c>
      <c r="H746" s="1" t="str">
        <f>"95/11/11"</f>
        <v>95/11/11</v>
      </c>
      <c r="I746" s="1" t="str">
        <f t="shared" si="188"/>
        <v>كيلوگرم</v>
      </c>
      <c r="J746" s="1" t="str">
        <f t="shared" si="196"/>
        <v>0000000091</v>
      </c>
      <c r="K746" s="1" t="str">
        <f t="shared" si="197"/>
        <v>قير  PG64-22</v>
      </c>
      <c r="L746" s="1">
        <v>100</v>
      </c>
      <c r="M746" s="1" t="str">
        <f t="shared" si="191"/>
        <v>مخازن قير اصفهان</v>
      </c>
      <c r="N746" s="1">
        <v>8163</v>
      </c>
      <c r="O746" s="1">
        <v>50033571</v>
      </c>
      <c r="P746" s="1" t="str">
        <f>"  سازمان عمران شهرداري مشهد"</f>
        <v xml:space="preserve">  سازمان عمران شهرداري مشهد</v>
      </c>
      <c r="Q746" s="1">
        <v>11</v>
      </c>
      <c r="R746" s="1" t="str">
        <f>"فروش داخلي تهران - بورس"</f>
        <v>فروش داخلي تهران - بورس</v>
      </c>
      <c r="S746" s="1" t="str">
        <f t="shared" si="189"/>
        <v>قرارداد فروش</v>
      </c>
      <c r="T746" s="1" t="str">
        <f t="shared" si="190"/>
        <v>ندارد</v>
      </c>
      <c r="U746" s="1" t="str">
        <f>"جعفرزاده مهدي(1841079)"</f>
        <v>جعفرزاده مهدي(1841079)</v>
      </c>
      <c r="V746" s="1">
        <v>951100178</v>
      </c>
      <c r="W746" s="1">
        <v>951100178</v>
      </c>
      <c r="X746" s="1" t="str">
        <f>"1395461523"</f>
        <v>1395461523</v>
      </c>
      <c r="Y746" s="1" t="str">
        <f>"95/11/10"</f>
        <v>95/11/10</v>
      </c>
      <c r="Z746" s="1" t="str">
        <f>"49/95/27970"</f>
        <v>49/95/27970</v>
      </c>
      <c r="AA746" s="1" t="str">
        <f>"شهرداريها"</f>
        <v>شهرداريها</v>
      </c>
      <c r="AB746" s="1" t="str">
        <f>"95/11/07"</f>
        <v>95/11/07</v>
      </c>
      <c r="AC746" s="1" t="str">
        <f>"خراسان رضوي"</f>
        <v>خراسان رضوي</v>
      </c>
      <c r="AD746" s="1" t="str">
        <f>"95/11/10"</f>
        <v>95/11/10</v>
      </c>
      <c r="AE746" s="1" t="str">
        <f>"تاييدشده"</f>
        <v>تاييدشده</v>
      </c>
      <c r="AF746" s="1" t="str">
        <f>""</f>
        <v/>
      </c>
      <c r="AG746" s="1" t="str">
        <f>""</f>
        <v/>
      </c>
      <c r="AH746" s="1" t="str">
        <f>""</f>
        <v/>
      </c>
      <c r="AI746" s="1" t="str">
        <f>""</f>
        <v/>
      </c>
      <c r="AJ746" s="1" t="str">
        <f>""</f>
        <v/>
      </c>
      <c r="AK746" s="1" t="str">
        <f>""</f>
        <v/>
      </c>
    </row>
    <row r="747" spans="1:37" x14ac:dyDescent="0.2">
      <c r="A747" s="1">
        <v>312020</v>
      </c>
      <c r="B747" s="1">
        <v>951900002</v>
      </c>
      <c r="C747" s="1" t="str">
        <f>"تخليه -زرين شهر-تنگ بيدگان كارخانه آسفالت زرين استحكام"</f>
        <v>تخليه -زرين شهر-تنگ بيدگان كارخانه آسفالت زرين استحكام</v>
      </c>
      <c r="D747" s="1">
        <v>4800</v>
      </c>
      <c r="E747" s="1">
        <v>311240</v>
      </c>
      <c r="F747" s="1">
        <v>95</v>
      </c>
      <c r="G747" s="1">
        <v>780</v>
      </c>
      <c r="H747" s="1" t="str">
        <f>"95/02/13"</f>
        <v>95/02/13</v>
      </c>
      <c r="I747" s="1" t="str">
        <f t="shared" si="188"/>
        <v>كيلوگرم</v>
      </c>
      <c r="J747" s="1" t="str">
        <f t="shared" si="196"/>
        <v>0000000091</v>
      </c>
      <c r="K747" s="1" t="str">
        <f t="shared" si="197"/>
        <v>قير  PG64-22</v>
      </c>
      <c r="L747" s="1">
        <v>100</v>
      </c>
      <c r="M747" s="1" t="str">
        <f t="shared" si="191"/>
        <v>مخازن قير اصفهان</v>
      </c>
      <c r="N747" s="1">
        <v>1351</v>
      </c>
      <c r="O747" s="1">
        <v>50030700</v>
      </c>
      <c r="P747" s="1" t="str">
        <f>"  زرين استحكام"</f>
        <v xml:space="preserve">  زرين استحكام</v>
      </c>
      <c r="Q747" s="1">
        <v>19</v>
      </c>
      <c r="R74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47" s="1" t="str">
        <f t="shared" si="189"/>
        <v>قرارداد فروش</v>
      </c>
      <c r="T747" s="1" t="str">
        <f t="shared" si="190"/>
        <v>ندارد</v>
      </c>
      <c r="U747" s="1" t="str">
        <f>"مظلوم فريبرز(1008ج89)"</f>
        <v>مظلوم فريبرز(1008ج89)</v>
      </c>
      <c r="V747" s="1">
        <v>951900002</v>
      </c>
      <c r="W747" s="1">
        <v>951900002</v>
      </c>
      <c r="X747" s="1" t="str">
        <f>"1394391631"</f>
        <v>1394391631</v>
      </c>
      <c r="Y747" s="1" t="str">
        <f>"95/02/13"</f>
        <v>95/02/13</v>
      </c>
      <c r="Z747" s="1" t="str">
        <f>"41383/510"</f>
        <v>41383/510</v>
      </c>
      <c r="AA747" s="1" t="str">
        <f>"سازمان راهداري وحمل نقل جاده اي"</f>
        <v>سازمان راهداري وحمل نقل جاده اي</v>
      </c>
      <c r="AB747" s="1" t="str">
        <f>"94/07/27"</f>
        <v>94/07/27</v>
      </c>
      <c r="AC747" s="1" t="str">
        <f t="shared" ref="AC747:AC756" si="198">"استان چهارمحال بختياري"</f>
        <v>استان چهارمحال بختياري</v>
      </c>
      <c r="AD747" s="1" t="str">
        <f>"94/11/20"</f>
        <v>94/11/20</v>
      </c>
      <c r="AE747" s="1" t="str">
        <f t="shared" ref="AE747:AE778" si="199">"اختتام"</f>
        <v>اختتام</v>
      </c>
      <c r="AF747" s="1" t="str">
        <f>""</f>
        <v/>
      </c>
      <c r="AG747" s="1" t="str">
        <f>""</f>
        <v/>
      </c>
      <c r="AH747" s="1" t="str">
        <f>""</f>
        <v/>
      </c>
      <c r="AI747" s="1" t="str">
        <f>""</f>
        <v/>
      </c>
      <c r="AJ747" s="1" t="str">
        <f>""</f>
        <v/>
      </c>
      <c r="AK747" s="1" t="str">
        <f>""</f>
        <v/>
      </c>
    </row>
    <row r="748" spans="1:37" x14ac:dyDescent="0.2">
      <c r="A748" s="1">
        <v>200000</v>
      </c>
      <c r="B748" s="1">
        <v>951900015</v>
      </c>
      <c r="C748" s="1" t="str">
        <f>"تخليه -لردگان -كارخانه آسفالت لردگان"</f>
        <v>تخليه -لردگان -كارخانه آسفالت لردگان</v>
      </c>
      <c r="D748" s="1">
        <v>5650</v>
      </c>
      <c r="E748" s="1">
        <v>200000</v>
      </c>
      <c r="F748" s="1">
        <v>95</v>
      </c>
      <c r="G748" s="1">
        <v>0</v>
      </c>
      <c r="H748" s="1" t="str">
        <f>"95/02/14"</f>
        <v>95/02/14</v>
      </c>
      <c r="I748" s="1" t="str">
        <f t="shared" si="188"/>
        <v>كيلوگرم</v>
      </c>
      <c r="J748" s="1" t="str">
        <f t="shared" ref="J748:J756" si="200">"0000000088"</f>
        <v>0000000088</v>
      </c>
      <c r="K748" s="1" t="str">
        <f t="shared" ref="K748:K756" si="201">"قير  PG58-22"</f>
        <v>قير  PG58-22</v>
      </c>
      <c r="L748" s="1">
        <v>100</v>
      </c>
      <c r="M748" s="1" t="str">
        <f t="shared" si="191"/>
        <v>مخازن قير اصفهان</v>
      </c>
      <c r="N748" s="1">
        <v>7190</v>
      </c>
      <c r="O748" s="1">
        <v>50030728</v>
      </c>
      <c r="P748" s="1" t="str">
        <f t="shared" ref="P748:P756" si="202">"  اداره كل راه و شهرسازي چهارمحال وبختياري"</f>
        <v xml:space="preserve">  اداره كل راه و شهرسازي چهارمحال وبختياري</v>
      </c>
      <c r="Q748" s="1">
        <v>19</v>
      </c>
      <c r="R7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48" s="1" t="str">
        <f t="shared" si="189"/>
        <v>قرارداد فروش</v>
      </c>
      <c r="T748" s="1" t="str">
        <f t="shared" si="190"/>
        <v>ندارد</v>
      </c>
      <c r="U748" s="1" t="str">
        <f t="shared" ref="U748:U756" si="203">"قره باغي مجيد(1871065)"</f>
        <v>قره باغي مجيد(1871065)</v>
      </c>
      <c r="V748" s="1">
        <v>951900015</v>
      </c>
      <c r="W748" s="1">
        <v>951900015</v>
      </c>
      <c r="X748" s="1" t="str">
        <f>"1395401952"</f>
        <v>1395401952</v>
      </c>
      <c r="Y748" s="1" t="str">
        <f>"95/02/14"</f>
        <v>95/02/14</v>
      </c>
      <c r="Z748" s="1" t="str">
        <f>"67884/510"</f>
        <v>67884/510</v>
      </c>
      <c r="AA748" s="1" t="str">
        <f>"سازمان راهداري وحمل نقل جاده اي"</f>
        <v>سازمان راهداري وحمل نقل جاده اي</v>
      </c>
      <c r="AB748" s="1" t="str">
        <f>"94/12/11"</f>
        <v>94/12/11</v>
      </c>
      <c r="AC748" s="1" t="str">
        <f t="shared" si="198"/>
        <v>استان چهارمحال بختياري</v>
      </c>
      <c r="AD748" s="1" t="str">
        <f>"95/02/11"</f>
        <v>95/02/11</v>
      </c>
      <c r="AE748" s="1" t="str">
        <f t="shared" si="199"/>
        <v>اختتام</v>
      </c>
      <c r="AF748" s="1" t="str">
        <f>""</f>
        <v/>
      </c>
      <c r="AG748" s="1" t="str">
        <f>""</f>
        <v/>
      </c>
      <c r="AH748" s="1" t="str">
        <f>""</f>
        <v/>
      </c>
      <c r="AI748" s="1" t="str">
        <f>""</f>
        <v/>
      </c>
      <c r="AJ748" s="1" t="str">
        <f>""</f>
        <v/>
      </c>
      <c r="AK748" s="1" t="str">
        <f>""</f>
        <v/>
      </c>
    </row>
    <row r="749" spans="1:37" x14ac:dyDescent="0.2">
      <c r="A749" s="1">
        <v>404000</v>
      </c>
      <c r="B749" s="1">
        <v>951700056</v>
      </c>
      <c r="C749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749" s="1">
        <v>6250</v>
      </c>
      <c r="E749" s="1">
        <v>404000</v>
      </c>
      <c r="F749" s="1">
        <v>95</v>
      </c>
      <c r="G749" s="1">
        <v>0</v>
      </c>
      <c r="H749" s="1" t="str">
        <f>"95/04/06"</f>
        <v>95/04/06</v>
      </c>
      <c r="I749" s="1" t="str">
        <f t="shared" si="188"/>
        <v>كيلوگرم</v>
      </c>
      <c r="J749" s="1" t="str">
        <f t="shared" si="200"/>
        <v>0000000088</v>
      </c>
      <c r="K749" s="1" t="str">
        <f t="shared" si="201"/>
        <v>قير  PG58-22</v>
      </c>
      <c r="L749" s="1">
        <v>100</v>
      </c>
      <c r="M749" s="1" t="str">
        <f t="shared" si="191"/>
        <v>مخازن قير اصفهان</v>
      </c>
      <c r="N749" s="1">
        <v>7190</v>
      </c>
      <c r="O749" s="1">
        <v>50031122</v>
      </c>
      <c r="P749" s="1" t="str">
        <f t="shared" si="202"/>
        <v xml:space="preserve">  اداره كل راه و شهرسازي چهارمحال وبختياري</v>
      </c>
      <c r="Q749" s="1">
        <v>17</v>
      </c>
      <c r="R749" s="1" t="str">
        <f t="shared" ref="R749:R755" si="204">"فروش داخلي تهران - وزارت راه - راه روستايي - روکش"</f>
        <v>فروش داخلي تهران - وزارت راه - راه روستايي - روکش</v>
      </c>
      <c r="S749" s="1" t="str">
        <f t="shared" si="189"/>
        <v>قرارداد فروش</v>
      </c>
      <c r="T749" s="1" t="str">
        <f t="shared" si="190"/>
        <v>ندارد</v>
      </c>
      <c r="U749" s="1" t="str">
        <f t="shared" si="203"/>
        <v>قره باغي مجيد(1871065)</v>
      </c>
      <c r="V749" s="1">
        <v>951700056</v>
      </c>
      <c r="W749" s="1">
        <v>951700056</v>
      </c>
      <c r="X749" s="1" t="str">
        <f>"1395411204"</f>
        <v>1395411204</v>
      </c>
      <c r="Y749" s="1" t="str">
        <f>"95/04/06"</f>
        <v>95/04/06</v>
      </c>
      <c r="Z749" s="1" t="str">
        <f>"13376/510"</f>
        <v>13376/510</v>
      </c>
      <c r="AA749" s="1" t="str">
        <f t="shared" ref="AA749:AA755" si="205">"راه روستائي -روكش"</f>
        <v>راه روستائي -روكش</v>
      </c>
      <c r="AB749" s="1" t="str">
        <f>"95/03/31"</f>
        <v>95/03/31</v>
      </c>
      <c r="AC749" s="1" t="str">
        <f t="shared" si="198"/>
        <v>استان چهارمحال بختياري</v>
      </c>
      <c r="AD749" s="1" t="str">
        <f>"95/04/05"</f>
        <v>95/04/05</v>
      </c>
      <c r="AE749" s="1" t="str">
        <f t="shared" si="199"/>
        <v>اختتام</v>
      </c>
      <c r="AF749" s="1" t="str">
        <f>""</f>
        <v/>
      </c>
      <c r="AG749" s="1" t="str">
        <f>""</f>
        <v/>
      </c>
      <c r="AH749" s="1" t="str">
        <f>""</f>
        <v/>
      </c>
      <c r="AI749" s="1" t="str">
        <f>""</f>
        <v/>
      </c>
      <c r="AJ749" s="1" t="str">
        <f>""</f>
        <v/>
      </c>
      <c r="AK749" s="1" t="str">
        <f>""</f>
        <v/>
      </c>
    </row>
    <row r="750" spans="1:37" x14ac:dyDescent="0.2">
      <c r="A750" s="1">
        <v>144000</v>
      </c>
      <c r="B750" s="1">
        <v>951700319</v>
      </c>
      <c r="C750" s="1" t="str">
        <f>"تخليه -اردل شركت دشتاونددزپارت"</f>
        <v>تخليه -اردل شركت دشتاونددزپارت</v>
      </c>
      <c r="D750" s="1">
        <v>9511</v>
      </c>
      <c r="E750" s="1">
        <v>143860</v>
      </c>
      <c r="F750" s="1">
        <v>95</v>
      </c>
      <c r="G750" s="1">
        <v>140</v>
      </c>
      <c r="H750" s="1" t="str">
        <f>"95/11/05"</f>
        <v>95/11/05</v>
      </c>
      <c r="I750" s="1" t="str">
        <f t="shared" si="188"/>
        <v>كيلوگرم</v>
      </c>
      <c r="J750" s="1" t="str">
        <f t="shared" si="200"/>
        <v>0000000088</v>
      </c>
      <c r="K750" s="1" t="str">
        <f t="shared" si="201"/>
        <v>قير  PG58-22</v>
      </c>
      <c r="L750" s="1">
        <v>100</v>
      </c>
      <c r="M750" s="1" t="str">
        <f t="shared" si="191"/>
        <v>مخازن قير اصفهان</v>
      </c>
      <c r="N750" s="1">
        <v>7190</v>
      </c>
      <c r="O750" s="1">
        <v>50033515</v>
      </c>
      <c r="P750" s="1" t="str">
        <f t="shared" si="202"/>
        <v xml:space="preserve">  اداره كل راه و شهرسازي چهارمحال وبختياري</v>
      </c>
      <c r="Q750" s="1">
        <v>17</v>
      </c>
      <c r="R750" s="1" t="str">
        <f t="shared" si="204"/>
        <v>فروش داخلي تهران - وزارت راه - راه روستايي - روکش</v>
      </c>
      <c r="S750" s="1" t="str">
        <f t="shared" si="189"/>
        <v>قرارداد فروش</v>
      </c>
      <c r="T750" s="1" t="str">
        <f t="shared" si="190"/>
        <v>ندارد</v>
      </c>
      <c r="U750" s="1" t="str">
        <f t="shared" si="203"/>
        <v>قره باغي مجيد(1871065)</v>
      </c>
      <c r="V750" s="1">
        <v>951700319</v>
      </c>
      <c r="W750" s="1">
        <v>951700319</v>
      </c>
      <c r="X750" s="1" t="str">
        <f>"1395460247"</f>
        <v>1395460247</v>
      </c>
      <c r="Y750" s="1" t="str">
        <f>"95/11/04"</f>
        <v>95/11/04</v>
      </c>
      <c r="Z750" s="1" t="str">
        <f>"52208/710"</f>
        <v>52208/710</v>
      </c>
      <c r="AA750" s="1" t="str">
        <f t="shared" si="205"/>
        <v>راه روستائي -روكش</v>
      </c>
      <c r="AB750" s="1" t="str">
        <f>"95/10/22"</f>
        <v>95/10/22</v>
      </c>
      <c r="AC750" s="1" t="str">
        <f t="shared" si="198"/>
        <v>استان چهارمحال بختياري</v>
      </c>
      <c r="AD750" s="1" t="str">
        <f>"95/11/04"</f>
        <v>95/11/04</v>
      </c>
      <c r="AE750" s="1" t="str">
        <f t="shared" si="199"/>
        <v>اختتام</v>
      </c>
      <c r="AF750" s="1" t="str">
        <f>""</f>
        <v/>
      </c>
      <c r="AG750" s="1" t="str">
        <f>""</f>
        <v/>
      </c>
      <c r="AH750" s="1" t="str">
        <f>""</f>
        <v/>
      </c>
      <c r="AI750" s="1" t="str">
        <f>""</f>
        <v/>
      </c>
      <c r="AJ750" s="1" t="str">
        <f>""</f>
        <v/>
      </c>
      <c r="AK750" s="1" t="str">
        <f>""</f>
        <v/>
      </c>
    </row>
    <row r="751" spans="1:37" x14ac:dyDescent="0.2">
      <c r="A751" s="1">
        <v>96000</v>
      </c>
      <c r="B751" s="1">
        <v>951700320</v>
      </c>
      <c r="C751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51" s="1">
        <v>8998</v>
      </c>
      <c r="E751" s="1">
        <v>96000</v>
      </c>
      <c r="F751" s="1">
        <v>95</v>
      </c>
      <c r="G751" s="1">
        <v>0</v>
      </c>
      <c r="H751" s="1" t="str">
        <f>"95/11/05"</f>
        <v>95/11/05</v>
      </c>
      <c r="I751" s="1" t="str">
        <f t="shared" si="188"/>
        <v>كيلوگرم</v>
      </c>
      <c r="J751" s="1" t="str">
        <f t="shared" si="200"/>
        <v>0000000088</v>
      </c>
      <c r="K751" s="1" t="str">
        <f t="shared" si="201"/>
        <v>قير  PG58-22</v>
      </c>
      <c r="L751" s="1">
        <v>100</v>
      </c>
      <c r="M751" s="1" t="str">
        <f t="shared" si="191"/>
        <v>مخازن قير اصفهان</v>
      </c>
      <c r="N751" s="1">
        <v>7190</v>
      </c>
      <c r="O751" s="1">
        <v>50033518</v>
      </c>
      <c r="P751" s="1" t="str">
        <f t="shared" si="202"/>
        <v xml:space="preserve">  اداره كل راه و شهرسازي چهارمحال وبختياري</v>
      </c>
      <c r="Q751" s="1">
        <v>17</v>
      </c>
      <c r="R751" s="1" t="str">
        <f t="shared" si="204"/>
        <v>فروش داخلي تهران - وزارت راه - راه روستايي - روکش</v>
      </c>
      <c r="S751" s="1" t="str">
        <f t="shared" si="189"/>
        <v>قرارداد فروش</v>
      </c>
      <c r="T751" s="1" t="str">
        <f t="shared" si="190"/>
        <v>ندارد</v>
      </c>
      <c r="U751" s="1" t="str">
        <f t="shared" si="203"/>
        <v>قره باغي مجيد(1871065)</v>
      </c>
      <c r="V751" s="1">
        <v>951700320</v>
      </c>
      <c r="W751" s="1">
        <v>951700320</v>
      </c>
      <c r="X751" s="1" t="str">
        <f>"1395460247"</f>
        <v>1395460247</v>
      </c>
      <c r="Y751" s="1" t="str">
        <f>"95/11/04"</f>
        <v>95/11/04</v>
      </c>
      <c r="Z751" s="1" t="str">
        <f>"52207/710"</f>
        <v>52207/710</v>
      </c>
      <c r="AA751" s="1" t="str">
        <f t="shared" si="205"/>
        <v>راه روستائي -روكش</v>
      </c>
      <c r="AB751" s="1" t="str">
        <f>"95/10/22"</f>
        <v>95/10/22</v>
      </c>
      <c r="AC751" s="1" t="str">
        <f t="shared" si="198"/>
        <v>استان چهارمحال بختياري</v>
      </c>
      <c r="AD751" s="1" t="str">
        <f>"95/11/04"</f>
        <v>95/11/04</v>
      </c>
      <c r="AE751" s="1" t="str">
        <f t="shared" si="199"/>
        <v>اختتام</v>
      </c>
      <c r="AF751" s="1" t="str">
        <f>""</f>
        <v/>
      </c>
      <c r="AG751" s="1" t="str">
        <f>""</f>
        <v/>
      </c>
      <c r="AH751" s="1" t="str">
        <f>""</f>
        <v/>
      </c>
      <c r="AI751" s="1" t="str">
        <f>""</f>
        <v/>
      </c>
      <c r="AJ751" s="1" t="str">
        <f>""</f>
        <v/>
      </c>
      <c r="AK751" s="1" t="str">
        <f>""</f>
        <v/>
      </c>
    </row>
    <row r="752" spans="1:37" x14ac:dyDescent="0.2">
      <c r="A752" s="1">
        <v>75000</v>
      </c>
      <c r="B752" s="1">
        <v>951700323</v>
      </c>
      <c r="C752" s="1" t="str">
        <f>"تخليه -بروجن -مباركه كارخانه آسفالت تك شن"</f>
        <v>تخليه -بروجن -مباركه كارخانه آسفالت تك شن</v>
      </c>
      <c r="D752" s="1">
        <v>8998</v>
      </c>
      <c r="E752" s="1">
        <v>74800</v>
      </c>
      <c r="F752" s="1">
        <v>95</v>
      </c>
      <c r="G752" s="1">
        <v>200</v>
      </c>
      <c r="H752" s="1" t="str">
        <f>"95/11/05"</f>
        <v>95/11/05</v>
      </c>
      <c r="I752" s="1" t="str">
        <f t="shared" si="188"/>
        <v>كيلوگرم</v>
      </c>
      <c r="J752" s="1" t="str">
        <f t="shared" si="200"/>
        <v>0000000088</v>
      </c>
      <c r="K752" s="1" t="str">
        <f t="shared" si="201"/>
        <v>قير  PG58-22</v>
      </c>
      <c r="L752" s="1">
        <v>100</v>
      </c>
      <c r="M752" s="1" t="str">
        <f t="shared" si="191"/>
        <v>مخازن قير اصفهان</v>
      </c>
      <c r="N752" s="1">
        <v>7190</v>
      </c>
      <c r="O752" s="1">
        <v>50033521</v>
      </c>
      <c r="P752" s="1" t="str">
        <f t="shared" si="202"/>
        <v xml:space="preserve">  اداره كل راه و شهرسازي چهارمحال وبختياري</v>
      </c>
      <c r="Q752" s="1">
        <v>17</v>
      </c>
      <c r="R752" s="1" t="str">
        <f t="shared" si="204"/>
        <v>فروش داخلي تهران - وزارت راه - راه روستايي - روکش</v>
      </c>
      <c r="S752" s="1" t="str">
        <f t="shared" si="189"/>
        <v>قرارداد فروش</v>
      </c>
      <c r="T752" s="1" t="str">
        <f t="shared" si="190"/>
        <v>ندارد</v>
      </c>
      <c r="U752" s="1" t="str">
        <f t="shared" si="203"/>
        <v>قره باغي مجيد(1871065)</v>
      </c>
      <c r="V752" s="1">
        <v>951700323</v>
      </c>
      <c r="W752" s="1">
        <v>951700323</v>
      </c>
      <c r="X752" s="1" t="str">
        <f>"1395460247"</f>
        <v>1395460247</v>
      </c>
      <c r="Y752" s="1" t="str">
        <f>"95/11/04"</f>
        <v>95/11/04</v>
      </c>
      <c r="Z752" s="1" t="str">
        <f>"52185/710"</f>
        <v>52185/710</v>
      </c>
      <c r="AA752" s="1" t="str">
        <f t="shared" si="205"/>
        <v>راه روستائي -روكش</v>
      </c>
      <c r="AB752" s="1" t="str">
        <f>"95/10/22"</f>
        <v>95/10/22</v>
      </c>
      <c r="AC752" s="1" t="str">
        <f t="shared" si="198"/>
        <v>استان چهارمحال بختياري</v>
      </c>
      <c r="AD752" s="1" t="str">
        <f>"95/11/04"</f>
        <v>95/11/04</v>
      </c>
      <c r="AE752" s="1" t="str">
        <f t="shared" si="199"/>
        <v>اختتام</v>
      </c>
      <c r="AF752" s="1" t="str">
        <f>""</f>
        <v/>
      </c>
      <c r="AG752" s="1" t="str">
        <f>""</f>
        <v/>
      </c>
      <c r="AH752" s="1" t="str">
        <f>""</f>
        <v/>
      </c>
      <c r="AI752" s="1" t="str">
        <f>""</f>
        <v/>
      </c>
      <c r="AJ752" s="1" t="str">
        <f>""</f>
        <v/>
      </c>
      <c r="AK752" s="1" t="str">
        <f>""</f>
        <v/>
      </c>
    </row>
    <row r="753" spans="1:37" x14ac:dyDescent="0.2">
      <c r="A753" s="1">
        <v>100000</v>
      </c>
      <c r="B753" s="1">
        <v>951700324</v>
      </c>
      <c r="C753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53" s="1">
        <v>8998</v>
      </c>
      <c r="E753" s="1">
        <v>100000</v>
      </c>
      <c r="F753" s="1">
        <v>95</v>
      </c>
      <c r="G753" s="1">
        <v>0</v>
      </c>
      <c r="H753" s="1" t="str">
        <f>"95/11/05"</f>
        <v>95/11/05</v>
      </c>
      <c r="I753" s="1" t="str">
        <f t="shared" si="188"/>
        <v>كيلوگرم</v>
      </c>
      <c r="J753" s="1" t="str">
        <f t="shared" si="200"/>
        <v>0000000088</v>
      </c>
      <c r="K753" s="1" t="str">
        <f t="shared" si="201"/>
        <v>قير  PG58-22</v>
      </c>
      <c r="L753" s="1">
        <v>100</v>
      </c>
      <c r="M753" s="1" t="str">
        <f t="shared" si="191"/>
        <v>مخازن قير اصفهان</v>
      </c>
      <c r="N753" s="1">
        <v>7190</v>
      </c>
      <c r="O753" s="1">
        <v>50033523</v>
      </c>
      <c r="P753" s="1" t="str">
        <f t="shared" si="202"/>
        <v xml:space="preserve">  اداره كل راه و شهرسازي چهارمحال وبختياري</v>
      </c>
      <c r="Q753" s="1">
        <v>17</v>
      </c>
      <c r="R753" s="1" t="str">
        <f t="shared" si="204"/>
        <v>فروش داخلي تهران - وزارت راه - راه روستايي - روکش</v>
      </c>
      <c r="S753" s="1" t="str">
        <f t="shared" si="189"/>
        <v>قرارداد فروش</v>
      </c>
      <c r="T753" s="1" t="str">
        <f t="shared" si="190"/>
        <v>ندارد</v>
      </c>
      <c r="U753" s="1" t="str">
        <f t="shared" si="203"/>
        <v>قره باغي مجيد(1871065)</v>
      </c>
      <c r="V753" s="1">
        <v>951700324</v>
      </c>
      <c r="W753" s="1">
        <v>951700324</v>
      </c>
      <c r="X753" s="1" t="str">
        <f>"1395460247"</f>
        <v>1395460247</v>
      </c>
      <c r="Y753" s="1" t="str">
        <f>"95/11/04"</f>
        <v>95/11/04</v>
      </c>
      <c r="Z753" s="1" t="str">
        <f>"52762/710"</f>
        <v>52762/710</v>
      </c>
      <c r="AA753" s="1" t="str">
        <f t="shared" si="205"/>
        <v>راه روستائي -روكش</v>
      </c>
      <c r="AB753" s="1" t="str">
        <f>"95/10/25"</f>
        <v>95/10/25</v>
      </c>
      <c r="AC753" s="1" t="str">
        <f t="shared" si="198"/>
        <v>استان چهارمحال بختياري</v>
      </c>
      <c r="AD753" s="1" t="str">
        <f>"95/11/04"</f>
        <v>95/11/04</v>
      </c>
      <c r="AE753" s="1" t="str">
        <f t="shared" si="199"/>
        <v>اختتام</v>
      </c>
      <c r="AF753" s="1" t="str">
        <f>""</f>
        <v/>
      </c>
      <c r="AG753" s="1" t="str">
        <f>""</f>
        <v/>
      </c>
      <c r="AH753" s="1" t="str">
        <f>""</f>
        <v/>
      </c>
      <c r="AI753" s="1" t="str">
        <f>""</f>
        <v/>
      </c>
      <c r="AJ753" s="1" t="str">
        <f>""</f>
        <v/>
      </c>
      <c r="AK753" s="1" t="str">
        <f>""</f>
        <v/>
      </c>
    </row>
    <row r="754" spans="1:37" x14ac:dyDescent="0.2">
      <c r="A754" s="1">
        <v>100000</v>
      </c>
      <c r="B754" s="1">
        <v>951700329</v>
      </c>
      <c r="C754" s="1" t="str">
        <f>"تخليه چهارمحال وبختياري شهرستان بن شركت نسيم سامان"</f>
        <v>تخليه چهارمحال وبختياري شهرستان بن شركت نسيم سامان</v>
      </c>
      <c r="D754" s="1">
        <v>8998</v>
      </c>
      <c r="E754" s="1">
        <v>98800</v>
      </c>
      <c r="F754" s="1">
        <v>95</v>
      </c>
      <c r="G754" s="1">
        <v>1200</v>
      </c>
      <c r="H754" s="1" t="str">
        <f>"95/11/05"</f>
        <v>95/11/05</v>
      </c>
      <c r="I754" s="1" t="str">
        <f t="shared" si="188"/>
        <v>كيلوگرم</v>
      </c>
      <c r="J754" s="1" t="str">
        <f t="shared" si="200"/>
        <v>0000000088</v>
      </c>
      <c r="K754" s="1" t="str">
        <f t="shared" si="201"/>
        <v>قير  PG58-22</v>
      </c>
      <c r="L754" s="1">
        <v>100</v>
      </c>
      <c r="M754" s="1" t="str">
        <f t="shared" si="191"/>
        <v>مخازن قير اصفهان</v>
      </c>
      <c r="N754" s="1">
        <v>7190</v>
      </c>
      <c r="O754" s="1">
        <v>50033528</v>
      </c>
      <c r="P754" s="1" t="str">
        <f t="shared" si="202"/>
        <v xml:space="preserve">  اداره كل راه و شهرسازي چهارمحال وبختياري</v>
      </c>
      <c r="Q754" s="1">
        <v>17</v>
      </c>
      <c r="R754" s="1" t="str">
        <f t="shared" si="204"/>
        <v>فروش داخلي تهران - وزارت راه - راه روستايي - روکش</v>
      </c>
      <c r="S754" s="1" t="str">
        <f t="shared" si="189"/>
        <v>قرارداد فروش</v>
      </c>
      <c r="T754" s="1" t="str">
        <f t="shared" si="190"/>
        <v>ندارد</v>
      </c>
      <c r="U754" s="1" t="str">
        <f t="shared" si="203"/>
        <v>قره باغي مجيد(1871065)</v>
      </c>
      <c r="V754" s="1">
        <v>951700329</v>
      </c>
      <c r="W754" s="1">
        <v>951700329</v>
      </c>
      <c r="X754" s="1" t="str">
        <f>"1395460247"</f>
        <v>1395460247</v>
      </c>
      <c r="Y754" s="1" t="str">
        <f>"95/11/04"</f>
        <v>95/11/04</v>
      </c>
      <c r="Z754" s="1" t="str">
        <f>"52176/710"</f>
        <v>52176/710</v>
      </c>
      <c r="AA754" s="1" t="str">
        <f t="shared" si="205"/>
        <v>راه روستائي -روكش</v>
      </c>
      <c r="AB754" s="1" t="str">
        <f>"95/10/22"</f>
        <v>95/10/22</v>
      </c>
      <c r="AC754" s="1" t="str">
        <f t="shared" si="198"/>
        <v>استان چهارمحال بختياري</v>
      </c>
      <c r="AD754" s="1" t="str">
        <f>"95/11/04"</f>
        <v>95/11/04</v>
      </c>
      <c r="AE754" s="1" t="str">
        <f t="shared" si="199"/>
        <v>اختتام</v>
      </c>
      <c r="AF754" s="1" t="str">
        <f>""</f>
        <v/>
      </c>
      <c r="AG754" s="1" t="str">
        <f>""</f>
        <v/>
      </c>
      <c r="AH754" s="1" t="str">
        <f>""</f>
        <v/>
      </c>
      <c r="AI754" s="1" t="str">
        <f>""</f>
        <v/>
      </c>
      <c r="AJ754" s="1" t="str">
        <f>""</f>
        <v/>
      </c>
      <c r="AK754" s="1" t="str">
        <f>""</f>
        <v/>
      </c>
    </row>
    <row r="755" spans="1:37" x14ac:dyDescent="0.2">
      <c r="A755" s="1">
        <v>3000000</v>
      </c>
      <c r="B755" s="1">
        <v>951700340</v>
      </c>
      <c r="C755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55" s="1">
        <v>8998</v>
      </c>
      <c r="E755" s="1">
        <v>3000000</v>
      </c>
      <c r="F755" s="1">
        <v>95</v>
      </c>
      <c r="G755" s="1">
        <v>0</v>
      </c>
      <c r="H755" s="1" t="str">
        <f>"95/11/25"</f>
        <v>95/11/25</v>
      </c>
      <c r="I755" s="1" t="str">
        <f t="shared" si="188"/>
        <v>كيلوگرم</v>
      </c>
      <c r="J755" s="1" t="str">
        <f t="shared" si="200"/>
        <v>0000000088</v>
      </c>
      <c r="K755" s="1" t="str">
        <f t="shared" si="201"/>
        <v>قير  PG58-22</v>
      </c>
      <c r="L755" s="1">
        <v>100</v>
      </c>
      <c r="M755" s="1" t="str">
        <f t="shared" si="191"/>
        <v>مخازن قير اصفهان</v>
      </c>
      <c r="N755" s="1">
        <v>7190</v>
      </c>
      <c r="O755" s="1">
        <v>50033720</v>
      </c>
      <c r="P755" s="1" t="str">
        <f t="shared" si="202"/>
        <v xml:space="preserve">  اداره كل راه و شهرسازي چهارمحال وبختياري</v>
      </c>
      <c r="Q755" s="1">
        <v>17</v>
      </c>
      <c r="R755" s="1" t="str">
        <f t="shared" si="204"/>
        <v>فروش داخلي تهران - وزارت راه - راه روستايي - روکش</v>
      </c>
      <c r="S755" s="1" t="str">
        <f t="shared" si="189"/>
        <v>قرارداد فروش</v>
      </c>
      <c r="T755" s="1" t="str">
        <f t="shared" si="190"/>
        <v>ندارد</v>
      </c>
      <c r="U755" s="1" t="str">
        <f t="shared" si="203"/>
        <v>قره باغي مجيد(1871065)</v>
      </c>
      <c r="V755" s="1">
        <v>951700340</v>
      </c>
      <c r="W755" s="1">
        <v>951700340</v>
      </c>
      <c r="X755" s="1" t="str">
        <f>"1395464561"</f>
        <v>1395464561</v>
      </c>
      <c r="Y755" s="1" t="str">
        <f>"95/11/25"</f>
        <v>95/11/25</v>
      </c>
      <c r="Z755" s="1" t="str">
        <f>"57726/710"</f>
        <v>57726/710</v>
      </c>
      <c r="AA755" s="1" t="str">
        <f t="shared" si="205"/>
        <v>راه روستائي -روكش</v>
      </c>
      <c r="AB755" s="1" t="str">
        <f>"95/11/18"</f>
        <v>95/11/18</v>
      </c>
      <c r="AC755" s="1" t="str">
        <f t="shared" si="198"/>
        <v>استان چهارمحال بختياري</v>
      </c>
      <c r="AD755" s="1" t="str">
        <f>"95/11/24"</f>
        <v>95/11/24</v>
      </c>
      <c r="AE755" s="1" t="str">
        <f t="shared" si="199"/>
        <v>اختتام</v>
      </c>
      <c r="AF755" s="1" t="str">
        <f>""</f>
        <v/>
      </c>
      <c r="AG755" s="1" t="str">
        <f>""</f>
        <v/>
      </c>
      <c r="AH755" s="1" t="str">
        <f>""</f>
        <v/>
      </c>
      <c r="AI755" s="1" t="str">
        <f>""</f>
        <v/>
      </c>
      <c r="AJ755" s="1" t="str">
        <f>""</f>
        <v/>
      </c>
      <c r="AK755" s="1" t="str">
        <f>""</f>
        <v/>
      </c>
    </row>
    <row r="756" spans="1:37" x14ac:dyDescent="0.2">
      <c r="A756" s="1">
        <v>3000000</v>
      </c>
      <c r="B756" s="1">
        <v>951400174</v>
      </c>
      <c r="C756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56" s="1">
        <v>9354</v>
      </c>
      <c r="E756" s="1">
        <v>2999920</v>
      </c>
      <c r="F756" s="1">
        <v>95</v>
      </c>
      <c r="G756" s="1">
        <v>80</v>
      </c>
      <c r="H756" s="1" t="str">
        <f>"95/12/19"</f>
        <v>95/12/19</v>
      </c>
      <c r="I756" s="1" t="str">
        <f t="shared" si="188"/>
        <v>كيلوگرم</v>
      </c>
      <c r="J756" s="1" t="str">
        <f t="shared" si="200"/>
        <v>0000000088</v>
      </c>
      <c r="K756" s="1" t="str">
        <f t="shared" si="201"/>
        <v>قير  PG58-22</v>
      </c>
      <c r="L756" s="1">
        <v>100</v>
      </c>
      <c r="M756" s="1" t="str">
        <f t="shared" si="191"/>
        <v>مخازن قير اصفهان</v>
      </c>
      <c r="N756" s="1">
        <v>7190</v>
      </c>
      <c r="O756" s="1">
        <v>50034061</v>
      </c>
      <c r="P756" s="1" t="str">
        <f t="shared" si="202"/>
        <v xml:space="preserve">  اداره كل راه و شهرسازي چهارمحال وبختياري</v>
      </c>
      <c r="Q756" s="1">
        <v>14</v>
      </c>
      <c r="R756" s="1" t="str">
        <f>"فروش داخلي - وزارت راه - حوزه راه روستايي ساخت"</f>
        <v>فروش داخلي - وزارت راه - حوزه راه روستايي ساخت</v>
      </c>
      <c r="S756" s="1" t="str">
        <f t="shared" si="189"/>
        <v>قرارداد فروش</v>
      </c>
      <c r="T756" s="1" t="str">
        <f t="shared" si="190"/>
        <v>ندارد</v>
      </c>
      <c r="U756" s="1" t="str">
        <f t="shared" si="203"/>
        <v>قره باغي مجيد(1871065)</v>
      </c>
      <c r="V756" s="1">
        <v>951400174</v>
      </c>
      <c r="W756" s="1">
        <v>951400174</v>
      </c>
      <c r="X756" s="1" t="str">
        <f>"1395470075"</f>
        <v>1395470075</v>
      </c>
      <c r="Y756" s="1" t="str">
        <f>"95/12/18"</f>
        <v>95/12/18</v>
      </c>
      <c r="Z756" s="1" t="str">
        <f>"64609/710"</f>
        <v>64609/710</v>
      </c>
      <c r="AA756" s="1" t="str">
        <f>"راه وروستايي -ساخت"</f>
        <v>راه وروستايي -ساخت</v>
      </c>
      <c r="AB756" s="1" t="str">
        <f>"95/12/16"</f>
        <v>95/12/16</v>
      </c>
      <c r="AC756" s="1" t="str">
        <f t="shared" si="198"/>
        <v>استان چهارمحال بختياري</v>
      </c>
      <c r="AD756" s="1" t="str">
        <f>"95/12/18"</f>
        <v>95/12/18</v>
      </c>
      <c r="AE756" s="1" t="str">
        <f t="shared" si="199"/>
        <v>اختتام</v>
      </c>
      <c r="AF756" s="1" t="str">
        <f>""</f>
        <v/>
      </c>
      <c r="AG756" s="1" t="str">
        <f>""</f>
        <v/>
      </c>
      <c r="AH756" s="1" t="str">
        <f>""</f>
        <v/>
      </c>
      <c r="AI756" s="1" t="str">
        <f>""</f>
        <v/>
      </c>
      <c r="AJ756" s="1" t="str">
        <f>""</f>
        <v/>
      </c>
      <c r="AK756" s="1" t="str">
        <f>""</f>
        <v/>
      </c>
    </row>
    <row r="757" spans="1:37" x14ac:dyDescent="0.2">
      <c r="A757" s="1">
        <v>100000</v>
      </c>
      <c r="B757" s="1">
        <v>951900097</v>
      </c>
      <c r="C757" s="1" t="str">
        <f>"تخليه - لرستان-شهرستان درود-روستاي پهلوانکل"</f>
        <v>تخليه - لرستان-شهرستان درود-روستاي پهلوانکل</v>
      </c>
      <c r="D757" s="1">
        <v>6726</v>
      </c>
      <c r="E757" s="1">
        <v>99000</v>
      </c>
      <c r="F757" s="1">
        <v>95</v>
      </c>
      <c r="G757" s="1">
        <v>1000</v>
      </c>
      <c r="H757" s="1" t="str">
        <f>"95/05/17"</f>
        <v>95/05/17</v>
      </c>
      <c r="I757" s="1" t="str">
        <f t="shared" si="188"/>
        <v>كيلوگرم</v>
      </c>
      <c r="J757" s="1" t="str">
        <f>"0000000091"</f>
        <v>0000000091</v>
      </c>
      <c r="K757" s="1" t="str">
        <f>"قير  PG64-22"</f>
        <v>قير  PG64-22</v>
      </c>
      <c r="L757" s="1">
        <v>100</v>
      </c>
      <c r="M757" s="1" t="str">
        <f t="shared" si="191"/>
        <v>مخازن قير اصفهان</v>
      </c>
      <c r="N757" s="1">
        <v>10562</v>
      </c>
      <c r="O757" s="1">
        <v>50031450</v>
      </c>
      <c r="P757" s="1" t="str">
        <f>"  آسفالت ريزان گهرلرستان"</f>
        <v xml:space="preserve">  آسفالت ريزان گهرلرستان</v>
      </c>
      <c r="Q757" s="1">
        <v>19</v>
      </c>
      <c r="R7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57" s="1" t="str">
        <f t="shared" si="189"/>
        <v>قرارداد فروش</v>
      </c>
      <c r="T757" s="1" t="str">
        <f t="shared" si="190"/>
        <v>ندارد</v>
      </c>
      <c r="U757" s="1" t="str">
        <f>"رضائي كلهر حسن (1901099)"</f>
        <v>رضائي كلهر حسن (1901099)</v>
      </c>
      <c r="V757" s="1">
        <v>951900097</v>
      </c>
      <c r="W757" s="1">
        <v>951900097</v>
      </c>
      <c r="X757" s="1" t="str">
        <f>"1395421155"</f>
        <v>1395421155</v>
      </c>
      <c r="Y757" s="1" t="str">
        <f>"95/05/17"</f>
        <v>95/05/17</v>
      </c>
      <c r="Z757" s="1" t="str">
        <f>"20813/510"</f>
        <v>20813/510</v>
      </c>
      <c r="AA757" s="1" t="str">
        <f>"سازمان راهداري وحمل نقل جاده اي"</f>
        <v>سازمان راهداري وحمل نقل جاده اي</v>
      </c>
      <c r="AB757" s="1" t="str">
        <f>"95/05/11"</f>
        <v>95/05/11</v>
      </c>
      <c r="AC757" s="1" t="str">
        <f>"لرستان"</f>
        <v>لرستان</v>
      </c>
      <c r="AD757" s="1" t="str">
        <f>"95/05/13"</f>
        <v>95/05/13</v>
      </c>
      <c r="AE757" s="1" t="str">
        <f t="shared" si="199"/>
        <v>اختتام</v>
      </c>
      <c r="AF757" s="1" t="str">
        <f>""</f>
        <v/>
      </c>
      <c r="AG757" s="1" t="str">
        <f>""</f>
        <v/>
      </c>
      <c r="AH757" s="1" t="str">
        <f>""</f>
        <v/>
      </c>
      <c r="AI757" s="1" t="str">
        <f>""</f>
        <v/>
      </c>
      <c r="AJ757" s="1" t="str">
        <f>""</f>
        <v/>
      </c>
      <c r="AK757" s="1" t="str">
        <f>""</f>
        <v/>
      </c>
    </row>
    <row r="758" spans="1:37" x14ac:dyDescent="0.2">
      <c r="A758" s="1">
        <v>350000</v>
      </c>
      <c r="B758" s="1">
        <v>951700106</v>
      </c>
      <c r="C758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758" s="1">
        <v>6250</v>
      </c>
      <c r="E758" s="1">
        <v>334880</v>
      </c>
      <c r="F758" s="1">
        <v>95</v>
      </c>
      <c r="G758" s="1">
        <v>15120</v>
      </c>
      <c r="H758" s="1" t="str">
        <f>"95/04/21"</f>
        <v>95/04/21</v>
      </c>
      <c r="I758" s="1" t="str">
        <f t="shared" si="188"/>
        <v>كيلوگرم</v>
      </c>
      <c r="J758" s="1" t="str">
        <f>"0000000091"</f>
        <v>0000000091</v>
      </c>
      <c r="K758" s="1" t="str">
        <f>"قير  PG64-22"</f>
        <v>قير  PG64-22</v>
      </c>
      <c r="L758" s="1">
        <v>100</v>
      </c>
      <c r="M758" s="1" t="str">
        <f t="shared" si="191"/>
        <v>مخازن قير اصفهان</v>
      </c>
      <c r="N758" s="1">
        <v>1602</v>
      </c>
      <c r="O758" s="1">
        <v>50031264</v>
      </c>
      <c r="P758" s="1" t="str">
        <f>"  اداره كل راه و شهرسازي يزد"</f>
        <v xml:space="preserve">  اداره كل راه و شهرسازي يزد</v>
      </c>
      <c r="Q758" s="1">
        <v>17</v>
      </c>
      <c r="R758" s="1" t="str">
        <f>"فروش داخلي تهران - وزارت راه - راه روستايي - روکش"</f>
        <v>فروش داخلي تهران - وزارت راه - راه روستايي - روکش</v>
      </c>
      <c r="S758" s="1" t="str">
        <f t="shared" si="189"/>
        <v>قرارداد فروش</v>
      </c>
      <c r="T758" s="1" t="str">
        <f t="shared" si="190"/>
        <v>ندارد</v>
      </c>
      <c r="U758" s="1" t="str">
        <f>"قانعي محمدرضا(1011ج89)"</f>
        <v>قانعي محمدرضا(1011ج89)</v>
      </c>
      <c r="V758" s="1">
        <v>951700106</v>
      </c>
      <c r="W758" s="1">
        <v>951700106</v>
      </c>
      <c r="X758" s="1" t="str">
        <f>"1395414108"</f>
        <v>1395414108</v>
      </c>
      <c r="Y758" s="1" t="str">
        <f>"95/04/21"</f>
        <v>95/04/21</v>
      </c>
      <c r="Z758" s="1" t="str">
        <f>"16247/510"</f>
        <v>16247/510</v>
      </c>
      <c r="AA758" s="1" t="str">
        <f>"راه روستائي -روكش"</f>
        <v>راه روستائي -روكش</v>
      </c>
      <c r="AB758" s="1" t="str">
        <f>"95/04/15"</f>
        <v>95/04/15</v>
      </c>
      <c r="AC758" s="1" t="str">
        <f>"استان يزد"</f>
        <v>استان يزد</v>
      </c>
      <c r="AD758" s="1" t="str">
        <f>"95/04/19"</f>
        <v>95/04/19</v>
      </c>
      <c r="AE758" s="1" t="str">
        <f t="shared" si="199"/>
        <v>اختتام</v>
      </c>
      <c r="AF758" s="1" t="str">
        <f>""</f>
        <v/>
      </c>
      <c r="AG758" s="1" t="str">
        <f>""</f>
        <v/>
      </c>
      <c r="AH758" s="1" t="str">
        <f>""</f>
        <v/>
      </c>
      <c r="AI758" s="1" t="str">
        <f>""</f>
        <v/>
      </c>
      <c r="AJ758" s="1" t="str">
        <f>""</f>
        <v/>
      </c>
      <c r="AK758" s="1" t="str">
        <f>""</f>
        <v/>
      </c>
    </row>
    <row r="759" spans="1:37" x14ac:dyDescent="0.2">
      <c r="A759" s="1">
        <v>650000</v>
      </c>
      <c r="B759" s="1">
        <v>951700268</v>
      </c>
      <c r="C759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759" s="1">
        <v>8323</v>
      </c>
      <c r="E759" s="1">
        <v>99760</v>
      </c>
      <c r="F759" s="1">
        <v>95</v>
      </c>
      <c r="G759" s="1">
        <v>550240</v>
      </c>
      <c r="H759" s="1" t="str">
        <f>"95/08/09"</f>
        <v>95/08/09</v>
      </c>
      <c r="I759" s="1" t="str">
        <f t="shared" si="188"/>
        <v>كيلوگرم</v>
      </c>
      <c r="J759" s="1" t="str">
        <f>"0000000091"</f>
        <v>0000000091</v>
      </c>
      <c r="K759" s="1" t="str">
        <f>"قير  PG64-22"</f>
        <v>قير  PG64-22</v>
      </c>
      <c r="L759" s="1">
        <v>100</v>
      </c>
      <c r="M759" s="1" t="str">
        <f t="shared" si="191"/>
        <v>مخازن قير اصفهان</v>
      </c>
      <c r="N759" s="1">
        <v>1602</v>
      </c>
      <c r="O759" s="1">
        <v>50032395</v>
      </c>
      <c r="P759" s="1" t="str">
        <f>"  اداره كل راه و شهرسازي يزد"</f>
        <v xml:space="preserve">  اداره كل راه و شهرسازي يزد</v>
      </c>
      <c r="Q759" s="1">
        <v>17</v>
      </c>
      <c r="R759" s="1" t="str">
        <f>"فروش داخلي تهران - وزارت راه - راه روستايي - روکش"</f>
        <v>فروش داخلي تهران - وزارت راه - راه روستايي - روکش</v>
      </c>
      <c r="S759" s="1" t="str">
        <f t="shared" si="189"/>
        <v>قرارداد فروش</v>
      </c>
      <c r="T759" s="1" t="str">
        <f t="shared" si="190"/>
        <v>ندارد</v>
      </c>
      <c r="U759" s="1" t="str">
        <f>"قانعي محمدرضا(1011ج89)"</f>
        <v>قانعي محمدرضا(1011ج89)</v>
      </c>
      <c r="V759" s="1">
        <v>951700268</v>
      </c>
      <c r="W759" s="1">
        <v>951700268</v>
      </c>
      <c r="X759" s="1" t="str">
        <f>"1395433636"</f>
        <v>1395433636</v>
      </c>
      <c r="Y759" s="1" t="str">
        <f>"95/08/09"</f>
        <v>95/08/09</v>
      </c>
      <c r="Z759" s="1" t="str">
        <f>"30515/510"</f>
        <v>30515/510</v>
      </c>
      <c r="AA759" s="1" t="str">
        <f>"راه روستائي -روكش"</f>
        <v>راه روستائي -روكش</v>
      </c>
      <c r="AB759" s="1" t="str">
        <f>"95/06/27"</f>
        <v>95/06/27</v>
      </c>
      <c r="AC759" s="1" t="str">
        <f>"استان يزد"</f>
        <v>استان يزد</v>
      </c>
      <c r="AD759" s="1" t="str">
        <f>"95/07/04"</f>
        <v>95/07/04</v>
      </c>
      <c r="AE759" s="1" t="str">
        <f t="shared" si="199"/>
        <v>اختتام</v>
      </c>
      <c r="AF759" s="1" t="str">
        <f>""</f>
        <v/>
      </c>
      <c r="AG759" s="1" t="str">
        <f>""</f>
        <v/>
      </c>
      <c r="AH759" s="1" t="str">
        <f>""</f>
        <v/>
      </c>
      <c r="AI759" s="1" t="str">
        <f>""</f>
        <v/>
      </c>
      <c r="AJ759" s="1" t="str">
        <f>""</f>
        <v/>
      </c>
      <c r="AK759" s="1" t="str">
        <f>""</f>
        <v/>
      </c>
    </row>
    <row r="760" spans="1:37" x14ac:dyDescent="0.2">
      <c r="A760" s="1">
        <v>615000</v>
      </c>
      <c r="B760" s="1">
        <v>951800053</v>
      </c>
      <c r="C760" s="1" t="str">
        <f>"تخليه -ديواندره كيلومتر5جاده ديواندره -سنندج-ابتداي جاده دربند-سرچناراه"</f>
        <v>تخليه -ديواندره كيلومتر5جاده ديواندره -سنندج-ابتداي جاده دربند-سرچناراه</v>
      </c>
      <c r="D760" s="1">
        <v>7176</v>
      </c>
      <c r="E760" s="1">
        <v>613640</v>
      </c>
      <c r="F760" s="1">
        <v>95</v>
      </c>
      <c r="G760" s="1">
        <v>1360</v>
      </c>
      <c r="H760" s="1" t="str">
        <f>"95/06/04"</f>
        <v>95/06/04</v>
      </c>
      <c r="I760" s="1" t="str">
        <f t="shared" si="188"/>
        <v>كيلوگرم</v>
      </c>
      <c r="J760" s="1" t="str">
        <f>"0000000088"</f>
        <v>0000000088</v>
      </c>
      <c r="K760" s="1" t="str">
        <f>"قير  PG58-22"</f>
        <v>قير  PG58-22</v>
      </c>
      <c r="L760" s="1">
        <v>100</v>
      </c>
      <c r="M760" s="1" t="str">
        <f t="shared" si="191"/>
        <v>مخازن قير اصفهان</v>
      </c>
      <c r="N760" s="1">
        <v>8390</v>
      </c>
      <c r="O760" s="1">
        <v>50031623</v>
      </c>
      <c r="P760" s="1" t="str">
        <f>"  سرچنار راه"</f>
        <v xml:space="preserve">  سرچنار راه</v>
      </c>
      <c r="Q760" s="1">
        <v>18</v>
      </c>
      <c r="R760" s="1" t="str">
        <f>"فروش داخلي تهران - وزارت راه - شرکت ساخت و توسعه راهها"</f>
        <v>فروش داخلي تهران - وزارت راه - شرکت ساخت و توسعه راهها</v>
      </c>
      <c r="S760" s="1" t="str">
        <f t="shared" si="189"/>
        <v>قرارداد فروش</v>
      </c>
      <c r="T760" s="1" t="str">
        <f t="shared" si="190"/>
        <v>ندارد</v>
      </c>
      <c r="U760" s="1" t="str">
        <f>"ميهن دوست عبداله(2842010)"</f>
        <v>ميهن دوست عبداله(2842010)</v>
      </c>
      <c r="V760" s="1">
        <v>951800053</v>
      </c>
      <c r="W760" s="1">
        <v>951800053</v>
      </c>
      <c r="X760" s="1" t="str">
        <f>"1395426710"</f>
        <v>1395426710</v>
      </c>
      <c r="Y760" s="1" t="str">
        <f>"95/06/04"</f>
        <v>95/06/04</v>
      </c>
      <c r="Z760" s="1" t="str">
        <f>"24044/510"</f>
        <v>24044/510</v>
      </c>
      <c r="AA760" s="1" t="str">
        <f>"شركت  ساخت وتوسعه راهها"</f>
        <v>شركت  ساخت وتوسعه راهها</v>
      </c>
      <c r="AB760" s="1" t="str">
        <f>"95/05/26"</f>
        <v>95/05/26</v>
      </c>
      <c r="AC760" s="1" t="str">
        <f>"استان كردستان"</f>
        <v>استان كردستان</v>
      </c>
      <c r="AD760" s="1" t="str">
        <f>"95/06/03"</f>
        <v>95/06/03</v>
      </c>
      <c r="AE760" s="1" t="str">
        <f t="shared" si="199"/>
        <v>اختتام</v>
      </c>
      <c r="AF760" s="1" t="str">
        <f>""</f>
        <v/>
      </c>
      <c r="AG760" s="1" t="str">
        <f>""</f>
        <v/>
      </c>
      <c r="AH760" s="1" t="str">
        <f>""</f>
        <v/>
      </c>
      <c r="AI760" s="1" t="str">
        <f>""</f>
        <v/>
      </c>
      <c r="AJ760" s="1" t="str">
        <f>""</f>
        <v/>
      </c>
      <c r="AK760" s="1" t="str">
        <f>""</f>
        <v/>
      </c>
    </row>
    <row r="761" spans="1:37" x14ac:dyDescent="0.2">
      <c r="A761" s="1">
        <v>142040</v>
      </c>
      <c r="B761" s="1">
        <v>951800091</v>
      </c>
      <c r="C761" s="1" t="str">
        <f>"تخليه -چهارمحال وبختياري -كيلومتر25جاده بروجن -لردگان كارگاه شركت ابنيه فني تهران"</f>
        <v>تخليه -چهارمحال وبختياري -كيلومتر25جاده بروجن -لردگان كارگاه شركت ابنيه فني تهران</v>
      </c>
      <c r="D761" s="1">
        <v>8323</v>
      </c>
      <c r="E761" s="1">
        <v>141520</v>
      </c>
      <c r="F761" s="1">
        <v>95</v>
      </c>
      <c r="G761" s="1">
        <v>520</v>
      </c>
      <c r="H761" s="1" t="str">
        <f>"95/08/08"</f>
        <v>95/08/08</v>
      </c>
      <c r="I761" s="1" t="str">
        <f t="shared" si="188"/>
        <v>كيلوگرم</v>
      </c>
      <c r="J761" s="1" t="str">
        <f>"0000000088"</f>
        <v>0000000088</v>
      </c>
      <c r="K761" s="1" t="str">
        <f>"قير  PG58-22"</f>
        <v>قير  PG58-22</v>
      </c>
      <c r="L761" s="1">
        <v>100</v>
      </c>
      <c r="M761" s="1" t="str">
        <f t="shared" si="191"/>
        <v>مخازن قير اصفهان</v>
      </c>
      <c r="N761" s="1">
        <v>8694</v>
      </c>
      <c r="O761" s="1">
        <v>50032336</v>
      </c>
      <c r="P761" s="1" t="str">
        <f>"  ابنيه فني تهران"</f>
        <v xml:space="preserve">  ابنيه فني تهران</v>
      </c>
      <c r="Q761" s="1">
        <v>18</v>
      </c>
      <c r="R761" s="1" t="str">
        <f>"فروش داخلي تهران - وزارت راه - شرکت ساخت و توسعه راهها"</f>
        <v>فروش داخلي تهران - وزارت راه - شرکت ساخت و توسعه راهها</v>
      </c>
      <c r="S761" s="1" t="str">
        <f t="shared" si="189"/>
        <v>قرارداد فروش</v>
      </c>
      <c r="T761" s="1" t="str">
        <f t="shared" si="190"/>
        <v>ندارد</v>
      </c>
      <c r="U761" s="1" t="str">
        <f>"مظلوم فريبرز(1008ج89)"</f>
        <v>مظلوم فريبرز(1008ج89)</v>
      </c>
      <c r="V761" s="1">
        <v>951800091</v>
      </c>
      <c r="W761" s="1">
        <v>951800091</v>
      </c>
      <c r="X761" s="1" t="str">
        <f>"1395433643"</f>
        <v>1395433643</v>
      </c>
      <c r="Y761" s="1" t="str">
        <f>"95/08/08"</f>
        <v>95/08/08</v>
      </c>
      <c r="Z761" s="1" t="str">
        <f>"30706/510"</f>
        <v>30706/510</v>
      </c>
      <c r="AA761" s="1" t="str">
        <f>"شركت  ساخت وتوسعه راهها"</f>
        <v>شركت  ساخت وتوسعه راهها</v>
      </c>
      <c r="AB761" s="1" t="str">
        <f>"95/06/28"</f>
        <v>95/06/28</v>
      </c>
      <c r="AC761" s="1" t="str">
        <f>"استان چهارمحال بختياري"</f>
        <v>استان چهارمحال بختياري</v>
      </c>
      <c r="AD761" s="1" t="str">
        <f>"95/07/04"</f>
        <v>95/07/04</v>
      </c>
      <c r="AE761" s="1" t="str">
        <f t="shared" si="199"/>
        <v>اختتام</v>
      </c>
      <c r="AF761" s="1" t="str">
        <f>""</f>
        <v/>
      </c>
      <c r="AG761" s="1" t="str">
        <f>""</f>
        <v/>
      </c>
      <c r="AH761" s="1" t="str">
        <f>""</f>
        <v/>
      </c>
      <c r="AI761" s="1" t="str">
        <f>""</f>
        <v/>
      </c>
      <c r="AJ761" s="1" t="str">
        <f>""</f>
        <v/>
      </c>
      <c r="AK761" s="1" t="str">
        <f>""</f>
        <v/>
      </c>
    </row>
    <row r="762" spans="1:37" x14ac:dyDescent="0.2">
      <c r="A762" s="1">
        <v>500000</v>
      </c>
      <c r="B762" s="1">
        <v>951800050</v>
      </c>
      <c r="C762" s="1" t="str">
        <f>"تخليه -كردستان ديواندره -زرينه اوباتو-كارگاه شركت پي گستران شمالغرب"</f>
        <v>تخليه -كردستان ديواندره -زرينه اوباتو-كارگاه شركت پي گستران شمالغرب</v>
      </c>
      <c r="D762" s="1">
        <v>6726</v>
      </c>
      <c r="E762" s="1">
        <v>498940</v>
      </c>
      <c r="F762" s="1">
        <v>95</v>
      </c>
      <c r="G762" s="1">
        <v>1060</v>
      </c>
      <c r="H762" s="1" t="str">
        <f>"95/05/23"</f>
        <v>95/05/23</v>
      </c>
      <c r="I762" s="1" t="str">
        <f t="shared" si="188"/>
        <v>كيلوگرم</v>
      </c>
      <c r="J762" s="1" t="str">
        <f>"0000000088"</f>
        <v>0000000088</v>
      </c>
      <c r="K762" s="1" t="str">
        <f>"قير  PG58-22"</f>
        <v>قير  PG58-22</v>
      </c>
      <c r="L762" s="1">
        <v>100</v>
      </c>
      <c r="M762" s="1" t="str">
        <f t="shared" si="191"/>
        <v>مخازن قير اصفهان</v>
      </c>
      <c r="N762" s="1">
        <v>9175</v>
      </c>
      <c r="O762" s="1">
        <v>50031506</v>
      </c>
      <c r="P762" s="1" t="str">
        <f>"  پي گستران شمالغرب"</f>
        <v xml:space="preserve">  پي گستران شمالغرب</v>
      </c>
      <c r="Q762" s="1">
        <v>18</v>
      </c>
      <c r="R762" s="1" t="str">
        <f>"فروش داخلي تهران - وزارت راه - شرکت ساخت و توسعه راهها"</f>
        <v>فروش داخلي تهران - وزارت راه - شرکت ساخت و توسعه راهها</v>
      </c>
      <c r="S762" s="1" t="str">
        <f t="shared" si="189"/>
        <v>قرارداد فروش</v>
      </c>
      <c r="T762" s="1" t="str">
        <f t="shared" si="190"/>
        <v>ندارد</v>
      </c>
      <c r="U762" s="1" t="str">
        <f>"هيزچي مرتضي(1841036)"</f>
        <v>هيزچي مرتضي(1841036)</v>
      </c>
      <c r="V762" s="1">
        <v>951800050</v>
      </c>
      <c r="W762" s="1">
        <v>951800050</v>
      </c>
      <c r="X762" s="1" t="str">
        <f>"1395421997"</f>
        <v>1395421997</v>
      </c>
      <c r="Y762" s="1" t="str">
        <f>"95/05/23"</f>
        <v>95/05/23</v>
      </c>
      <c r="Z762" s="1" t="str">
        <f>"21516/510"</f>
        <v>21516/510</v>
      </c>
      <c r="AA762" s="1" t="str">
        <f>"شركت  ساخت وتوسعه راهها"</f>
        <v>شركت  ساخت وتوسعه راهها</v>
      </c>
      <c r="AB762" s="1" t="str">
        <f>"95/05/13"</f>
        <v>95/05/13</v>
      </c>
      <c r="AC762" s="1" t="str">
        <f>"استان كردستان"</f>
        <v>استان كردستان</v>
      </c>
      <c r="AD762" s="1" t="str">
        <f>"95/05/18"</f>
        <v>95/05/18</v>
      </c>
      <c r="AE762" s="1" t="str">
        <f t="shared" si="199"/>
        <v>اختتام</v>
      </c>
      <c r="AF762" s="1" t="str">
        <f>""</f>
        <v/>
      </c>
      <c r="AG762" s="1" t="str">
        <f>""</f>
        <v/>
      </c>
      <c r="AH762" s="1" t="str">
        <f>""</f>
        <v/>
      </c>
      <c r="AI762" s="1" t="str">
        <f>""</f>
        <v/>
      </c>
      <c r="AJ762" s="1" t="str">
        <f>""</f>
        <v/>
      </c>
      <c r="AK762" s="1" t="str">
        <f>""</f>
        <v/>
      </c>
    </row>
    <row r="763" spans="1:37" x14ac:dyDescent="0.2">
      <c r="A763" s="1">
        <v>100000</v>
      </c>
      <c r="B763" s="1">
        <v>951100040</v>
      </c>
      <c r="C763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763" s="1">
        <v>5650</v>
      </c>
      <c r="E763" s="1">
        <v>92100</v>
      </c>
      <c r="F763" s="1">
        <v>95</v>
      </c>
      <c r="G763" s="1">
        <v>7900</v>
      </c>
      <c r="H763" s="1" t="str">
        <f>"95/02/15"</f>
        <v>95/02/15</v>
      </c>
      <c r="I763" s="1" t="str">
        <f t="shared" si="188"/>
        <v>كيلوگرم</v>
      </c>
      <c r="J763" s="1" t="str">
        <f>"0000000076"</f>
        <v>0000000076</v>
      </c>
      <c r="K763" s="1" t="str">
        <f>"قير 60/70 - فله"</f>
        <v>قير 60/70 - فله</v>
      </c>
      <c r="L763" s="1">
        <v>100</v>
      </c>
      <c r="M763" s="1" t="str">
        <f t="shared" si="191"/>
        <v>مخازن قير اصفهان</v>
      </c>
      <c r="N763" s="1">
        <v>8795</v>
      </c>
      <c r="O763" s="1">
        <v>50030776</v>
      </c>
      <c r="P763" s="1" t="str">
        <f>"  توسعه ساختارمحيط"</f>
        <v xml:space="preserve">  توسعه ساختارمحيط</v>
      </c>
      <c r="Q763" s="1">
        <v>11</v>
      </c>
      <c r="R763" s="1" t="str">
        <f>"فروش داخلي تهران - بورس"</f>
        <v>فروش داخلي تهران - بورس</v>
      </c>
      <c r="S763" s="1" t="str">
        <f t="shared" si="189"/>
        <v>قرارداد فروش</v>
      </c>
      <c r="T763" s="1" t="str">
        <f t="shared" si="190"/>
        <v>ندارد</v>
      </c>
      <c r="U763" s="1" t="str">
        <f>"ميرحسيني چاپارحقيقت كرمان(4844008)"</f>
        <v>ميرحسيني چاپارحقيقت كرمان(4844008)</v>
      </c>
      <c r="V763" s="1">
        <v>951100040</v>
      </c>
      <c r="W763" s="1">
        <v>951100040</v>
      </c>
      <c r="X763" s="1" t="str">
        <f>"1395401767"</f>
        <v>1395401767</v>
      </c>
      <c r="Y763" s="1" t="str">
        <f>"95/02/15"</f>
        <v>95/02/15</v>
      </c>
      <c r="Z763" s="1" t="str">
        <f>"93-34321"</f>
        <v>93-34321</v>
      </c>
      <c r="AA763" s="1" t="str">
        <f>"آسفالت سازان"</f>
        <v>آسفالت سازان</v>
      </c>
      <c r="AB763" s="1" t="str">
        <f>"95/02/15"</f>
        <v>95/02/15</v>
      </c>
      <c r="AC763" s="1" t="str">
        <f>"قم"</f>
        <v>قم</v>
      </c>
      <c r="AD763" s="1" t="str">
        <f>"95/02/08"</f>
        <v>95/02/08</v>
      </c>
      <c r="AE763" s="1" t="str">
        <f t="shared" si="199"/>
        <v>اختتام</v>
      </c>
      <c r="AF763" s="1" t="str">
        <f>""</f>
        <v/>
      </c>
      <c r="AG763" s="1" t="str">
        <f>""</f>
        <v/>
      </c>
      <c r="AH763" s="1" t="str">
        <f>""</f>
        <v/>
      </c>
      <c r="AI763" s="1" t="str">
        <f>""</f>
        <v/>
      </c>
      <c r="AJ763" s="1" t="str">
        <f>""</f>
        <v/>
      </c>
      <c r="AK763" s="1" t="str">
        <f>""</f>
        <v/>
      </c>
    </row>
    <row r="764" spans="1:37" x14ac:dyDescent="0.2">
      <c r="A764" s="1">
        <v>750000</v>
      </c>
      <c r="B764" s="1">
        <v>951800120</v>
      </c>
      <c r="C764" s="1" t="str">
        <f>"تخليه-فردوس خروجي به طرف سرايان کارخانه توس راديه"</f>
        <v>تخليه-فردوس خروجي به طرف سرايان کارخانه توس راديه</v>
      </c>
      <c r="D764" s="1">
        <v>9061</v>
      </c>
      <c r="E764" s="1">
        <v>131840</v>
      </c>
      <c r="F764" s="1">
        <v>95</v>
      </c>
      <c r="G764" s="1">
        <v>618160</v>
      </c>
      <c r="H764" s="1" t="str">
        <f>"95/10/18"</f>
        <v>95/10/18</v>
      </c>
      <c r="I764" s="1" t="str">
        <f t="shared" si="188"/>
        <v>كيلوگرم</v>
      </c>
      <c r="J764" s="1" t="str">
        <f t="shared" ref="J764:J787" si="206">"0000000091"</f>
        <v>0000000091</v>
      </c>
      <c r="K764" s="1" t="str">
        <f t="shared" ref="K764:K787" si="207">"قير  PG64-22"</f>
        <v>قير  PG64-22</v>
      </c>
      <c r="L764" s="1">
        <v>100</v>
      </c>
      <c r="M764" s="1" t="str">
        <f t="shared" si="191"/>
        <v>مخازن قير اصفهان</v>
      </c>
      <c r="N764" s="1">
        <v>8264</v>
      </c>
      <c r="O764" s="1">
        <v>50033327</v>
      </c>
      <c r="P764" s="1" t="str">
        <f>"  تارنگ سازه توس"</f>
        <v xml:space="preserve">  تارنگ سازه توس</v>
      </c>
      <c r="Q764" s="1">
        <v>18</v>
      </c>
      <c r="R764" s="1" t="str">
        <f>"فروش داخلي تهران - وزارت راه - شرکت ساخت و توسعه راهها"</f>
        <v>فروش داخلي تهران - وزارت راه - شرکت ساخت و توسعه راهها</v>
      </c>
      <c r="S764" s="1" t="str">
        <f t="shared" si="189"/>
        <v>قرارداد فروش</v>
      </c>
      <c r="T764" s="1" t="str">
        <f t="shared" si="190"/>
        <v>ندارد</v>
      </c>
      <c r="U764" s="1" t="str">
        <f>"بابامحمدي عنايت اله(4844000)"</f>
        <v>بابامحمدي عنايت اله(4844000)</v>
      </c>
      <c r="V764" s="1">
        <v>951800120</v>
      </c>
      <c r="W764" s="1">
        <v>951800120</v>
      </c>
      <c r="X764" s="1" t="str">
        <f>"1395456601"</f>
        <v>1395456601</v>
      </c>
      <c r="Y764" s="1" t="str">
        <f>"95/10/18"</f>
        <v>95/10/18</v>
      </c>
      <c r="Z764" s="1" t="str">
        <f>"50323/710"</f>
        <v>50323/710</v>
      </c>
      <c r="AA764" s="1" t="str">
        <f>"شركت  ساخت وتوسعه راهها"</f>
        <v>شركت  ساخت وتوسعه راهها</v>
      </c>
      <c r="AB764" s="1" t="str">
        <f>"95/10/13"</f>
        <v>95/10/13</v>
      </c>
      <c r="AC764" s="1" t="str">
        <f>"خراسان جنوبي"</f>
        <v>خراسان جنوبي</v>
      </c>
      <c r="AD764" s="1" t="str">
        <f>"95/10/14"</f>
        <v>95/10/14</v>
      </c>
      <c r="AE764" s="1" t="str">
        <f t="shared" si="199"/>
        <v>اختتام</v>
      </c>
      <c r="AF764" s="1" t="str">
        <f>""</f>
        <v/>
      </c>
      <c r="AG764" s="1" t="str">
        <f>""</f>
        <v/>
      </c>
      <c r="AH764" s="1" t="str">
        <f>""</f>
        <v/>
      </c>
      <c r="AI764" s="1" t="str">
        <f>""</f>
        <v/>
      </c>
      <c r="AJ764" s="1" t="str">
        <f>""</f>
        <v/>
      </c>
      <c r="AK764" s="1" t="str">
        <f>""</f>
        <v/>
      </c>
    </row>
    <row r="765" spans="1:37" x14ac:dyDescent="0.2">
      <c r="A765" s="1">
        <v>400000</v>
      </c>
      <c r="B765" s="1">
        <v>951900311</v>
      </c>
      <c r="C765" s="1" t="str">
        <f>"تخليه -كرمانشاه -جاده اسلام آباد-حميل كارگاه آج راه غرب"</f>
        <v>تخليه -كرمانشاه -جاده اسلام آباد-حميل كارگاه آج راه غرب</v>
      </c>
      <c r="D765" s="1">
        <v>8348</v>
      </c>
      <c r="E765" s="1">
        <v>399320</v>
      </c>
      <c r="F765" s="1">
        <v>95</v>
      </c>
      <c r="G765" s="1">
        <v>680</v>
      </c>
      <c r="H765" s="1" t="str">
        <f>"95/12/25"</f>
        <v>95/12/25</v>
      </c>
      <c r="I765" s="1" t="str">
        <f t="shared" si="188"/>
        <v>كيلوگرم</v>
      </c>
      <c r="J765" s="1" t="str">
        <f t="shared" si="206"/>
        <v>0000000091</v>
      </c>
      <c r="K765" s="1" t="str">
        <f t="shared" si="207"/>
        <v>قير  PG64-22</v>
      </c>
      <c r="L765" s="1">
        <v>100</v>
      </c>
      <c r="M765" s="1" t="str">
        <f t="shared" si="191"/>
        <v>مخازن قير اصفهان</v>
      </c>
      <c r="N765" s="1">
        <v>8293</v>
      </c>
      <c r="O765" s="1">
        <v>50034228</v>
      </c>
      <c r="P765" s="1" t="str">
        <f>"  آج راه غرب"</f>
        <v xml:space="preserve">  آج راه غرب</v>
      </c>
      <c r="Q765" s="1">
        <v>19</v>
      </c>
      <c r="R7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65" s="1" t="str">
        <f t="shared" si="189"/>
        <v>قرارداد فروش</v>
      </c>
      <c r="T765" s="1" t="str">
        <f t="shared" si="190"/>
        <v>ندارد</v>
      </c>
      <c r="U765" s="1" t="str">
        <f>"قره باغي مجيد(1871065)"</f>
        <v>قره باغي مجيد(1871065)</v>
      </c>
      <c r="V765" s="1">
        <v>951900311</v>
      </c>
      <c r="W765" s="1">
        <v>951900311</v>
      </c>
      <c r="X765" s="1" t="str">
        <f>"1395470947"</f>
        <v>1395470947</v>
      </c>
      <c r="Y765" s="1" t="str">
        <f>"95/12/25"</f>
        <v>95/12/25</v>
      </c>
      <c r="Z765" s="1" t="str">
        <f>"65958/710"</f>
        <v>65958/710</v>
      </c>
      <c r="AA765" s="1" t="str">
        <f>"سازمان راهداري وحمل نقل جاده اي"</f>
        <v>سازمان راهداري وحمل نقل جاده اي</v>
      </c>
      <c r="AB765" s="1" t="str">
        <f>"95/12/22"</f>
        <v>95/12/22</v>
      </c>
      <c r="AC765" s="1" t="str">
        <f>"استان كرمانشاه"</f>
        <v>استان كرمانشاه</v>
      </c>
      <c r="AD765" s="1" t="str">
        <f>"95/12/24"</f>
        <v>95/12/24</v>
      </c>
      <c r="AE765" s="1" t="str">
        <f t="shared" si="199"/>
        <v>اختتام</v>
      </c>
      <c r="AF765" s="1" t="str">
        <f>""</f>
        <v/>
      </c>
      <c r="AG765" s="1" t="str">
        <f>""</f>
        <v/>
      </c>
      <c r="AH765" s="1" t="str">
        <f>""</f>
        <v/>
      </c>
      <c r="AI765" s="1" t="str">
        <f>""</f>
        <v/>
      </c>
      <c r="AJ765" s="1" t="str">
        <f>""</f>
        <v/>
      </c>
      <c r="AK765" s="1" t="str">
        <f>""</f>
        <v/>
      </c>
    </row>
    <row r="766" spans="1:37" x14ac:dyDescent="0.2">
      <c r="A766" s="1">
        <v>17160</v>
      </c>
      <c r="B766" s="1">
        <v>951800129</v>
      </c>
      <c r="C766" s="1" t="str">
        <f>"خراسان محور فاروج شيروان كارگاه راهسازي شركت دهاق"</f>
        <v>خراسان محور فاروج شيروان كارگاه راهسازي شركت دهاق</v>
      </c>
      <c r="D766" s="1">
        <v>9511</v>
      </c>
      <c r="E766" s="1">
        <v>15840</v>
      </c>
      <c r="F766" s="1">
        <v>95</v>
      </c>
      <c r="G766" s="1">
        <v>1320</v>
      </c>
      <c r="H766" s="1" t="str">
        <f>"95/11/03"</f>
        <v>95/11/03</v>
      </c>
      <c r="I766" s="1" t="str">
        <f t="shared" si="188"/>
        <v>كيلوگرم</v>
      </c>
      <c r="J766" s="1" t="str">
        <f t="shared" si="206"/>
        <v>0000000091</v>
      </c>
      <c r="K766" s="1" t="str">
        <f t="shared" si="207"/>
        <v>قير  PG64-22</v>
      </c>
      <c r="L766" s="1">
        <v>100</v>
      </c>
      <c r="M766" s="1" t="str">
        <f t="shared" si="191"/>
        <v>مخازن قير اصفهان</v>
      </c>
      <c r="N766" s="1">
        <v>8321</v>
      </c>
      <c r="O766" s="1">
        <v>50033443</v>
      </c>
      <c r="P766" s="1" t="str">
        <f>"  راهسازي دهاق"</f>
        <v xml:space="preserve">  راهسازي دهاق</v>
      </c>
      <c r="Q766" s="1">
        <v>18</v>
      </c>
      <c r="R766" s="1" t="str">
        <f>"فروش داخلي تهران - وزارت راه - شرکت ساخت و توسعه راهها"</f>
        <v>فروش داخلي تهران - وزارت راه - شرکت ساخت و توسعه راهها</v>
      </c>
      <c r="S766" s="1" t="str">
        <f t="shared" si="189"/>
        <v>قرارداد فروش</v>
      </c>
      <c r="T766" s="1" t="str">
        <f t="shared" si="190"/>
        <v>ندارد</v>
      </c>
      <c r="U766" s="1" t="str">
        <f>"ميهن دوست عبداله(2842010)"</f>
        <v>ميهن دوست عبداله(2842010)</v>
      </c>
      <c r="V766" s="1">
        <v>951800129</v>
      </c>
      <c r="W766" s="1">
        <v>951800129</v>
      </c>
      <c r="X766" s="1" t="str">
        <f>"1395454461"</f>
        <v>1395454461</v>
      </c>
      <c r="Y766" s="1" t="str">
        <f>"95/11/03"</f>
        <v>95/11/03</v>
      </c>
      <c r="Z766" s="1" t="str">
        <f>"45206/710"</f>
        <v>45206/710</v>
      </c>
      <c r="AA766" s="1" t="str">
        <f>"شركت  ساخت وتوسعه راهها"</f>
        <v>شركت  ساخت وتوسعه راهها</v>
      </c>
      <c r="AB766" s="1" t="str">
        <f>"95/09/17"</f>
        <v>95/09/17</v>
      </c>
      <c r="AC766" s="1" t="str">
        <f>"خراسان شمالي"</f>
        <v>خراسان شمالي</v>
      </c>
      <c r="AD766" s="1" t="str">
        <f>"95/10/05"</f>
        <v>95/10/05</v>
      </c>
      <c r="AE766" s="1" t="str">
        <f t="shared" si="199"/>
        <v>اختتام</v>
      </c>
      <c r="AF766" s="1" t="str">
        <f>""</f>
        <v/>
      </c>
      <c r="AG766" s="1" t="str">
        <f>""</f>
        <v/>
      </c>
      <c r="AH766" s="1" t="str">
        <f>""</f>
        <v/>
      </c>
      <c r="AI766" s="1" t="str">
        <f>""</f>
        <v/>
      </c>
      <c r="AJ766" s="1" t="str">
        <f>""</f>
        <v/>
      </c>
      <c r="AK766" s="1" t="str">
        <f>""</f>
        <v/>
      </c>
    </row>
    <row r="767" spans="1:37" x14ac:dyDescent="0.2">
      <c r="A767" s="1">
        <v>94000</v>
      </c>
      <c r="B767" s="1">
        <v>951400176</v>
      </c>
      <c r="C767" s="1" t="str">
        <f>"تخليه كردستان بهسازي وآسفالت راههاي روستايي سرپنبه دول .سرچي .كچله  كامياران كارخانه آسفالت شركت آبيدركردستان"</f>
        <v>تخليه كردستان بهسازي وآسفالت راههاي روستايي سرپنبه دول .سرچي .كچله  كامياران كارخانه آسفالت شركت آبيدركردستان</v>
      </c>
      <c r="D767" s="1">
        <v>8348</v>
      </c>
      <c r="E767" s="1">
        <v>93500</v>
      </c>
      <c r="F767" s="1">
        <v>95</v>
      </c>
      <c r="G767" s="1">
        <v>500</v>
      </c>
      <c r="H767" s="1" t="str">
        <f>"95/12/19"</f>
        <v>95/12/19</v>
      </c>
      <c r="I767" s="1" t="str">
        <f t="shared" si="188"/>
        <v>كيلوگرم</v>
      </c>
      <c r="J767" s="1" t="str">
        <f t="shared" si="206"/>
        <v>0000000091</v>
      </c>
      <c r="K767" s="1" t="str">
        <f t="shared" si="207"/>
        <v>قير  PG64-22</v>
      </c>
      <c r="L767" s="1">
        <v>100</v>
      </c>
      <c r="M767" s="1" t="str">
        <f t="shared" si="191"/>
        <v>مخازن قير اصفهان</v>
      </c>
      <c r="N767" s="1">
        <v>10904</v>
      </c>
      <c r="O767" s="1">
        <v>50034063</v>
      </c>
      <c r="P767" s="1" t="str">
        <f>"  راه تاب دژمريوان"</f>
        <v xml:space="preserve">  راه تاب دژمريوان</v>
      </c>
      <c r="Q767" s="1">
        <v>14</v>
      </c>
      <c r="R767" s="1" t="str">
        <f>"فروش داخلي - وزارت راه - حوزه راه روستايي ساخت"</f>
        <v>فروش داخلي - وزارت راه - حوزه راه روستايي ساخت</v>
      </c>
      <c r="S767" s="1" t="str">
        <f t="shared" si="189"/>
        <v>قرارداد فروش</v>
      </c>
      <c r="T767" s="1" t="str">
        <f t="shared" si="190"/>
        <v>ندارد</v>
      </c>
      <c r="U767" s="1" t="str">
        <f>"ميهن دوست عبداله(2842010)"</f>
        <v>ميهن دوست عبداله(2842010)</v>
      </c>
      <c r="V767" s="1">
        <v>951400176</v>
      </c>
      <c r="W767" s="1">
        <v>951400176</v>
      </c>
      <c r="X767" s="1" t="str">
        <f>"1395470082"</f>
        <v>1395470082</v>
      </c>
      <c r="Y767" s="1" t="str">
        <f>"95/12/19"</f>
        <v>95/12/19</v>
      </c>
      <c r="Z767" s="1" t="str">
        <f>"64137/710"</f>
        <v>64137/710</v>
      </c>
      <c r="AA767" s="1" t="str">
        <f>"راه وروستايي -ساخت"</f>
        <v>راه وروستايي -ساخت</v>
      </c>
      <c r="AB767" s="1" t="str">
        <f>"95/12/15"</f>
        <v>95/12/15</v>
      </c>
      <c r="AC767" s="1" t="str">
        <f>"استان كردستان"</f>
        <v>استان كردستان</v>
      </c>
      <c r="AD767" s="1" t="str">
        <f>"95/12/18"</f>
        <v>95/12/18</v>
      </c>
      <c r="AE767" s="1" t="str">
        <f t="shared" si="199"/>
        <v>اختتام</v>
      </c>
      <c r="AF767" s="1" t="str">
        <f>""</f>
        <v/>
      </c>
      <c r="AG767" s="1" t="str">
        <f>""</f>
        <v/>
      </c>
      <c r="AH767" s="1" t="str">
        <f>""</f>
        <v/>
      </c>
      <c r="AI767" s="1" t="str">
        <f>""</f>
        <v/>
      </c>
      <c r="AJ767" s="1" t="str">
        <f>""</f>
        <v/>
      </c>
      <c r="AK767" s="1" t="str">
        <f>""</f>
        <v/>
      </c>
    </row>
    <row r="768" spans="1:37" x14ac:dyDescent="0.2">
      <c r="A768" s="1">
        <v>750000</v>
      </c>
      <c r="B768" s="1">
        <v>951000008</v>
      </c>
      <c r="C768" s="1" t="str">
        <f>"تخليه- کيلومتر 15 شهرستان آباده -اصفهان کارخانه مرمر زاگرس"</f>
        <v>تخليه- کيلومتر 15 شهرستان آباده -اصفهان کارخانه مرمر زاگرس</v>
      </c>
      <c r="D768" s="1">
        <v>6250</v>
      </c>
      <c r="E768" s="1">
        <v>748040</v>
      </c>
      <c r="F768" s="1">
        <v>95</v>
      </c>
      <c r="G768" s="1">
        <v>1960</v>
      </c>
      <c r="H768" s="1" t="str">
        <f>"95/04/28"</f>
        <v>95/04/28</v>
      </c>
      <c r="I768" s="1" t="str">
        <f t="shared" si="188"/>
        <v>كيلوگرم</v>
      </c>
      <c r="J768" s="1" t="str">
        <f t="shared" si="206"/>
        <v>0000000091</v>
      </c>
      <c r="K768" s="1" t="str">
        <f t="shared" si="207"/>
        <v>قير  PG64-22</v>
      </c>
      <c r="L768" s="1">
        <v>100</v>
      </c>
      <c r="M768" s="1" t="str">
        <f t="shared" si="191"/>
        <v>مخازن قير اصفهان</v>
      </c>
      <c r="N768" s="1">
        <v>10911</v>
      </c>
      <c r="O768" s="1">
        <v>50031318</v>
      </c>
      <c r="P768" s="1" t="str">
        <f>"  سازمان توسعه ونوسازي معادن وصنايع معدني ايران"</f>
        <v xml:space="preserve">  سازمان توسعه ونوسازي معادن وصنايع معدني ايران</v>
      </c>
      <c r="Q768" s="1">
        <v>10</v>
      </c>
      <c r="R768" s="1" t="str">
        <f>"فروش داخلي - وزارت راه - متفرقه"</f>
        <v>فروش داخلي - وزارت راه - متفرقه</v>
      </c>
      <c r="S768" s="1" t="str">
        <f t="shared" si="189"/>
        <v>قرارداد فروش</v>
      </c>
      <c r="T768" s="1" t="str">
        <f t="shared" si="190"/>
        <v>ندارد</v>
      </c>
      <c r="U768" s="1" t="str">
        <f>"محمدي نژاد خداوردي(2842024)"</f>
        <v>محمدي نژاد خداوردي(2842024)</v>
      </c>
      <c r="V768" s="1">
        <v>951000008</v>
      </c>
      <c r="W768" s="1">
        <v>951000008</v>
      </c>
      <c r="X768" s="1" t="str">
        <f>"1395416206"</f>
        <v>1395416206</v>
      </c>
      <c r="Y768" s="1" t="str">
        <f>"95/04/28"</f>
        <v>95/04/28</v>
      </c>
      <c r="Z768" s="1" t="str">
        <f>"18142/510"</f>
        <v>18142/510</v>
      </c>
      <c r="AA768" s="1" t="str">
        <f>"متفرقه"</f>
        <v>متفرقه</v>
      </c>
      <c r="AB768" s="1" t="str">
        <f>"95/04/27"</f>
        <v>95/04/27</v>
      </c>
      <c r="AC768" s="1" t="str">
        <f>"استان فارس"</f>
        <v>استان فارس</v>
      </c>
      <c r="AD768" s="1" t="str">
        <f>"95/04/28"</f>
        <v>95/04/28</v>
      </c>
      <c r="AE768" s="1" t="str">
        <f t="shared" si="199"/>
        <v>اختتام</v>
      </c>
      <c r="AF768" s="1" t="str">
        <f>""</f>
        <v/>
      </c>
      <c r="AG768" s="1" t="str">
        <f>""</f>
        <v/>
      </c>
      <c r="AH768" s="1" t="str">
        <f>""</f>
        <v/>
      </c>
      <c r="AI768" s="1" t="str">
        <f>""</f>
        <v/>
      </c>
      <c r="AJ768" s="1" t="str">
        <f>""</f>
        <v/>
      </c>
      <c r="AK768" s="1" t="str">
        <f>""</f>
        <v/>
      </c>
    </row>
    <row r="769" spans="1:37" x14ac:dyDescent="0.2">
      <c r="A769" s="1">
        <v>976640</v>
      </c>
      <c r="B769" s="1">
        <v>951600059</v>
      </c>
      <c r="C769" s="1" t="str">
        <f>"تخليه يزدشهرستان بافق كارخانه آسفالت شركت فرش راه يزد"</f>
        <v>تخليه يزدشهرستان بافق كارخانه آسفالت شركت فرش راه يزد</v>
      </c>
      <c r="D769" s="1">
        <v>9061</v>
      </c>
      <c r="E769" s="1">
        <v>975260</v>
      </c>
      <c r="F769" s="1">
        <v>95</v>
      </c>
      <c r="G769" s="1">
        <v>1380</v>
      </c>
      <c r="H769" s="1" t="str">
        <f>"95/10/01"</f>
        <v>95/10/01</v>
      </c>
      <c r="I769" s="1" t="str">
        <f t="shared" si="188"/>
        <v>كيلوگرم</v>
      </c>
      <c r="J769" s="1" t="str">
        <f t="shared" si="206"/>
        <v>0000000091</v>
      </c>
      <c r="K769" s="1" t="str">
        <f t="shared" si="207"/>
        <v>قير  PG64-22</v>
      </c>
      <c r="L769" s="1">
        <v>100</v>
      </c>
      <c r="M769" s="1" t="str">
        <f t="shared" si="191"/>
        <v>مخازن قير اصفهان</v>
      </c>
      <c r="N769" s="1">
        <v>8580</v>
      </c>
      <c r="O769" s="1">
        <v>50033106</v>
      </c>
      <c r="P769" s="1" t="str">
        <f>"  راهيدكو"</f>
        <v xml:space="preserve">  راهيدكو</v>
      </c>
      <c r="Q769" s="1">
        <v>16</v>
      </c>
      <c r="R769" s="1" t="str">
        <f>"فروش داخلي تهران - وزارت راه - معاونت اقتصاد"</f>
        <v>فروش داخلي تهران - وزارت راه - معاونت اقتصاد</v>
      </c>
      <c r="S769" s="1" t="str">
        <f t="shared" si="189"/>
        <v>قرارداد فروش</v>
      </c>
      <c r="T769" s="1" t="str">
        <f t="shared" si="190"/>
        <v>ندارد</v>
      </c>
      <c r="U769" s="1" t="str">
        <f>"قانعي محمدرضا(1011ج89)"</f>
        <v>قانعي محمدرضا(1011ج89)</v>
      </c>
      <c r="V769" s="1">
        <v>951600059</v>
      </c>
      <c r="W769" s="1">
        <v>951600059</v>
      </c>
      <c r="X769" s="1" t="str">
        <f>"1395451105"</f>
        <v>1395451105</v>
      </c>
      <c r="Y769" s="1" t="str">
        <f>"95/10/01"</f>
        <v>95/10/01</v>
      </c>
      <c r="Z769" s="1" t="str">
        <f>"43496/710"</f>
        <v>43496/710</v>
      </c>
      <c r="AA769" s="1" t="str">
        <f>"معاونت اقتصادوزارت راه وشهرسازي"</f>
        <v>معاونت اقتصادوزارت راه وشهرسازي</v>
      </c>
      <c r="AB769" s="1" t="str">
        <f>"95/09/07"</f>
        <v>95/09/07</v>
      </c>
      <c r="AC769" s="1" t="str">
        <f>"استان يزد"</f>
        <v>استان يزد</v>
      </c>
      <c r="AD769" s="1" t="str">
        <f>"95/09/20"</f>
        <v>95/09/20</v>
      </c>
      <c r="AE769" s="1" t="str">
        <f t="shared" si="199"/>
        <v>اختتام</v>
      </c>
      <c r="AF769" s="1" t="str">
        <f>""</f>
        <v/>
      </c>
      <c r="AG769" s="1" t="str">
        <f>""</f>
        <v/>
      </c>
      <c r="AH769" s="1" t="str">
        <f>""</f>
        <v/>
      </c>
      <c r="AI769" s="1" t="str">
        <f>""</f>
        <v/>
      </c>
      <c r="AJ769" s="1" t="str">
        <f>""</f>
        <v/>
      </c>
      <c r="AK769" s="1" t="str">
        <f>""</f>
        <v/>
      </c>
    </row>
    <row r="770" spans="1:37" x14ac:dyDescent="0.2">
      <c r="A770" s="1">
        <v>38000</v>
      </c>
      <c r="B770" s="1">
        <v>951900303</v>
      </c>
      <c r="C770" s="1" t="str">
        <f>"تخليه-شهرباشت پل بريم دوراهي ده بزرگ کارخانه آسفالت هوشنگ رزمان"</f>
        <v>تخليه-شهرباشت پل بريم دوراهي ده بزرگ کارخانه آسفالت هوشنگ رزمان</v>
      </c>
      <c r="D770" s="1">
        <v>8998</v>
      </c>
      <c r="E770" s="1">
        <v>37460</v>
      </c>
      <c r="F770" s="1">
        <v>95</v>
      </c>
      <c r="G770" s="1">
        <v>540</v>
      </c>
      <c r="H770" s="1" t="str">
        <f>"95/12/22"</f>
        <v>95/12/22</v>
      </c>
      <c r="I770" s="1" t="str">
        <f t="shared" ref="I770:I833" si="208">"كيلوگرم"</f>
        <v>كيلوگرم</v>
      </c>
      <c r="J770" s="1" t="str">
        <f t="shared" si="206"/>
        <v>0000000091</v>
      </c>
      <c r="K770" s="1" t="str">
        <f t="shared" si="207"/>
        <v>قير  PG64-22</v>
      </c>
      <c r="L770" s="1">
        <v>100</v>
      </c>
      <c r="M770" s="1" t="str">
        <f t="shared" si="191"/>
        <v>مخازن قير اصفهان</v>
      </c>
      <c r="N770" s="1">
        <v>11039</v>
      </c>
      <c r="O770" s="1">
        <v>50034090</v>
      </c>
      <c r="P770" s="1" t="str">
        <f>"  سقاوه گسترسازه"</f>
        <v xml:space="preserve">  سقاوه گسترسازه</v>
      </c>
      <c r="Q770" s="1">
        <v>19</v>
      </c>
      <c r="R77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70" s="1" t="str">
        <f t="shared" ref="S770:S833" si="209">"قرارداد فروش"</f>
        <v>قرارداد فروش</v>
      </c>
      <c r="T770" s="1" t="str">
        <f t="shared" ref="T770:T833" si="210">"ندارد"</f>
        <v>ندارد</v>
      </c>
      <c r="U770" s="1" t="str">
        <f>"دشت بشي پودنگ وبرادران رضا(4844014)"</f>
        <v>دشت بشي پودنگ وبرادران رضا(4844014)</v>
      </c>
      <c r="V770" s="1">
        <v>951900303</v>
      </c>
      <c r="W770" s="1">
        <v>951900303</v>
      </c>
      <c r="X770" s="1" t="str">
        <f>"1395470282"</f>
        <v>1395470282</v>
      </c>
      <c r="Y770" s="1" t="str">
        <f>"95/12/22"</f>
        <v>95/12/22</v>
      </c>
      <c r="Z770" s="1" t="str">
        <f>"62742/710"</f>
        <v>62742/710</v>
      </c>
      <c r="AA770" s="1" t="str">
        <f>"سازمان راهداري وحمل نقل جاده اي"</f>
        <v>سازمان راهداري وحمل نقل جاده اي</v>
      </c>
      <c r="AB770" s="1" t="str">
        <f>"95/12/10"</f>
        <v>95/12/10</v>
      </c>
      <c r="AC770" s="1" t="str">
        <f>"كهكيلويه و بوير احمد"</f>
        <v>كهكيلويه و بوير احمد</v>
      </c>
      <c r="AD770" s="1" t="str">
        <f>"95/12/21"</f>
        <v>95/12/21</v>
      </c>
      <c r="AE770" s="1" t="str">
        <f t="shared" si="199"/>
        <v>اختتام</v>
      </c>
      <c r="AF770" s="1" t="str">
        <f>""</f>
        <v/>
      </c>
      <c r="AG770" s="1" t="str">
        <f>""</f>
        <v/>
      </c>
      <c r="AH770" s="1" t="str">
        <f>""</f>
        <v/>
      </c>
      <c r="AI770" s="1" t="str">
        <f>""</f>
        <v/>
      </c>
      <c r="AJ770" s="1" t="str">
        <f>""</f>
        <v/>
      </c>
      <c r="AK770" s="1" t="str">
        <f>""</f>
        <v/>
      </c>
    </row>
    <row r="771" spans="1:37" x14ac:dyDescent="0.2">
      <c r="A771" s="1">
        <v>700000</v>
      </c>
      <c r="B771" s="1">
        <v>951700049</v>
      </c>
      <c r="C771" s="1" t="str">
        <f>"تخليه -كرمان كيلومتر10محورسيرجان بافت شركت سيرجان عمران تداوم"</f>
        <v>تخليه -كرمان كيلومتر10محورسيرجان بافت شركت سيرجان عمران تداوم</v>
      </c>
      <c r="D771" s="1">
        <v>6050</v>
      </c>
      <c r="E771" s="1">
        <v>231760</v>
      </c>
      <c r="F771" s="1">
        <v>95</v>
      </c>
      <c r="G771" s="1">
        <v>468240</v>
      </c>
      <c r="H771" s="1" t="str">
        <f>"95/03/30"</f>
        <v>95/03/30</v>
      </c>
      <c r="I771" s="1" t="str">
        <f t="shared" si="208"/>
        <v>كيلوگرم</v>
      </c>
      <c r="J771" s="1" t="str">
        <f t="shared" si="206"/>
        <v>0000000091</v>
      </c>
      <c r="K771" s="1" t="str">
        <f t="shared" si="207"/>
        <v>قير  PG64-22</v>
      </c>
      <c r="L771" s="1">
        <v>100</v>
      </c>
      <c r="M771" s="1" t="str">
        <f t="shared" si="191"/>
        <v>مخازن قير اصفهان</v>
      </c>
      <c r="N771" s="1">
        <v>11118</v>
      </c>
      <c r="O771" s="1">
        <v>50031080</v>
      </c>
      <c r="P771" s="1" t="str">
        <f>"  مهندسي پاياراه سازه كارمانيا"</f>
        <v xml:space="preserve">  مهندسي پاياراه سازه كارمانيا</v>
      </c>
      <c r="Q771" s="1">
        <v>17</v>
      </c>
      <c r="R771" s="1" t="str">
        <f>"فروش داخلي تهران - وزارت راه - راه روستايي - روکش"</f>
        <v>فروش داخلي تهران - وزارت راه - راه روستايي - روکش</v>
      </c>
      <c r="S771" s="1" t="str">
        <f t="shared" si="209"/>
        <v>قرارداد فروش</v>
      </c>
      <c r="T771" s="1" t="str">
        <f t="shared" si="210"/>
        <v>ندارد</v>
      </c>
      <c r="U771" s="1" t="str">
        <f>"خضرائي فريدون(4844003)"</f>
        <v>خضرائي فريدون(4844003)</v>
      </c>
      <c r="V771" s="1">
        <v>951700049</v>
      </c>
      <c r="W771" s="1">
        <v>951700049</v>
      </c>
      <c r="X771" s="1" t="str">
        <f>"1395410161"</f>
        <v>1395410161</v>
      </c>
      <c r="Y771" s="1" t="str">
        <f>"95/03/30"</f>
        <v>95/03/30</v>
      </c>
      <c r="Z771" s="1" t="str">
        <f>"12362/510"</f>
        <v>12362/510</v>
      </c>
      <c r="AA771" s="1" t="str">
        <f>"راه روستائي -روكش"</f>
        <v>راه روستائي -روكش</v>
      </c>
      <c r="AB771" s="1" t="str">
        <f>"95/03/25"</f>
        <v>95/03/25</v>
      </c>
      <c r="AC771" s="1" t="str">
        <f>"استان كرمان"</f>
        <v>استان كرمان</v>
      </c>
      <c r="AD771" s="1" t="str">
        <f>"95/03/30"</f>
        <v>95/03/30</v>
      </c>
      <c r="AE771" s="1" t="str">
        <f t="shared" si="199"/>
        <v>اختتام</v>
      </c>
      <c r="AF771" s="1" t="str">
        <f>""</f>
        <v/>
      </c>
      <c r="AG771" s="1" t="str">
        <f>""</f>
        <v/>
      </c>
      <c r="AH771" s="1" t="str">
        <f>""</f>
        <v/>
      </c>
      <c r="AI771" s="1" t="str">
        <f>""</f>
        <v/>
      </c>
      <c r="AJ771" s="1" t="str">
        <f>""</f>
        <v/>
      </c>
      <c r="AK771" s="1" t="str">
        <f>""</f>
        <v/>
      </c>
    </row>
    <row r="772" spans="1:37" x14ac:dyDescent="0.2">
      <c r="A772" s="1">
        <v>133500</v>
      </c>
      <c r="B772" s="1">
        <v>951700163</v>
      </c>
      <c r="C772" s="1" t="str">
        <f>"تخليه -كرمان كيلومتر10محورسيرجان بافت شركت سيرجان عمران تداوم"</f>
        <v>تخليه -كرمان كيلومتر10محورسيرجان بافت شركت سيرجان عمران تداوم</v>
      </c>
      <c r="D772" s="1">
        <v>6597.2060000000001</v>
      </c>
      <c r="E772" s="1">
        <v>133280</v>
      </c>
      <c r="F772" s="1">
        <v>95</v>
      </c>
      <c r="G772" s="1">
        <v>220</v>
      </c>
      <c r="H772" s="1" t="str">
        <f>"95/06/01"</f>
        <v>95/06/01</v>
      </c>
      <c r="I772" s="1" t="str">
        <f t="shared" si="208"/>
        <v>كيلوگرم</v>
      </c>
      <c r="J772" s="1" t="str">
        <f t="shared" si="206"/>
        <v>0000000091</v>
      </c>
      <c r="K772" s="1" t="str">
        <f t="shared" si="207"/>
        <v>قير  PG64-22</v>
      </c>
      <c r="L772" s="1">
        <v>100</v>
      </c>
      <c r="M772" s="1" t="str">
        <f t="shared" si="191"/>
        <v>مخازن قير اصفهان</v>
      </c>
      <c r="N772" s="1">
        <v>11118</v>
      </c>
      <c r="O772" s="1">
        <v>50031761</v>
      </c>
      <c r="P772" s="1" t="str">
        <f>"  مهندسي پاياراه سازه كارمانيا"</f>
        <v xml:space="preserve">  مهندسي پاياراه سازه كارمانيا</v>
      </c>
      <c r="Q772" s="1">
        <v>17</v>
      </c>
      <c r="R772" s="1" t="str">
        <f>"فروش داخلي تهران - وزارت راه - راه روستايي - روکش"</f>
        <v>فروش داخلي تهران - وزارت راه - راه روستايي - روکش</v>
      </c>
      <c r="S772" s="1" t="str">
        <f t="shared" si="209"/>
        <v>قرارداد فروش</v>
      </c>
      <c r="T772" s="1" t="str">
        <f t="shared" si="210"/>
        <v>ندارد</v>
      </c>
      <c r="U772" s="1" t="str">
        <f>"خضرائي فريدون(4844003)"</f>
        <v>خضرائي فريدون(4844003)</v>
      </c>
      <c r="V772" s="1">
        <v>951700163</v>
      </c>
      <c r="W772" s="1">
        <v>951700163</v>
      </c>
      <c r="X772" s="1" t="str">
        <f>"1395411403"</f>
        <v>1395411403</v>
      </c>
      <c r="Y772" s="1" t="str">
        <f>"95/06/01"</f>
        <v>95/06/01</v>
      </c>
      <c r="Z772" s="1" t="str">
        <f>"13375/510"</f>
        <v>13375/510</v>
      </c>
      <c r="AA772" s="1" t="str">
        <f>"راه روستائي -روكش"</f>
        <v>راه روستائي -روكش</v>
      </c>
      <c r="AB772" s="1" t="str">
        <f>"95/03/31"</f>
        <v>95/03/31</v>
      </c>
      <c r="AC772" s="1" t="str">
        <f>"استان كرمان"</f>
        <v>استان كرمان</v>
      </c>
      <c r="AD772" s="1" t="str">
        <f>"95/04/06"</f>
        <v>95/04/06</v>
      </c>
      <c r="AE772" s="1" t="str">
        <f t="shared" si="199"/>
        <v>اختتام</v>
      </c>
      <c r="AF772" s="1" t="str">
        <f>""</f>
        <v/>
      </c>
      <c r="AG772" s="1" t="str">
        <f>""</f>
        <v/>
      </c>
      <c r="AH772" s="1" t="str">
        <f>""</f>
        <v/>
      </c>
      <c r="AI772" s="1" t="str">
        <f>""</f>
        <v/>
      </c>
      <c r="AJ772" s="1" t="str">
        <f>""</f>
        <v/>
      </c>
      <c r="AK772" s="1" t="str">
        <f>""</f>
        <v/>
      </c>
    </row>
    <row r="773" spans="1:37" x14ac:dyDescent="0.2">
      <c r="A773" s="1">
        <v>350000</v>
      </c>
      <c r="B773" s="1">
        <v>951900050</v>
      </c>
      <c r="C773" s="1" t="str">
        <f>"تخليه-گچساران-کارخانه روانگرد"</f>
        <v>تخليه-گچساران-کارخانه روانگرد</v>
      </c>
      <c r="D773" s="1">
        <v>6250</v>
      </c>
      <c r="E773" s="1">
        <v>349600</v>
      </c>
      <c r="F773" s="1">
        <v>95</v>
      </c>
      <c r="G773" s="1">
        <v>400</v>
      </c>
      <c r="H773" s="1" t="str">
        <f>"95/04/24"</f>
        <v>95/04/24</v>
      </c>
      <c r="I773" s="1" t="str">
        <f t="shared" si="208"/>
        <v>كيلوگرم</v>
      </c>
      <c r="J773" s="1" t="str">
        <f t="shared" si="206"/>
        <v>0000000091</v>
      </c>
      <c r="K773" s="1" t="str">
        <f t="shared" si="207"/>
        <v>قير  PG64-22</v>
      </c>
      <c r="L773" s="1">
        <v>100</v>
      </c>
      <c r="M773" s="1" t="str">
        <f t="shared" si="191"/>
        <v>مخازن قير اصفهان</v>
      </c>
      <c r="N773" s="1">
        <v>11136</v>
      </c>
      <c r="O773" s="1">
        <v>50031287</v>
      </c>
      <c r="P773" s="1" t="str">
        <f>"  ونا راه"</f>
        <v xml:space="preserve">  ونا راه</v>
      </c>
      <c r="Q773" s="1">
        <v>19</v>
      </c>
      <c r="R77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73" s="1" t="str">
        <f t="shared" si="209"/>
        <v>قرارداد فروش</v>
      </c>
      <c r="T773" s="1" t="str">
        <f t="shared" si="210"/>
        <v>ندارد</v>
      </c>
      <c r="U773" s="1" t="str">
        <f>"غلام نجفي سيامك‌‌‌‌‌‌(1881082)"</f>
        <v>غلام نجفي سيامك‌‌‌‌‌‌(1881082)</v>
      </c>
      <c r="V773" s="1">
        <v>951900050</v>
      </c>
      <c r="W773" s="1">
        <v>951900050</v>
      </c>
      <c r="X773" s="1" t="str">
        <f>"1395415481"</f>
        <v>1395415481</v>
      </c>
      <c r="Y773" s="1" t="str">
        <f>"95/04/24"</f>
        <v>95/04/24</v>
      </c>
      <c r="Z773" s="1" t="str">
        <f>"16886/510"</f>
        <v>16886/510</v>
      </c>
      <c r="AA773" s="1" t="str">
        <f>"سازمان راهداري وحمل نقل جاده اي"</f>
        <v>سازمان راهداري وحمل نقل جاده اي</v>
      </c>
      <c r="AB773" s="1" t="str">
        <f>"95/04/20"</f>
        <v>95/04/20</v>
      </c>
      <c r="AC773" s="1" t="str">
        <f>"كهكيلويه و بوير احمد"</f>
        <v>كهكيلويه و بوير احمد</v>
      </c>
      <c r="AD773" s="1" t="str">
        <f>"95/04/23"</f>
        <v>95/04/23</v>
      </c>
      <c r="AE773" s="1" t="str">
        <f t="shared" si="199"/>
        <v>اختتام</v>
      </c>
      <c r="AF773" s="1" t="str">
        <f>""</f>
        <v/>
      </c>
      <c r="AG773" s="1" t="str">
        <f>""</f>
        <v/>
      </c>
      <c r="AH773" s="1" t="str">
        <f>""</f>
        <v/>
      </c>
      <c r="AI773" s="1" t="str">
        <f>""</f>
        <v/>
      </c>
      <c r="AJ773" s="1" t="str">
        <f>""</f>
        <v/>
      </c>
      <c r="AK773" s="1" t="str">
        <f>""</f>
        <v/>
      </c>
    </row>
    <row r="774" spans="1:37" x14ac:dyDescent="0.2">
      <c r="A774" s="1">
        <v>86000</v>
      </c>
      <c r="B774" s="1">
        <v>951700134</v>
      </c>
      <c r="C774" s="1" t="str">
        <f>"تخليه- کرمانشاه-جاده سنقر-کارخانه آسفالت دره سبز برناج"</f>
        <v>تخليه- کرمانشاه-جاده سنقر-کارخانه آسفالت دره سبز برناج</v>
      </c>
      <c r="D774" s="1">
        <v>6726</v>
      </c>
      <c r="E774" s="1">
        <v>84920</v>
      </c>
      <c r="F774" s="1">
        <v>95</v>
      </c>
      <c r="G774" s="1">
        <v>1080</v>
      </c>
      <c r="H774" s="1" t="str">
        <f>"95/05/13"</f>
        <v>95/05/13</v>
      </c>
      <c r="I774" s="1" t="str">
        <f t="shared" si="208"/>
        <v>كيلوگرم</v>
      </c>
      <c r="J774" s="1" t="str">
        <f t="shared" si="206"/>
        <v>0000000091</v>
      </c>
      <c r="K774" s="1" t="str">
        <f t="shared" si="207"/>
        <v>قير  PG64-22</v>
      </c>
      <c r="L774" s="1">
        <v>100</v>
      </c>
      <c r="M774" s="1" t="str">
        <f t="shared" si="191"/>
        <v>مخازن قير اصفهان</v>
      </c>
      <c r="N774" s="1">
        <v>11146</v>
      </c>
      <c r="O774" s="1">
        <v>50031412</v>
      </c>
      <c r="P774" s="1" t="str">
        <f>"  پايدارسازه آركا"</f>
        <v xml:space="preserve">  پايدارسازه آركا</v>
      </c>
      <c r="Q774" s="1">
        <v>17</v>
      </c>
      <c r="R774" s="1" t="str">
        <f>"فروش داخلي تهران - وزارت راه - راه روستايي - روکش"</f>
        <v>فروش داخلي تهران - وزارت راه - راه روستايي - روکش</v>
      </c>
      <c r="S774" s="1" t="str">
        <f t="shared" si="209"/>
        <v>قرارداد فروش</v>
      </c>
      <c r="T774" s="1" t="str">
        <f t="shared" si="210"/>
        <v>ندارد</v>
      </c>
      <c r="U774" s="1" t="str">
        <f>"عظيمي محمد(2842015)"</f>
        <v>عظيمي محمد(2842015)</v>
      </c>
      <c r="V774" s="1">
        <v>951700134</v>
      </c>
      <c r="W774" s="1">
        <v>951700134</v>
      </c>
      <c r="X774" s="1" t="str">
        <f>"1395419834"</f>
        <v>1395419834</v>
      </c>
      <c r="Y774" s="1" t="str">
        <f>"95/05/13"</f>
        <v>95/05/13</v>
      </c>
      <c r="Z774" s="1" t="str">
        <f>"19527/510"</f>
        <v>19527/510</v>
      </c>
      <c r="AA774" s="1" t="str">
        <f>"راه روستائي -روكش"</f>
        <v>راه روستائي -روكش</v>
      </c>
      <c r="AB774" s="1" t="str">
        <f>"95/05/03"</f>
        <v>95/05/03</v>
      </c>
      <c r="AC774" s="1" t="str">
        <f>"استان كرمانشاه"</f>
        <v>استان كرمانشاه</v>
      </c>
      <c r="AD774" s="1" t="str">
        <f>"95/05/11"</f>
        <v>95/05/11</v>
      </c>
      <c r="AE774" s="1" t="str">
        <f t="shared" si="199"/>
        <v>اختتام</v>
      </c>
      <c r="AF774" s="1" t="str">
        <f>""</f>
        <v/>
      </c>
      <c r="AG774" s="1" t="str">
        <f>""</f>
        <v/>
      </c>
      <c r="AH774" s="1" t="str">
        <f>""</f>
        <v/>
      </c>
      <c r="AI774" s="1" t="str">
        <f>""</f>
        <v/>
      </c>
      <c r="AJ774" s="1" t="str">
        <f>""</f>
        <v/>
      </c>
      <c r="AK774" s="1" t="str">
        <f>""</f>
        <v/>
      </c>
    </row>
    <row r="775" spans="1:37" x14ac:dyDescent="0.2">
      <c r="A775" s="1">
        <v>300000</v>
      </c>
      <c r="B775" s="1">
        <v>951700032</v>
      </c>
      <c r="C775" s="1" t="str">
        <f>"تخليه -كهگيلويه وبويراحمدادارات تابع استان -بويراحمد-دنا-پاتاوه -باشت -گچساران -جرام -لنده كهگيلويه -بهمئي"</f>
        <v>تخليه -كهگيلويه وبويراحمدادارات تابع استان -بويراحمد-دنا-پاتاوه -باشت -گچساران -جرام -لنده كهگيلويه -بهمئي</v>
      </c>
      <c r="D775" s="1">
        <v>6050</v>
      </c>
      <c r="E775" s="1">
        <v>295600</v>
      </c>
      <c r="F775" s="1">
        <v>95</v>
      </c>
      <c r="G775" s="1">
        <v>4400</v>
      </c>
      <c r="H775" s="1" t="str">
        <f>"95/03/19"</f>
        <v>95/03/19</v>
      </c>
      <c r="I775" s="1" t="str">
        <f t="shared" si="208"/>
        <v>كيلوگرم</v>
      </c>
      <c r="J775" s="1" t="str">
        <f t="shared" si="206"/>
        <v>0000000091</v>
      </c>
      <c r="K775" s="1" t="str">
        <f t="shared" si="207"/>
        <v>قير  PG64-22</v>
      </c>
      <c r="L775" s="1">
        <v>100</v>
      </c>
      <c r="M775" s="1" t="str">
        <f t="shared" si="191"/>
        <v>مخازن قير اصفهان</v>
      </c>
      <c r="N775" s="1">
        <v>10343</v>
      </c>
      <c r="O775" s="1">
        <v>50030981</v>
      </c>
      <c r="P775" s="1" t="str">
        <f>"  اداره كل راه وشهرسازي كهگيلويه وبويراحمد"</f>
        <v xml:space="preserve">  اداره كل راه وشهرسازي كهگيلويه وبويراحمد</v>
      </c>
      <c r="Q775" s="1">
        <v>17</v>
      </c>
      <c r="R775" s="1" t="str">
        <f>"فروش داخلي تهران - وزارت راه - راه روستايي - روکش"</f>
        <v>فروش داخلي تهران - وزارت راه - راه روستايي - روکش</v>
      </c>
      <c r="S775" s="1" t="str">
        <f t="shared" si="209"/>
        <v>قرارداد فروش</v>
      </c>
      <c r="T775" s="1" t="str">
        <f t="shared" si="210"/>
        <v>ندارد</v>
      </c>
      <c r="U775" s="1" t="str">
        <f>"غلام نجفي سيامك‌‌‌‌‌‌(1881082)"</f>
        <v>غلام نجفي سيامك‌‌‌‌‌‌(1881082)</v>
      </c>
      <c r="V775" s="1">
        <v>951700032</v>
      </c>
      <c r="W775" s="1">
        <v>951700032</v>
      </c>
      <c r="X775" s="1" t="str">
        <f>"1395407685"</f>
        <v>1395407685</v>
      </c>
      <c r="Y775" s="1" t="str">
        <f>"95/03/19"</f>
        <v>95/03/19</v>
      </c>
      <c r="Z775" s="1" t="str">
        <f>"10201/510"</f>
        <v>10201/510</v>
      </c>
      <c r="AA775" s="1" t="str">
        <f>"راه روستائي -روكش"</f>
        <v>راه روستائي -روكش</v>
      </c>
      <c r="AB775" s="1" t="str">
        <f>"95/03/11"</f>
        <v>95/03/11</v>
      </c>
      <c r="AC775" s="1" t="str">
        <f>"كهكيلويه و بوير احمد"</f>
        <v>كهكيلويه و بوير احمد</v>
      </c>
      <c r="AD775" s="1" t="str">
        <f>"95/03/16"</f>
        <v>95/03/16</v>
      </c>
      <c r="AE775" s="1" t="str">
        <f t="shared" si="199"/>
        <v>اختتام</v>
      </c>
      <c r="AF775" s="1" t="str">
        <f>""</f>
        <v/>
      </c>
      <c r="AG775" s="1" t="str">
        <f>""</f>
        <v/>
      </c>
      <c r="AH775" s="1" t="str">
        <f>""</f>
        <v/>
      </c>
      <c r="AI775" s="1" t="str">
        <f>""</f>
        <v/>
      </c>
      <c r="AJ775" s="1" t="str">
        <f>""</f>
        <v/>
      </c>
      <c r="AK775" s="1" t="str">
        <f>""</f>
        <v/>
      </c>
    </row>
    <row r="776" spans="1:37" x14ac:dyDescent="0.2">
      <c r="A776" s="1">
        <v>26200</v>
      </c>
      <c r="B776" s="1">
        <v>951700313</v>
      </c>
      <c r="C776" s="1" t="str">
        <f>"تخليه كهگيلويه وبويراحمدشهرستان لنده كارخانه آسفالت شهرداري لنده"</f>
        <v>تخليه كهگيلويه وبويراحمدشهرستان لنده كارخانه آسفالت شهرداري لنده</v>
      </c>
      <c r="D776" s="1">
        <v>9511</v>
      </c>
      <c r="E776" s="1">
        <v>24140</v>
      </c>
      <c r="F776" s="1">
        <v>95</v>
      </c>
      <c r="G776" s="1">
        <v>2060</v>
      </c>
      <c r="H776" s="1" t="str">
        <f>"95/11/03"</f>
        <v>95/11/03</v>
      </c>
      <c r="I776" s="1" t="str">
        <f t="shared" si="208"/>
        <v>كيلوگرم</v>
      </c>
      <c r="J776" s="1" t="str">
        <f t="shared" si="206"/>
        <v>0000000091</v>
      </c>
      <c r="K776" s="1" t="str">
        <f t="shared" si="207"/>
        <v>قير  PG64-22</v>
      </c>
      <c r="L776" s="1">
        <v>100</v>
      </c>
      <c r="M776" s="1" t="str">
        <f t="shared" ref="M776:M839" si="211">"مخازن قير اصفهان"</f>
        <v>مخازن قير اصفهان</v>
      </c>
      <c r="N776" s="1">
        <v>10343</v>
      </c>
      <c r="O776" s="1">
        <v>50033432</v>
      </c>
      <c r="P776" s="1" t="str">
        <f>"  اداره كل راه وشهرسازي كهگيلويه وبويراحمد"</f>
        <v xml:space="preserve">  اداره كل راه وشهرسازي كهگيلويه وبويراحمد</v>
      </c>
      <c r="Q776" s="1">
        <v>17</v>
      </c>
      <c r="R776" s="1" t="str">
        <f>"فروش داخلي تهران - وزارت راه - راه روستايي - روکش"</f>
        <v>فروش داخلي تهران - وزارت راه - راه روستايي - روکش</v>
      </c>
      <c r="S776" s="1" t="str">
        <f t="shared" si="209"/>
        <v>قرارداد فروش</v>
      </c>
      <c r="T776" s="1" t="str">
        <f t="shared" si="210"/>
        <v>ندارد</v>
      </c>
      <c r="U776" s="1" t="str">
        <f>"دشت بشي پودنگ وبرادران رضا(4844014)"</f>
        <v>دشت بشي پودنگ وبرادران رضا(4844014)</v>
      </c>
      <c r="V776" s="1">
        <v>951700313</v>
      </c>
      <c r="W776" s="1">
        <v>951700313</v>
      </c>
      <c r="X776" s="1" t="str">
        <f>"1395457461"</f>
        <v>1395457461</v>
      </c>
      <c r="Y776" s="1" t="str">
        <f>"95/11/03"</f>
        <v>95/11/03</v>
      </c>
      <c r="Z776" s="1" t="str">
        <f>"50884/710"</f>
        <v>50884/710</v>
      </c>
      <c r="AA776" s="1" t="str">
        <f>"راه روستائي -روكش"</f>
        <v>راه روستائي -روكش</v>
      </c>
      <c r="AB776" s="1" t="str">
        <f>"95/10/15"</f>
        <v>95/10/15</v>
      </c>
      <c r="AC776" s="1" t="str">
        <f>"كهكيلويه و بوير احمد"</f>
        <v>كهكيلويه و بوير احمد</v>
      </c>
      <c r="AD776" s="1" t="str">
        <f>"95/10/18"</f>
        <v>95/10/18</v>
      </c>
      <c r="AE776" s="1" t="str">
        <f t="shared" si="199"/>
        <v>اختتام</v>
      </c>
      <c r="AF776" s="1" t="str">
        <f>""</f>
        <v/>
      </c>
      <c r="AG776" s="1" t="str">
        <f>""</f>
        <v/>
      </c>
      <c r="AH776" s="1" t="str">
        <f>""</f>
        <v/>
      </c>
      <c r="AI776" s="1" t="str">
        <f>""</f>
        <v/>
      </c>
      <c r="AJ776" s="1" t="str">
        <f>""</f>
        <v/>
      </c>
      <c r="AK776" s="1" t="str">
        <f>""</f>
        <v/>
      </c>
    </row>
    <row r="777" spans="1:37" x14ac:dyDescent="0.2">
      <c r="A777" s="1">
        <v>250000</v>
      </c>
      <c r="B777" s="1">
        <v>951900110</v>
      </c>
      <c r="C777" s="1" t="str">
        <f>"تخليه-مبارکه-روبروي شهر طالخونچه-منطقه صنعتي امير کبير-کارخانه آسفالت نويدنورسپاهان"</f>
        <v>تخليه-مبارکه-روبروي شهر طالخونچه-منطقه صنعتي امير کبير-کارخانه آسفالت نويدنورسپاهان</v>
      </c>
      <c r="D777" s="1">
        <v>6726</v>
      </c>
      <c r="E777" s="1">
        <v>248140</v>
      </c>
      <c r="F777" s="1">
        <v>95</v>
      </c>
      <c r="G777" s="1">
        <v>1860</v>
      </c>
      <c r="H777" s="1" t="str">
        <f>"95/05/23"</f>
        <v>95/05/23</v>
      </c>
      <c r="I777" s="1" t="str">
        <f t="shared" si="208"/>
        <v>كيلوگرم</v>
      </c>
      <c r="J777" s="1" t="str">
        <f t="shared" si="206"/>
        <v>0000000091</v>
      </c>
      <c r="K777" s="1" t="str">
        <f t="shared" si="207"/>
        <v>قير  PG64-22</v>
      </c>
      <c r="L777" s="1">
        <v>100</v>
      </c>
      <c r="M777" s="1" t="str">
        <f t="shared" si="211"/>
        <v>مخازن قير اصفهان</v>
      </c>
      <c r="N777" s="1">
        <v>10497</v>
      </c>
      <c r="O777" s="1">
        <v>50031493</v>
      </c>
      <c r="P777" s="1" t="str">
        <f>"  نويدنورسپاهان"</f>
        <v xml:space="preserve">  نويدنورسپاهان</v>
      </c>
      <c r="Q777" s="1">
        <v>19</v>
      </c>
      <c r="R77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77" s="1" t="str">
        <f t="shared" si="209"/>
        <v>قرارداد فروش</v>
      </c>
      <c r="T777" s="1" t="str">
        <f t="shared" si="210"/>
        <v>ندارد</v>
      </c>
      <c r="U777" s="1" t="str">
        <f>"شهبازي محمدرضا(1029ج89)"</f>
        <v>شهبازي محمدرضا(1029ج89)</v>
      </c>
      <c r="V777" s="1">
        <v>951900110</v>
      </c>
      <c r="W777" s="1">
        <v>951900110</v>
      </c>
      <c r="X777" s="1" t="str">
        <f>"1395421984"</f>
        <v>1395421984</v>
      </c>
      <c r="Y777" s="1" t="str">
        <f>"95/05/23"</f>
        <v>95/05/23</v>
      </c>
      <c r="Z777" s="1" t="str">
        <f>"21873/510"</f>
        <v>21873/510</v>
      </c>
      <c r="AA777" s="1" t="str">
        <f>"سازمان راهداري وحمل نقل جاده اي"</f>
        <v>سازمان راهداري وحمل نقل جاده اي</v>
      </c>
      <c r="AB777" s="1" t="str">
        <f>"95/05/16"</f>
        <v>95/05/16</v>
      </c>
      <c r="AC777" s="1" t="str">
        <f>"استان اصفهان"</f>
        <v>استان اصفهان</v>
      </c>
      <c r="AD777" s="1" t="str">
        <f>"95/05/18"</f>
        <v>95/05/18</v>
      </c>
      <c r="AE777" s="1" t="str">
        <f t="shared" si="199"/>
        <v>اختتام</v>
      </c>
      <c r="AF777" s="1" t="str">
        <f>""</f>
        <v/>
      </c>
      <c r="AG777" s="1" t="str">
        <f>""</f>
        <v/>
      </c>
      <c r="AH777" s="1" t="str">
        <f>""</f>
        <v/>
      </c>
      <c r="AI777" s="1" t="str">
        <f>""</f>
        <v/>
      </c>
      <c r="AJ777" s="1" t="str">
        <f>""</f>
        <v/>
      </c>
      <c r="AK777" s="1" t="str">
        <f>""</f>
        <v/>
      </c>
    </row>
    <row r="778" spans="1:37" x14ac:dyDescent="0.2">
      <c r="A778" s="1">
        <v>51280</v>
      </c>
      <c r="B778" s="1">
        <v>951700267</v>
      </c>
      <c r="C778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778" s="1">
        <v>8323</v>
      </c>
      <c r="E778" s="1">
        <v>50500</v>
      </c>
      <c r="F778" s="1">
        <v>95</v>
      </c>
      <c r="G778" s="1">
        <v>780</v>
      </c>
      <c r="H778" s="1" t="str">
        <f>"95/08/09"</f>
        <v>95/08/09</v>
      </c>
      <c r="I778" s="1" t="str">
        <f t="shared" si="208"/>
        <v>كيلوگرم</v>
      </c>
      <c r="J778" s="1" t="str">
        <f t="shared" si="206"/>
        <v>0000000091</v>
      </c>
      <c r="K778" s="1" t="str">
        <f t="shared" si="207"/>
        <v>قير  PG64-22</v>
      </c>
      <c r="L778" s="1">
        <v>100</v>
      </c>
      <c r="M778" s="1" t="str">
        <f t="shared" si="211"/>
        <v>مخازن قير اصفهان</v>
      </c>
      <c r="N778" s="1">
        <v>11163</v>
      </c>
      <c r="O778" s="1">
        <v>50032393</v>
      </c>
      <c r="P778" s="1" t="str">
        <f>"  ارتقاراه توس"</f>
        <v xml:space="preserve">  ارتقاراه توس</v>
      </c>
      <c r="Q778" s="1">
        <v>17</v>
      </c>
      <c r="R778" s="1" t="str">
        <f>"فروش داخلي تهران - وزارت راه - راه روستايي - روکش"</f>
        <v>فروش داخلي تهران - وزارت راه - راه روستايي - روکش</v>
      </c>
      <c r="S778" s="1" t="str">
        <f t="shared" si="209"/>
        <v>قرارداد فروش</v>
      </c>
      <c r="T778" s="1" t="str">
        <f t="shared" si="210"/>
        <v>ندارد</v>
      </c>
      <c r="U778" s="1" t="str">
        <f>"عزيزي صفر(1006ج 89)"</f>
        <v>عزيزي صفر(1006ج 89)</v>
      </c>
      <c r="V778" s="1">
        <v>951700267</v>
      </c>
      <c r="W778" s="1">
        <v>951700267</v>
      </c>
      <c r="X778" s="1" t="str">
        <f>"1395426744"</f>
        <v>1395426744</v>
      </c>
      <c r="Y778" s="1" t="str">
        <f>"95/08/09"</f>
        <v>95/08/09</v>
      </c>
      <c r="Z778" s="1" t="str">
        <f>"22194/510"</f>
        <v>22194/510</v>
      </c>
      <c r="AA778" s="1" t="str">
        <f>"راه روستائي -روكش"</f>
        <v>راه روستائي -روكش</v>
      </c>
      <c r="AB778" s="1" t="str">
        <f>"95/05/17"</f>
        <v>95/05/17</v>
      </c>
      <c r="AC778" s="1" t="str">
        <f>"خراسان جنوبي"</f>
        <v>خراسان جنوبي</v>
      </c>
      <c r="AD778" s="1" t="str">
        <f>"95/06/03"</f>
        <v>95/06/03</v>
      </c>
      <c r="AE778" s="1" t="str">
        <f t="shared" si="199"/>
        <v>اختتام</v>
      </c>
      <c r="AF778" s="1" t="str">
        <f>""</f>
        <v/>
      </c>
      <c r="AG778" s="1" t="str">
        <f>""</f>
        <v/>
      </c>
      <c r="AH778" s="1" t="str">
        <f>""</f>
        <v/>
      </c>
      <c r="AI778" s="1" t="str">
        <f>""</f>
        <v/>
      </c>
      <c r="AJ778" s="1" t="str">
        <f>""</f>
        <v/>
      </c>
      <c r="AK778" s="1" t="str">
        <f>""</f>
        <v/>
      </c>
    </row>
    <row r="779" spans="1:37" x14ac:dyDescent="0.2">
      <c r="A779" s="1">
        <v>300000</v>
      </c>
      <c r="B779" s="1">
        <v>951900282</v>
      </c>
      <c r="C779" s="1" t="str">
        <f>"تخليه-يزد-پروژه مرمت و لکه گيري رويه راههاي استان يزد-شرکت تعاوني موحدين آسفالت يزد"</f>
        <v>تخليه-يزد-پروژه مرمت و لکه گيري رويه راههاي استان يزد-شرکت تعاوني موحدين آسفالت يزد</v>
      </c>
      <c r="D779" s="1">
        <v>9354</v>
      </c>
      <c r="E779" s="1">
        <v>299500</v>
      </c>
      <c r="F779" s="1">
        <v>95</v>
      </c>
      <c r="G779" s="1">
        <v>500</v>
      </c>
      <c r="H779" s="1" t="str">
        <f>"95/12/14"</f>
        <v>95/12/14</v>
      </c>
      <c r="I779" s="1" t="str">
        <f t="shared" si="208"/>
        <v>كيلوگرم</v>
      </c>
      <c r="J779" s="1" t="str">
        <f t="shared" si="206"/>
        <v>0000000091</v>
      </c>
      <c r="K779" s="1" t="str">
        <f t="shared" si="207"/>
        <v>قير  PG64-22</v>
      </c>
      <c r="L779" s="1">
        <v>100</v>
      </c>
      <c r="M779" s="1" t="str">
        <f t="shared" si="211"/>
        <v>مخازن قير اصفهان</v>
      </c>
      <c r="N779" s="1">
        <v>11270</v>
      </c>
      <c r="O779" s="1">
        <v>50033989</v>
      </c>
      <c r="P779" s="1" t="str">
        <f>"  اداره كل راهداري وحمل ونقل جاده اي يزد"</f>
        <v xml:space="preserve">  اداره كل راهداري وحمل ونقل جاده اي يزد</v>
      </c>
      <c r="Q779" s="1">
        <v>19</v>
      </c>
      <c r="R77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79" s="1" t="str">
        <f t="shared" si="209"/>
        <v>قرارداد فروش</v>
      </c>
      <c r="T779" s="1" t="str">
        <f t="shared" si="210"/>
        <v>ندارد</v>
      </c>
      <c r="U779" s="1" t="str">
        <f>"قانعي محمدرضا(1011ج89)"</f>
        <v>قانعي محمدرضا(1011ج89)</v>
      </c>
      <c r="V779" s="1">
        <v>951900282</v>
      </c>
      <c r="W779" s="1">
        <v>951900282</v>
      </c>
      <c r="X779" s="1" t="str">
        <f>"1395468781"</f>
        <v>1395468781</v>
      </c>
      <c r="Y779" s="1" t="str">
        <f>"95/12/14"</f>
        <v>95/12/14</v>
      </c>
      <c r="Z779" s="1" t="str">
        <f>"62397/710"</f>
        <v>62397/710</v>
      </c>
      <c r="AA779" s="1" t="str">
        <f>"سازمان راهداري وحمل نقل جاده اي"</f>
        <v>سازمان راهداري وحمل نقل جاده اي</v>
      </c>
      <c r="AB779" s="1" t="str">
        <f>"95/12/09"</f>
        <v>95/12/09</v>
      </c>
      <c r="AC779" s="1" t="str">
        <f>"استان يزد"</f>
        <v>استان يزد</v>
      </c>
      <c r="AD779" s="1" t="str">
        <f>"95/12/11"</f>
        <v>95/12/11</v>
      </c>
      <c r="AE779" s="1" t="str">
        <f t="shared" ref="AE779:AE798" si="212">"اختتام"</f>
        <v>اختتام</v>
      </c>
      <c r="AF779" s="1" t="str">
        <f>""</f>
        <v/>
      </c>
      <c r="AG779" s="1" t="str">
        <f>""</f>
        <v/>
      </c>
      <c r="AH779" s="1" t="str">
        <f>""</f>
        <v/>
      </c>
      <c r="AI779" s="1" t="str">
        <f>""</f>
        <v/>
      </c>
      <c r="AJ779" s="1" t="str">
        <f>""</f>
        <v/>
      </c>
      <c r="AK779" s="1" t="str">
        <f>""</f>
        <v/>
      </c>
    </row>
    <row r="780" spans="1:37" x14ac:dyDescent="0.2">
      <c r="A780" s="1">
        <v>200000</v>
      </c>
      <c r="B780" s="1">
        <v>951900298</v>
      </c>
      <c r="C780" s="1" t="str">
        <f>"تخليه لرستان شهرچالان چولان روستاي پهلوان كل شركت آسفالت ريزان گهرلرستان"</f>
        <v>تخليه لرستان شهرچالان چولان روستاي پهلوان كل شركت آسفالت ريزان گهرلرستان</v>
      </c>
      <c r="D780" s="1">
        <v>8348</v>
      </c>
      <c r="E780" s="1">
        <v>196240</v>
      </c>
      <c r="F780" s="1">
        <v>95</v>
      </c>
      <c r="G780" s="1">
        <v>3760</v>
      </c>
      <c r="H780" s="1" t="str">
        <f>"95/12/19"</f>
        <v>95/12/19</v>
      </c>
      <c r="I780" s="1" t="str">
        <f t="shared" si="208"/>
        <v>كيلوگرم</v>
      </c>
      <c r="J780" s="1" t="str">
        <f t="shared" si="206"/>
        <v>0000000091</v>
      </c>
      <c r="K780" s="1" t="str">
        <f t="shared" si="207"/>
        <v>قير  PG64-22</v>
      </c>
      <c r="L780" s="1">
        <v>100</v>
      </c>
      <c r="M780" s="1" t="str">
        <f t="shared" si="211"/>
        <v>مخازن قير اصفهان</v>
      </c>
      <c r="N780" s="1">
        <v>11295</v>
      </c>
      <c r="O780" s="1">
        <v>50034104</v>
      </c>
      <c r="P780" s="1" t="str">
        <f>"  اداره كل راهداري وحمل ونقل جاده اي لرستان"</f>
        <v xml:space="preserve">  اداره كل راهداري وحمل ونقل جاده اي لرستان</v>
      </c>
      <c r="Q780" s="1">
        <v>19</v>
      </c>
      <c r="R7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80" s="1" t="str">
        <f t="shared" si="209"/>
        <v>قرارداد فروش</v>
      </c>
      <c r="T780" s="1" t="str">
        <f t="shared" si="210"/>
        <v>ندارد</v>
      </c>
      <c r="U780" s="1" t="str">
        <f>"ريسماني حسن(1007ج89)"</f>
        <v>ريسماني حسن(1007ج89)</v>
      </c>
      <c r="V780" s="1">
        <v>951900298</v>
      </c>
      <c r="W780" s="1">
        <v>951900298</v>
      </c>
      <c r="X780" s="1" t="str">
        <f>"1395470074"</f>
        <v>1395470074</v>
      </c>
      <c r="Y780" s="1" t="str">
        <f>"95/12/19"</f>
        <v>95/12/19</v>
      </c>
      <c r="Z780" s="1" t="str">
        <f>"64837/710"</f>
        <v>64837/710</v>
      </c>
      <c r="AA780" s="1" t="str">
        <f>"سازمان راهداري وحمل نقل جاده اي"</f>
        <v>سازمان راهداري وحمل نقل جاده اي</v>
      </c>
      <c r="AB780" s="1" t="str">
        <f>"95/12/17"</f>
        <v>95/12/17</v>
      </c>
      <c r="AC780" s="1" t="str">
        <f>"لرستان"</f>
        <v>لرستان</v>
      </c>
      <c r="AD780" s="1" t="str">
        <f>"95/12/18"</f>
        <v>95/12/18</v>
      </c>
      <c r="AE780" s="1" t="str">
        <f t="shared" si="212"/>
        <v>اختتام</v>
      </c>
      <c r="AF780" s="1" t="str">
        <f>""</f>
        <v/>
      </c>
      <c r="AG780" s="1" t="str">
        <f>""</f>
        <v/>
      </c>
      <c r="AH780" s="1" t="str">
        <f>""</f>
        <v/>
      </c>
      <c r="AI780" s="1" t="str">
        <f>""</f>
        <v/>
      </c>
      <c r="AJ780" s="1" t="str">
        <f>""</f>
        <v/>
      </c>
      <c r="AK780" s="1" t="str">
        <f>""</f>
        <v/>
      </c>
    </row>
    <row r="781" spans="1:37" x14ac:dyDescent="0.2">
      <c r="A781" s="1">
        <v>500000</v>
      </c>
      <c r="B781" s="1">
        <v>951900214</v>
      </c>
      <c r="C781" s="1" t="str">
        <f>"تخليه -يزد كيلومتر15جاده يزد-مهريز-كارگاه حريتاش"</f>
        <v>تخليه -يزد كيلومتر15جاده يزد-مهريز-كارگاه حريتاش</v>
      </c>
      <c r="D781" s="1">
        <v>7276</v>
      </c>
      <c r="E781" s="1">
        <v>356540</v>
      </c>
      <c r="F781" s="1">
        <v>95</v>
      </c>
      <c r="G781" s="1">
        <v>143460</v>
      </c>
      <c r="H781" s="1" t="str">
        <f>"95/09/07"</f>
        <v>95/09/07</v>
      </c>
      <c r="I781" s="1" t="str">
        <f t="shared" si="208"/>
        <v>كيلوگرم</v>
      </c>
      <c r="J781" s="1" t="str">
        <f t="shared" si="206"/>
        <v>0000000091</v>
      </c>
      <c r="K781" s="1" t="str">
        <f t="shared" si="207"/>
        <v>قير  PG64-22</v>
      </c>
      <c r="L781" s="1">
        <v>100</v>
      </c>
      <c r="M781" s="1" t="str">
        <f t="shared" si="211"/>
        <v>مخازن قير اصفهان</v>
      </c>
      <c r="N781" s="1">
        <v>1728</v>
      </c>
      <c r="O781" s="1">
        <v>50032719</v>
      </c>
      <c r="P781" s="1" t="str">
        <f>"  حريتاش"</f>
        <v xml:space="preserve">  حريتاش</v>
      </c>
      <c r="Q781" s="1">
        <v>19</v>
      </c>
      <c r="R78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81" s="1" t="str">
        <f t="shared" si="209"/>
        <v>قرارداد فروش</v>
      </c>
      <c r="T781" s="1" t="str">
        <f t="shared" si="210"/>
        <v>ندارد</v>
      </c>
      <c r="U781" s="1" t="str">
        <f>"عزيزي صفر(1006ج 89)"</f>
        <v>عزيزي صفر(1006ج 89)</v>
      </c>
      <c r="V781" s="1">
        <v>951900214</v>
      </c>
      <c r="W781" s="1">
        <v>951900214</v>
      </c>
      <c r="X781" s="1" t="str">
        <f>"1395447614"</f>
        <v>1395447614</v>
      </c>
      <c r="Y781" s="1" t="str">
        <f>"95/09/07"</f>
        <v>95/09/07</v>
      </c>
      <c r="Z781" s="1" t="str">
        <f>"42080/710"</f>
        <v>42080/710</v>
      </c>
      <c r="AA781" s="1" t="str">
        <f>"سازمان راهداري وحمل نقل جاده اي"</f>
        <v>سازمان راهداري وحمل نقل جاده اي</v>
      </c>
      <c r="AB781" s="1" t="str">
        <f>"95/08/29"</f>
        <v>95/08/29</v>
      </c>
      <c r="AC781" s="1" t="str">
        <f>"استان يزد"</f>
        <v>استان يزد</v>
      </c>
      <c r="AD781" s="1" t="str">
        <f>"95/09/06"</f>
        <v>95/09/06</v>
      </c>
      <c r="AE781" s="1" t="str">
        <f t="shared" si="212"/>
        <v>اختتام</v>
      </c>
      <c r="AF781" s="1" t="str">
        <f>""</f>
        <v/>
      </c>
      <c r="AG781" s="1" t="str">
        <f>""</f>
        <v/>
      </c>
      <c r="AH781" s="1" t="str">
        <f>""</f>
        <v/>
      </c>
      <c r="AI781" s="1" t="str">
        <f>""</f>
        <v/>
      </c>
      <c r="AJ781" s="1" t="str">
        <f>""</f>
        <v/>
      </c>
      <c r="AK781" s="1" t="str">
        <f>""</f>
        <v/>
      </c>
    </row>
    <row r="782" spans="1:37" x14ac:dyDescent="0.2">
      <c r="A782" s="1">
        <v>315000</v>
      </c>
      <c r="B782" s="1">
        <v>951700029</v>
      </c>
      <c r="C782" s="1" t="str">
        <f>"تخليه -خراسان جنوبي -نيمبلوك -كارخانه فولادقائنات"</f>
        <v>تخليه -خراسان جنوبي -نيمبلوك -كارخانه فولادقائنات</v>
      </c>
      <c r="D782" s="1">
        <v>6050</v>
      </c>
      <c r="E782" s="1">
        <v>308720</v>
      </c>
      <c r="F782" s="1">
        <v>95</v>
      </c>
      <c r="G782" s="1">
        <v>6280</v>
      </c>
      <c r="H782" s="1" t="str">
        <f>"95/03/10"</f>
        <v>95/03/10</v>
      </c>
      <c r="I782" s="1" t="str">
        <f t="shared" si="208"/>
        <v>كيلوگرم</v>
      </c>
      <c r="J782" s="1" t="str">
        <f t="shared" si="206"/>
        <v>0000000091</v>
      </c>
      <c r="K782" s="1" t="str">
        <f t="shared" si="207"/>
        <v>قير  PG64-22</v>
      </c>
      <c r="L782" s="1">
        <v>100</v>
      </c>
      <c r="M782" s="1" t="str">
        <f t="shared" si="211"/>
        <v>مخازن قير اصفهان</v>
      </c>
      <c r="N782" s="1">
        <v>4012</v>
      </c>
      <c r="O782" s="1">
        <v>50030915</v>
      </c>
      <c r="P782" s="1" t="str">
        <f>"  اداره كل راه و شهرسازي خراسان جنوبي"</f>
        <v xml:space="preserve">  اداره كل راه و شهرسازي خراسان جنوبي</v>
      </c>
      <c r="Q782" s="1">
        <v>17</v>
      </c>
      <c r="R782" s="1" t="str">
        <f>"فروش داخلي تهران - وزارت راه - راه روستايي - روکش"</f>
        <v>فروش داخلي تهران - وزارت راه - راه روستايي - روکش</v>
      </c>
      <c r="S782" s="1" t="str">
        <f t="shared" si="209"/>
        <v>قرارداد فروش</v>
      </c>
      <c r="T782" s="1" t="str">
        <f t="shared" si="210"/>
        <v>ندارد</v>
      </c>
      <c r="U782" s="1" t="str">
        <f>"قره باغي مجيد(1871065)"</f>
        <v>قره باغي مجيد(1871065)</v>
      </c>
      <c r="V782" s="1">
        <v>951700029</v>
      </c>
      <c r="W782" s="1">
        <v>951700029</v>
      </c>
      <c r="X782" s="1" t="str">
        <f>"1395406493"</f>
        <v>1395406493</v>
      </c>
      <c r="Y782" s="1" t="str">
        <f>"95/03/10"</f>
        <v>95/03/10</v>
      </c>
      <c r="Z782" s="1" t="str">
        <f>"9579/510"</f>
        <v>9579/510</v>
      </c>
      <c r="AA782" s="1" t="str">
        <f>"راه روستائي -روكش"</f>
        <v>راه روستائي -روكش</v>
      </c>
      <c r="AB782" s="1" t="str">
        <f>"95/03/08"</f>
        <v>95/03/08</v>
      </c>
      <c r="AC782" s="1" t="str">
        <f>"خراسان جنوبي"</f>
        <v>خراسان جنوبي</v>
      </c>
      <c r="AD782" s="1" t="str">
        <f>"95/03/10"</f>
        <v>95/03/10</v>
      </c>
      <c r="AE782" s="1" t="str">
        <f t="shared" si="212"/>
        <v>اختتام</v>
      </c>
      <c r="AF782" s="1" t="str">
        <f>""</f>
        <v/>
      </c>
      <c r="AG782" s="1" t="str">
        <f>""</f>
        <v/>
      </c>
      <c r="AH782" s="1" t="str">
        <f>""</f>
        <v/>
      </c>
      <c r="AI782" s="1" t="str">
        <f>""</f>
        <v/>
      </c>
      <c r="AJ782" s="1" t="str">
        <f>""</f>
        <v/>
      </c>
      <c r="AK782" s="1" t="str">
        <f>""</f>
        <v/>
      </c>
    </row>
    <row r="783" spans="1:37" x14ac:dyDescent="0.2">
      <c r="A783" s="1">
        <v>232000</v>
      </c>
      <c r="B783" s="1">
        <v>951700149</v>
      </c>
      <c r="C783" s="1" t="str">
        <f>"تخليه - خراسان جنوبي- اسديه-کارخانه شهرداري اسديه"</f>
        <v>تخليه - خراسان جنوبي- اسديه-کارخانه شهرداري اسديه</v>
      </c>
      <c r="D783" s="1">
        <v>6726</v>
      </c>
      <c r="E783" s="1">
        <v>231620</v>
      </c>
      <c r="F783" s="1">
        <v>95</v>
      </c>
      <c r="G783" s="1">
        <v>380</v>
      </c>
      <c r="H783" s="1" t="str">
        <f>"95/05/18"</f>
        <v>95/05/18</v>
      </c>
      <c r="I783" s="1" t="str">
        <f t="shared" si="208"/>
        <v>كيلوگرم</v>
      </c>
      <c r="J783" s="1" t="str">
        <f t="shared" si="206"/>
        <v>0000000091</v>
      </c>
      <c r="K783" s="1" t="str">
        <f t="shared" si="207"/>
        <v>قير  PG64-22</v>
      </c>
      <c r="L783" s="1">
        <v>100</v>
      </c>
      <c r="M783" s="1" t="str">
        <f t="shared" si="211"/>
        <v>مخازن قير اصفهان</v>
      </c>
      <c r="N783" s="1">
        <v>4012</v>
      </c>
      <c r="O783" s="1">
        <v>50031464</v>
      </c>
      <c r="P783" s="1" t="str">
        <f>"  اداره كل راه و شهرسازي خراسان جنوبي"</f>
        <v xml:space="preserve">  اداره كل راه و شهرسازي خراسان جنوبي</v>
      </c>
      <c r="Q783" s="1">
        <v>17</v>
      </c>
      <c r="R783" s="1" t="str">
        <f>"فروش داخلي تهران - وزارت راه - راه روستايي - روکش"</f>
        <v>فروش داخلي تهران - وزارت راه - راه روستايي - روکش</v>
      </c>
      <c r="S783" s="1" t="str">
        <f t="shared" si="209"/>
        <v>قرارداد فروش</v>
      </c>
      <c r="T783" s="1" t="str">
        <f t="shared" si="210"/>
        <v>ندارد</v>
      </c>
      <c r="U783" s="1" t="str">
        <f>"بابامحمدي عنايت اله(4844000)"</f>
        <v>بابامحمدي عنايت اله(4844000)</v>
      </c>
      <c r="V783" s="1">
        <v>951700149</v>
      </c>
      <c r="W783" s="1">
        <v>951700149</v>
      </c>
      <c r="X783" s="1" t="str">
        <f>"1395421750"</f>
        <v>1395421750</v>
      </c>
      <c r="Y783" s="1" t="str">
        <f>"95/05/18"</f>
        <v>95/05/18</v>
      </c>
      <c r="Z783" s="1" t="str">
        <f>"21117/510"</f>
        <v>21117/510</v>
      </c>
      <c r="AA783" s="1" t="str">
        <f>"راه روستائي -روكش"</f>
        <v>راه روستائي -روكش</v>
      </c>
      <c r="AB783" s="1" t="str">
        <f>"95/05/12"</f>
        <v>95/05/12</v>
      </c>
      <c r="AC783" s="1" t="str">
        <f>"خراسان جنوبي"</f>
        <v>خراسان جنوبي</v>
      </c>
      <c r="AD783" s="1" t="str">
        <f>"95/05/17"</f>
        <v>95/05/17</v>
      </c>
      <c r="AE783" s="1" t="str">
        <f t="shared" si="212"/>
        <v>اختتام</v>
      </c>
      <c r="AF783" s="1" t="str">
        <f>""</f>
        <v/>
      </c>
      <c r="AG783" s="1" t="str">
        <f>""</f>
        <v/>
      </c>
      <c r="AH783" s="1" t="str">
        <f>""</f>
        <v/>
      </c>
      <c r="AI783" s="1" t="str">
        <f>""</f>
        <v/>
      </c>
      <c r="AJ783" s="1" t="str">
        <f>""</f>
        <v/>
      </c>
      <c r="AK783" s="1" t="str">
        <f>""</f>
        <v/>
      </c>
    </row>
    <row r="784" spans="1:37" x14ac:dyDescent="0.2">
      <c r="A784" s="1">
        <v>200000</v>
      </c>
      <c r="B784" s="1">
        <v>951700213</v>
      </c>
      <c r="C784" s="1" t="str">
        <f>"تخليه- خراسان جنوبي-سرايان-کارخانه شهرداري سرايان"</f>
        <v>تخليه- خراسان جنوبي-سرايان-کارخانه شهرداري سرايان</v>
      </c>
      <c r="D784" s="1">
        <v>7276</v>
      </c>
      <c r="E784" s="1">
        <v>160560</v>
      </c>
      <c r="F784" s="1">
        <v>95</v>
      </c>
      <c r="G784" s="1">
        <v>39440</v>
      </c>
      <c r="H784" s="1" t="str">
        <f>"95/07/04"</f>
        <v>95/07/04</v>
      </c>
      <c r="I784" s="1" t="str">
        <f t="shared" si="208"/>
        <v>كيلوگرم</v>
      </c>
      <c r="J784" s="1" t="str">
        <f t="shared" si="206"/>
        <v>0000000091</v>
      </c>
      <c r="K784" s="1" t="str">
        <f t="shared" si="207"/>
        <v>قير  PG64-22</v>
      </c>
      <c r="L784" s="1">
        <v>100</v>
      </c>
      <c r="M784" s="1" t="str">
        <f t="shared" si="211"/>
        <v>مخازن قير اصفهان</v>
      </c>
      <c r="N784" s="1">
        <v>4012</v>
      </c>
      <c r="O784" s="1">
        <v>50031937</v>
      </c>
      <c r="P784" s="1" t="str">
        <f>"  اداره كل راه و شهرسازي خراسان جنوبي"</f>
        <v xml:space="preserve">  اداره كل راه و شهرسازي خراسان جنوبي</v>
      </c>
      <c r="Q784" s="1">
        <v>17</v>
      </c>
      <c r="R784" s="1" t="str">
        <f>"فروش داخلي تهران - وزارت راه - راه روستايي - روکش"</f>
        <v>فروش داخلي تهران - وزارت راه - راه روستايي - روکش</v>
      </c>
      <c r="S784" s="1" t="str">
        <f t="shared" si="209"/>
        <v>قرارداد فروش</v>
      </c>
      <c r="T784" s="1" t="str">
        <f t="shared" si="210"/>
        <v>ندارد</v>
      </c>
      <c r="U784" s="1" t="str">
        <f>"كاردان اسپادان راه مصطفي  (1911100)"</f>
        <v>كاردان اسپادان راه مصطفي  (1911100)</v>
      </c>
      <c r="V784" s="1">
        <v>951700213</v>
      </c>
      <c r="W784" s="1">
        <v>951700213</v>
      </c>
      <c r="X784" s="1" t="str">
        <f>"1395433635"</f>
        <v>1395433635</v>
      </c>
      <c r="Y784" s="1" t="str">
        <f>"95/07/04"</f>
        <v>95/07/04</v>
      </c>
      <c r="Z784" s="1" t="str">
        <f>"30705/510"</f>
        <v>30705/510</v>
      </c>
      <c r="AA784" s="1" t="str">
        <f>"راه روستائي -روكش"</f>
        <v>راه روستائي -روكش</v>
      </c>
      <c r="AB784" s="1" t="str">
        <f>"95/06/28"</f>
        <v>95/06/28</v>
      </c>
      <c r="AC784" s="1" t="str">
        <f>"خراسان جنوبي"</f>
        <v>خراسان جنوبي</v>
      </c>
      <c r="AD784" s="1" t="str">
        <f>"95/07/04"</f>
        <v>95/07/04</v>
      </c>
      <c r="AE784" s="1" t="str">
        <f t="shared" si="212"/>
        <v>اختتام</v>
      </c>
      <c r="AF784" s="1" t="str">
        <f>""</f>
        <v/>
      </c>
      <c r="AG784" s="1" t="str">
        <f>""</f>
        <v/>
      </c>
      <c r="AH784" s="1" t="str">
        <f>""</f>
        <v/>
      </c>
      <c r="AI784" s="1" t="str">
        <f>""</f>
        <v/>
      </c>
      <c r="AJ784" s="1" t="str">
        <f>""</f>
        <v/>
      </c>
      <c r="AK784" s="1" t="str">
        <f>""</f>
        <v/>
      </c>
    </row>
    <row r="785" spans="1:37" x14ac:dyDescent="0.2">
      <c r="A785" s="1">
        <v>201200</v>
      </c>
      <c r="B785" s="1">
        <v>951900253</v>
      </c>
      <c r="C785" s="1" t="str">
        <f>"تخليه -لرستان -كيلومتر30جاده خرم آباد-بروجرد-روستاي ريگ سفيد-کارخانه آسفالت آفاق سپهرخرم"</f>
        <v>تخليه -لرستان -كيلومتر30جاده خرم آباد-بروجرد-روستاي ريگ سفيد-کارخانه آسفالت آفاق سپهرخرم</v>
      </c>
      <c r="D785" s="1">
        <v>9511</v>
      </c>
      <c r="E785" s="1">
        <v>199740</v>
      </c>
      <c r="F785" s="1">
        <v>95</v>
      </c>
      <c r="G785" s="1">
        <v>1460</v>
      </c>
      <c r="H785" s="1" t="str">
        <f>"95/11/03"</f>
        <v>95/11/03</v>
      </c>
      <c r="I785" s="1" t="str">
        <f t="shared" si="208"/>
        <v>كيلوگرم</v>
      </c>
      <c r="J785" s="1" t="str">
        <f t="shared" si="206"/>
        <v>0000000091</v>
      </c>
      <c r="K785" s="1" t="str">
        <f t="shared" si="207"/>
        <v>قير  PG64-22</v>
      </c>
      <c r="L785" s="1">
        <v>100</v>
      </c>
      <c r="M785" s="1" t="str">
        <f t="shared" si="211"/>
        <v>مخازن قير اصفهان</v>
      </c>
      <c r="N785" s="1">
        <v>8561</v>
      </c>
      <c r="O785" s="1">
        <v>50033467</v>
      </c>
      <c r="P785" s="1" t="str">
        <f>"  آفاق سپهرخرم"</f>
        <v xml:space="preserve">  آفاق سپهرخرم</v>
      </c>
      <c r="Q785" s="1">
        <v>19</v>
      </c>
      <c r="R7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85" s="1" t="str">
        <f t="shared" si="209"/>
        <v>قرارداد فروش</v>
      </c>
      <c r="T785" s="1" t="str">
        <f t="shared" si="210"/>
        <v>ندارد</v>
      </c>
      <c r="U785" s="1" t="str">
        <f>"ريسماني حسن(1007ج89)"</f>
        <v>ريسماني حسن(1007ج89)</v>
      </c>
      <c r="V785" s="1">
        <v>951900253</v>
      </c>
      <c r="W785" s="1">
        <v>951900253</v>
      </c>
      <c r="X785" s="1" t="str">
        <f>"1395449862"</f>
        <v>1395449862</v>
      </c>
      <c r="Y785" s="1" t="str">
        <f>"95/11/03"</f>
        <v>95/11/03</v>
      </c>
      <c r="Z785" s="1" t="str">
        <f>"44546/710"</f>
        <v>44546/710</v>
      </c>
      <c r="AA785" s="1" t="str">
        <f>"سازمان راهداري وحمل نقل جاده اي"</f>
        <v>سازمان راهداري وحمل نقل جاده اي</v>
      </c>
      <c r="AB785" s="1" t="str">
        <f>"95/09/14"</f>
        <v>95/09/14</v>
      </c>
      <c r="AC785" s="1" t="str">
        <f>"لرستان"</f>
        <v>لرستان</v>
      </c>
      <c r="AD785" s="1" t="str">
        <f>"95/09/16"</f>
        <v>95/09/16</v>
      </c>
      <c r="AE785" s="1" t="str">
        <f t="shared" si="212"/>
        <v>اختتام</v>
      </c>
      <c r="AF785" s="1" t="str">
        <f>""</f>
        <v/>
      </c>
      <c r="AG785" s="1" t="str">
        <f>""</f>
        <v/>
      </c>
      <c r="AH785" s="1" t="str">
        <f>""</f>
        <v/>
      </c>
      <c r="AI785" s="1" t="str">
        <f>""</f>
        <v/>
      </c>
      <c r="AJ785" s="1" t="str">
        <f>""</f>
        <v/>
      </c>
      <c r="AK785" s="1" t="str">
        <f>""</f>
        <v/>
      </c>
    </row>
    <row r="786" spans="1:37" x14ac:dyDescent="0.2">
      <c r="A786" s="1">
        <v>1000000</v>
      </c>
      <c r="B786" s="1">
        <v>951600084</v>
      </c>
      <c r="C786" s="1" t="str">
        <f>"تخليه يزدشهرستان بافق كارخانه آسفالت شركت فرش راه يزد"</f>
        <v>تخليه يزدشهرستان بافق كارخانه آسفالت شركت فرش راه يزد</v>
      </c>
      <c r="D786" s="1">
        <v>8998</v>
      </c>
      <c r="E786" s="1">
        <v>998260</v>
      </c>
      <c r="F786" s="1">
        <v>95</v>
      </c>
      <c r="G786" s="1">
        <v>1740</v>
      </c>
      <c r="H786" s="1" t="str">
        <f>"95/11/04"</f>
        <v>95/11/04</v>
      </c>
      <c r="I786" s="1" t="str">
        <f t="shared" si="208"/>
        <v>كيلوگرم</v>
      </c>
      <c r="J786" s="1" t="str">
        <f t="shared" si="206"/>
        <v>0000000091</v>
      </c>
      <c r="K786" s="1" t="str">
        <f t="shared" si="207"/>
        <v>قير  PG64-22</v>
      </c>
      <c r="L786" s="1">
        <v>100</v>
      </c>
      <c r="M786" s="1" t="str">
        <f t="shared" si="211"/>
        <v>مخازن قير اصفهان</v>
      </c>
      <c r="N786" s="1">
        <v>8580</v>
      </c>
      <c r="O786" s="1">
        <v>50033491</v>
      </c>
      <c r="P786" s="1" t="str">
        <f>"  راهيدكو"</f>
        <v xml:space="preserve">  راهيدكو</v>
      </c>
      <c r="Q786" s="1">
        <v>16</v>
      </c>
      <c r="R786" s="1" t="str">
        <f>"فروش داخلي تهران - وزارت راه - معاونت اقتصاد"</f>
        <v>فروش داخلي تهران - وزارت راه - معاونت اقتصاد</v>
      </c>
      <c r="S786" s="1" t="str">
        <f t="shared" si="209"/>
        <v>قرارداد فروش</v>
      </c>
      <c r="T786" s="1" t="str">
        <f t="shared" si="210"/>
        <v>ندارد</v>
      </c>
      <c r="U786" s="1" t="str">
        <f>"قانعي محمدرضا(1011ج89)"</f>
        <v>قانعي محمدرضا(1011ج89)</v>
      </c>
      <c r="V786" s="1">
        <v>951600084</v>
      </c>
      <c r="W786" s="1">
        <v>951600084</v>
      </c>
      <c r="X786" s="1" t="str">
        <f>"1395460245"</f>
        <v>1395460245</v>
      </c>
      <c r="Y786" s="1" t="str">
        <f>"95/11/04"</f>
        <v>95/11/04</v>
      </c>
      <c r="Z786" s="1" t="str">
        <f>"53174/710"</f>
        <v>53174/710</v>
      </c>
      <c r="AA786" s="1" t="str">
        <f>"معاونت اقتصادوزارت راه وشهرسازي"</f>
        <v>معاونت اقتصادوزارت راه وشهرسازي</v>
      </c>
      <c r="AB786" s="1" t="str">
        <f>"95/10/26"</f>
        <v>95/10/26</v>
      </c>
      <c r="AC786" s="1" t="str">
        <f>"استان يزد"</f>
        <v>استان يزد</v>
      </c>
      <c r="AD786" s="1" t="str">
        <f>"95/11/04"</f>
        <v>95/11/04</v>
      </c>
      <c r="AE786" s="1" t="str">
        <f t="shared" si="212"/>
        <v>اختتام</v>
      </c>
      <c r="AF786" s="1" t="str">
        <f>""</f>
        <v/>
      </c>
      <c r="AG786" s="1" t="str">
        <f>""</f>
        <v/>
      </c>
      <c r="AH786" s="1" t="str">
        <f>""</f>
        <v/>
      </c>
      <c r="AI786" s="1" t="str">
        <f>""</f>
        <v/>
      </c>
      <c r="AJ786" s="1" t="str">
        <f>""</f>
        <v/>
      </c>
      <c r="AK786" s="1" t="str">
        <f>""</f>
        <v/>
      </c>
    </row>
    <row r="787" spans="1:37" x14ac:dyDescent="0.2">
      <c r="A787" s="1">
        <v>37960</v>
      </c>
      <c r="B787" s="1">
        <v>951900184</v>
      </c>
      <c r="C787" s="1" t="str">
        <f>"تخليه -خراسان جنوبي محوربيرجندخوسف كارخانه آسفالت قهستان"</f>
        <v>تخليه -خراسان جنوبي محوربيرجندخوسف كارخانه آسفالت قهستان</v>
      </c>
      <c r="D787" s="1">
        <v>8323</v>
      </c>
      <c r="E787" s="1">
        <v>37880</v>
      </c>
      <c r="F787" s="1">
        <v>95</v>
      </c>
      <c r="G787" s="1">
        <v>80</v>
      </c>
      <c r="H787" s="1" t="str">
        <f>"95/08/06"</f>
        <v>95/08/06</v>
      </c>
      <c r="I787" s="1" t="str">
        <f t="shared" si="208"/>
        <v>كيلوگرم</v>
      </c>
      <c r="J787" s="1" t="str">
        <f t="shared" si="206"/>
        <v>0000000091</v>
      </c>
      <c r="K787" s="1" t="str">
        <f t="shared" si="207"/>
        <v>قير  PG64-22</v>
      </c>
      <c r="L787" s="1">
        <v>100</v>
      </c>
      <c r="M787" s="1" t="str">
        <f t="shared" si="211"/>
        <v>مخازن قير اصفهان</v>
      </c>
      <c r="N787" s="1">
        <v>8702</v>
      </c>
      <c r="O787" s="1">
        <v>50032324</v>
      </c>
      <c r="P787" s="1" t="str">
        <f>"  سايه گستربيرجند"</f>
        <v xml:space="preserve">  سايه گستربيرجند</v>
      </c>
      <c r="Q787" s="1">
        <v>19</v>
      </c>
      <c r="R7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87" s="1" t="str">
        <f t="shared" si="209"/>
        <v>قرارداد فروش</v>
      </c>
      <c r="T787" s="1" t="str">
        <f t="shared" si="210"/>
        <v>ندارد</v>
      </c>
      <c r="U787" s="1" t="str">
        <f>"كاردان اسپادان راه مصطفي  (1911100)"</f>
        <v>كاردان اسپادان راه مصطفي  (1911100)</v>
      </c>
      <c r="V787" s="1">
        <v>951900184</v>
      </c>
      <c r="W787" s="1">
        <v>951900184</v>
      </c>
      <c r="X787" s="1" t="str">
        <f>"1395435597"</f>
        <v>1395435597</v>
      </c>
      <c r="Y787" s="1" t="str">
        <f>"95/08/06"</f>
        <v>95/08/06</v>
      </c>
      <c r="Z787" s="1" t="str">
        <f>"32936/510"</f>
        <v>32936/510</v>
      </c>
      <c r="AA787" s="1" t="str">
        <f>"سازمان راهداري وحمل نقل جاده اي"</f>
        <v>سازمان راهداري وحمل نقل جاده اي</v>
      </c>
      <c r="AB787" s="1" t="str">
        <f>"95/07/11"</f>
        <v>95/07/11</v>
      </c>
      <c r="AC787" s="1" t="str">
        <f>"خراسان جنوبي"</f>
        <v>خراسان جنوبي</v>
      </c>
      <c r="AD787" s="1" t="str">
        <f>"95/07/13"</f>
        <v>95/07/13</v>
      </c>
      <c r="AE787" s="1" t="str">
        <f t="shared" si="212"/>
        <v>اختتام</v>
      </c>
      <c r="AF787" s="1" t="str">
        <f>""</f>
        <v/>
      </c>
      <c r="AG787" s="1" t="str">
        <f>""</f>
        <v/>
      </c>
      <c r="AH787" s="1" t="str">
        <f>""</f>
        <v/>
      </c>
      <c r="AI787" s="1" t="str">
        <f>""</f>
        <v/>
      </c>
      <c r="AJ787" s="1" t="str">
        <f>""</f>
        <v/>
      </c>
      <c r="AK787" s="1" t="str">
        <f>""</f>
        <v/>
      </c>
    </row>
    <row r="788" spans="1:37" x14ac:dyDescent="0.2">
      <c r="A788" s="1">
        <v>390000</v>
      </c>
      <c r="B788" s="1">
        <v>951400179</v>
      </c>
      <c r="C788" s="1" t="str">
        <f>"تخليه چهارمحال بختياري شهركردكارخانه آسفالت شركت كاويان سازان كوهستان"</f>
        <v>تخليه چهارمحال بختياري شهركردكارخانه آسفالت شركت كاويان سازان كوهستان</v>
      </c>
      <c r="D788" s="1">
        <v>9354</v>
      </c>
      <c r="E788" s="1">
        <v>386760</v>
      </c>
      <c r="F788" s="1">
        <v>95</v>
      </c>
      <c r="G788" s="1">
        <v>3240</v>
      </c>
      <c r="H788" s="1" t="str">
        <f>"95/12/22"</f>
        <v>95/12/22</v>
      </c>
      <c r="I788" s="1" t="str">
        <f t="shared" si="208"/>
        <v>كيلوگرم</v>
      </c>
      <c r="J788" s="1" t="str">
        <f>"0000000088"</f>
        <v>0000000088</v>
      </c>
      <c r="K788" s="1" t="str">
        <f>"قير  PG58-22"</f>
        <v>قير  PG58-22</v>
      </c>
      <c r="L788" s="1">
        <v>100</v>
      </c>
      <c r="M788" s="1" t="str">
        <f t="shared" si="211"/>
        <v>مخازن قير اصفهان</v>
      </c>
      <c r="N788" s="1">
        <v>9777</v>
      </c>
      <c r="O788" s="1">
        <v>50034116</v>
      </c>
      <c r="P788" s="1" t="str">
        <f>"  كاويان سازان كوهستان"</f>
        <v xml:space="preserve">  كاويان سازان كوهستان</v>
      </c>
      <c r="Q788" s="1">
        <v>14</v>
      </c>
      <c r="R788" s="1" t="str">
        <f>"فروش داخلي - وزارت راه - حوزه راه روستايي ساخت"</f>
        <v>فروش داخلي - وزارت راه - حوزه راه روستايي ساخت</v>
      </c>
      <c r="S788" s="1" t="str">
        <f t="shared" si="209"/>
        <v>قرارداد فروش</v>
      </c>
      <c r="T788" s="1" t="str">
        <f t="shared" si="210"/>
        <v>ندارد</v>
      </c>
      <c r="U788" s="1" t="str">
        <f>"مظلوم فريبرز(1008ج89)"</f>
        <v>مظلوم فريبرز(1008ج89)</v>
      </c>
      <c r="V788" s="1">
        <v>951400179</v>
      </c>
      <c r="W788" s="1">
        <v>951400179</v>
      </c>
      <c r="X788" s="1" t="str">
        <f>"1395470437"</f>
        <v>1395470437</v>
      </c>
      <c r="Y788" s="1" t="str">
        <f>"95/12/22"</f>
        <v>95/12/22</v>
      </c>
      <c r="Z788" s="1" t="str">
        <f>"64612/710"</f>
        <v>64612/710</v>
      </c>
      <c r="AA788" s="1" t="str">
        <f>"راه وروستايي -ساخت"</f>
        <v>راه وروستايي -ساخت</v>
      </c>
      <c r="AB788" s="1" t="str">
        <f>"95/12/16"</f>
        <v>95/12/16</v>
      </c>
      <c r="AC788" s="1" t="str">
        <f>"استان چهارمحال بختياري"</f>
        <v>استان چهارمحال بختياري</v>
      </c>
      <c r="AD788" s="1" t="str">
        <f>"95/12/22"</f>
        <v>95/12/22</v>
      </c>
      <c r="AE788" s="1" t="str">
        <f t="shared" si="212"/>
        <v>اختتام</v>
      </c>
      <c r="AF788" s="1" t="str">
        <f>""</f>
        <v/>
      </c>
      <c r="AG788" s="1" t="str">
        <f>""</f>
        <v/>
      </c>
      <c r="AH788" s="1" t="str">
        <f>""</f>
        <v/>
      </c>
      <c r="AI788" s="1" t="str">
        <f>""</f>
        <v/>
      </c>
      <c r="AJ788" s="1" t="str">
        <f>""</f>
        <v/>
      </c>
      <c r="AK788" s="1" t="str">
        <f>""</f>
        <v/>
      </c>
    </row>
    <row r="789" spans="1:37" x14ac:dyDescent="0.2">
      <c r="A789" s="1">
        <v>310000</v>
      </c>
      <c r="B789" s="1">
        <v>951700353</v>
      </c>
      <c r="C789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789" s="1">
        <v>8348</v>
      </c>
      <c r="E789" s="1">
        <v>309300</v>
      </c>
      <c r="F789" s="1">
        <v>95</v>
      </c>
      <c r="G789" s="1">
        <v>700</v>
      </c>
      <c r="H789" s="1" t="str">
        <f>"95/12/22"</f>
        <v>95/12/22</v>
      </c>
      <c r="I789" s="1" t="str">
        <f t="shared" si="208"/>
        <v>كيلوگرم</v>
      </c>
      <c r="J789" s="1" t="str">
        <f>"0000000088"</f>
        <v>0000000088</v>
      </c>
      <c r="K789" s="1" t="str">
        <f>"قير  PG58-22"</f>
        <v>قير  PG58-22</v>
      </c>
      <c r="L789" s="1">
        <v>100</v>
      </c>
      <c r="M789" s="1" t="str">
        <f t="shared" si="211"/>
        <v>مخازن قير اصفهان</v>
      </c>
      <c r="N789" s="1">
        <v>9809</v>
      </c>
      <c r="O789" s="1">
        <v>50034112</v>
      </c>
      <c r="P789" s="1" t="str">
        <f>"  راه و ساختمان احمديه چليچه"</f>
        <v xml:space="preserve">  راه و ساختمان احمديه چليچه</v>
      </c>
      <c r="Q789" s="1">
        <v>17</v>
      </c>
      <c r="R789" s="1" t="str">
        <f>"فروش داخلي تهران - وزارت راه - راه روستايي - روکش"</f>
        <v>فروش داخلي تهران - وزارت راه - راه روستايي - روکش</v>
      </c>
      <c r="S789" s="1" t="str">
        <f t="shared" si="209"/>
        <v>قرارداد فروش</v>
      </c>
      <c r="T789" s="1" t="str">
        <f t="shared" si="210"/>
        <v>ندارد</v>
      </c>
      <c r="U789" s="1" t="str">
        <f>"مظلوم فريبرز(1008ج89)"</f>
        <v>مظلوم فريبرز(1008ج89)</v>
      </c>
      <c r="V789" s="1">
        <v>951700353</v>
      </c>
      <c r="W789" s="1">
        <v>951700353</v>
      </c>
      <c r="X789" s="1" t="str">
        <f>"1395470438"</f>
        <v>1395470438</v>
      </c>
      <c r="Y789" s="1" t="str">
        <f>"95/12/22"</f>
        <v>95/12/22</v>
      </c>
      <c r="Z789" s="1" t="str">
        <f>"64611/710"</f>
        <v>64611/710</v>
      </c>
      <c r="AA789" s="1" t="str">
        <f>"راه روستائي -روكش"</f>
        <v>راه روستائي -روكش</v>
      </c>
      <c r="AB789" s="1" t="str">
        <f>"95/12/16"</f>
        <v>95/12/16</v>
      </c>
      <c r="AC789" s="1" t="str">
        <f>"استان چهارمحال بختياري"</f>
        <v>استان چهارمحال بختياري</v>
      </c>
      <c r="AD789" s="1" t="str">
        <f>"95/12/22"</f>
        <v>95/12/22</v>
      </c>
      <c r="AE789" s="1" t="str">
        <f t="shared" si="212"/>
        <v>اختتام</v>
      </c>
      <c r="AF789" s="1" t="str">
        <f>""</f>
        <v/>
      </c>
      <c r="AG789" s="1" t="str">
        <f>""</f>
        <v/>
      </c>
      <c r="AH789" s="1" t="str">
        <f>""</f>
        <v/>
      </c>
      <c r="AI789" s="1" t="str">
        <f>""</f>
        <v/>
      </c>
      <c r="AJ789" s="1" t="str">
        <f>""</f>
        <v/>
      </c>
      <c r="AK789" s="1" t="str">
        <f>""</f>
        <v/>
      </c>
    </row>
    <row r="790" spans="1:37" x14ac:dyDescent="0.2">
      <c r="A790" s="1">
        <v>700000</v>
      </c>
      <c r="B790" s="1">
        <v>951000004</v>
      </c>
      <c r="C790" s="1" t="str">
        <f>"تخليه -اصفهان كارخانه قاميشلوشركت پايه ستون زاگرس"</f>
        <v>تخليه -اصفهان كارخانه قاميشلوشركت پايه ستون زاگرس</v>
      </c>
      <c r="D790" s="1">
        <v>6050</v>
      </c>
      <c r="E790" s="1">
        <v>697680</v>
      </c>
      <c r="F790" s="1">
        <v>95</v>
      </c>
      <c r="G790" s="1">
        <v>2320</v>
      </c>
      <c r="H790" s="1" t="str">
        <f>"95/03/19"</f>
        <v>95/03/19</v>
      </c>
      <c r="I790" s="1" t="str">
        <f t="shared" si="208"/>
        <v>كيلوگرم</v>
      </c>
      <c r="J790" s="1" t="str">
        <f>"0000000088"</f>
        <v>0000000088</v>
      </c>
      <c r="K790" s="1" t="str">
        <f>"قير  PG58-22"</f>
        <v>قير  PG58-22</v>
      </c>
      <c r="L790" s="1">
        <v>100</v>
      </c>
      <c r="M790" s="1" t="str">
        <f t="shared" si="211"/>
        <v>مخازن قير اصفهان</v>
      </c>
      <c r="N790" s="1">
        <v>9898</v>
      </c>
      <c r="O790" s="1">
        <v>50030984</v>
      </c>
      <c r="P790" s="1" t="str">
        <f>"  اداره كل نوسازي توسعه وتجهيز مدارس استان چهارمحال بختياري"</f>
        <v xml:space="preserve">  اداره كل نوسازي توسعه وتجهيز مدارس استان چهارمحال بختياري</v>
      </c>
      <c r="Q790" s="1">
        <v>10</v>
      </c>
      <c r="R790" s="1" t="str">
        <f>"فروش داخلي - وزارت راه - متفرقه"</f>
        <v>فروش داخلي - وزارت راه - متفرقه</v>
      </c>
      <c r="S790" s="1" t="str">
        <f t="shared" si="209"/>
        <v>قرارداد فروش</v>
      </c>
      <c r="T790" s="1" t="str">
        <f t="shared" si="210"/>
        <v>ندارد</v>
      </c>
      <c r="U790" s="1" t="str">
        <f>"قره باغي مجيد(1871065)"</f>
        <v>قره باغي مجيد(1871065)</v>
      </c>
      <c r="V790" s="1">
        <v>951000004</v>
      </c>
      <c r="W790" s="1">
        <v>951000004</v>
      </c>
      <c r="X790" s="1" t="str">
        <f>"1395408513"</f>
        <v>1395408513</v>
      </c>
      <c r="Y790" s="1" t="str">
        <f>"95/03/19"</f>
        <v>95/03/19</v>
      </c>
      <c r="Z790" s="1" t="str">
        <f>"69681/510"</f>
        <v>69681/510</v>
      </c>
      <c r="AA790" s="1" t="str">
        <f>"متفرقه"</f>
        <v>متفرقه</v>
      </c>
      <c r="AB790" s="1" t="str">
        <f>"94/12/19"</f>
        <v>94/12/19</v>
      </c>
      <c r="AC790" s="1" t="str">
        <f>"استان چهارمحال بختياري"</f>
        <v>استان چهارمحال بختياري</v>
      </c>
      <c r="AD790" s="1" t="str">
        <f>"95/03/19"</f>
        <v>95/03/19</v>
      </c>
      <c r="AE790" s="1" t="str">
        <f t="shared" si="212"/>
        <v>اختتام</v>
      </c>
      <c r="AF790" s="1" t="str">
        <f>""</f>
        <v/>
      </c>
      <c r="AG790" s="1" t="str">
        <f>""</f>
        <v/>
      </c>
      <c r="AH790" s="1" t="str">
        <f>""</f>
        <v/>
      </c>
      <c r="AI790" s="1" t="str">
        <f>""</f>
        <v/>
      </c>
      <c r="AJ790" s="1" t="str">
        <f>""</f>
        <v/>
      </c>
      <c r="AK790" s="1" t="str">
        <f>""</f>
        <v/>
      </c>
    </row>
    <row r="791" spans="1:37" x14ac:dyDescent="0.2">
      <c r="A791" s="1">
        <v>200000</v>
      </c>
      <c r="B791" s="1">
        <v>951900076</v>
      </c>
      <c r="C791" s="1" t="str">
        <f>"تخليه -اصفهان -شهرستان سميرم -شهرحناكيلومتر5جاده چشمه خوني -كارخانه آسفالت شرکت چشمه ساران خانميرزا"</f>
        <v>تخليه -اصفهان -شهرستان سميرم -شهرحناكيلومتر5جاده چشمه خوني -كارخانه آسفالت شرکت چشمه ساران خانميرزا</v>
      </c>
      <c r="D791" s="1">
        <v>6726</v>
      </c>
      <c r="E791" s="1">
        <v>179960</v>
      </c>
      <c r="F791" s="1">
        <v>95</v>
      </c>
      <c r="G791" s="1">
        <v>20040</v>
      </c>
      <c r="H791" s="1" t="str">
        <f>"95/05/05"</f>
        <v>95/05/05</v>
      </c>
      <c r="I791" s="1" t="str">
        <f t="shared" si="208"/>
        <v>كيلوگرم</v>
      </c>
      <c r="J791" s="1" t="str">
        <f>"0000000091"</f>
        <v>0000000091</v>
      </c>
      <c r="K791" s="1" t="str">
        <f>"قير  PG64-22"</f>
        <v>قير  PG64-22</v>
      </c>
      <c r="L791" s="1">
        <v>100</v>
      </c>
      <c r="M791" s="1" t="str">
        <f t="shared" si="211"/>
        <v>مخازن قير اصفهان</v>
      </c>
      <c r="N791" s="1">
        <v>10538</v>
      </c>
      <c r="O791" s="1">
        <v>50031364</v>
      </c>
      <c r="P791" s="1" t="str">
        <f>"  چشمه ساران خانميرزا"</f>
        <v xml:space="preserve">  چشمه ساران خانميرزا</v>
      </c>
      <c r="Q791" s="1">
        <v>19</v>
      </c>
      <c r="R7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91" s="1" t="str">
        <f t="shared" si="209"/>
        <v>قرارداد فروش</v>
      </c>
      <c r="T791" s="1" t="str">
        <f t="shared" si="210"/>
        <v>ندارد</v>
      </c>
      <c r="U791" s="1" t="str">
        <f>"شهبازي محمدرضا(1029ج89)"</f>
        <v>شهبازي محمدرضا(1029ج89)</v>
      </c>
      <c r="V791" s="1">
        <v>951900076</v>
      </c>
      <c r="W791" s="1">
        <v>951900076</v>
      </c>
      <c r="X791" s="1" t="str">
        <f>"1395418072"</f>
        <v>1395418072</v>
      </c>
      <c r="Y791" s="1" t="str">
        <f>"95/05/05"</f>
        <v>95/05/05</v>
      </c>
      <c r="Z791" s="1" t="str">
        <f>"17977/510"</f>
        <v>17977/510</v>
      </c>
      <c r="AA791" s="1" t="str">
        <f>"سازمان راهداري وحمل نقل جاده اي"</f>
        <v>سازمان راهداري وحمل نقل جاده اي</v>
      </c>
      <c r="AB791" s="1" t="str">
        <f>"95/04/26"</f>
        <v>95/04/26</v>
      </c>
      <c r="AC791" s="1" t="str">
        <f>"استان اصفهان"</f>
        <v>استان اصفهان</v>
      </c>
      <c r="AD791" s="1" t="str">
        <f>"95/05/05"</f>
        <v>95/05/05</v>
      </c>
      <c r="AE791" s="1" t="str">
        <f t="shared" si="212"/>
        <v>اختتام</v>
      </c>
      <c r="AF791" s="1" t="str">
        <f>""</f>
        <v/>
      </c>
      <c r="AG791" s="1" t="str">
        <f>""</f>
        <v/>
      </c>
      <c r="AH791" s="1" t="str">
        <f>""</f>
        <v/>
      </c>
      <c r="AI791" s="1" t="str">
        <f>""</f>
        <v/>
      </c>
      <c r="AJ791" s="1" t="str">
        <f>""</f>
        <v/>
      </c>
      <c r="AK791" s="1" t="str">
        <f>""</f>
        <v/>
      </c>
    </row>
    <row r="792" spans="1:37" x14ac:dyDescent="0.2">
      <c r="A792" s="1">
        <v>20040</v>
      </c>
      <c r="B792" s="1">
        <v>951900166</v>
      </c>
      <c r="C792" s="1" t="str">
        <f>"تخليه -اصفهان -شهرستان سميرم -شهرحناكيلومتر5جاده چشمه خوني -كارخانه آسفالت شرکت چشمه ساران خانميرزا"</f>
        <v>تخليه -اصفهان -شهرستان سميرم -شهرحناكيلومتر5جاده چشمه خوني -كارخانه آسفالت شرکت چشمه ساران خانميرزا</v>
      </c>
      <c r="D792" s="1">
        <v>8323</v>
      </c>
      <c r="E792" s="1">
        <v>20040</v>
      </c>
      <c r="F792" s="1">
        <v>95</v>
      </c>
      <c r="G792" s="1">
        <v>0</v>
      </c>
      <c r="H792" s="1" t="str">
        <f>"95/08/06"</f>
        <v>95/08/06</v>
      </c>
      <c r="I792" s="1" t="str">
        <f t="shared" si="208"/>
        <v>كيلوگرم</v>
      </c>
      <c r="J792" s="1" t="str">
        <f>"0000000091"</f>
        <v>0000000091</v>
      </c>
      <c r="K792" s="1" t="str">
        <f>"قير  PG64-22"</f>
        <v>قير  PG64-22</v>
      </c>
      <c r="L792" s="1">
        <v>100</v>
      </c>
      <c r="M792" s="1" t="str">
        <f t="shared" si="211"/>
        <v>مخازن قير اصفهان</v>
      </c>
      <c r="N792" s="1">
        <v>10538</v>
      </c>
      <c r="O792" s="1">
        <v>50032303</v>
      </c>
      <c r="P792" s="1" t="str">
        <f>"  چشمه ساران خانميرزا"</f>
        <v xml:space="preserve">  چشمه ساران خانميرزا</v>
      </c>
      <c r="Q792" s="1">
        <v>19</v>
      </c>
      <c r="R7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92" s="1" t="str">
        <f t="shared" si="209"/>
        <v>قرارداد فروش</v>
      </c>
      <c r="T792" s="1" t="str">
        <f t="shared" si="210"/>
        <v>ندارد</v>
      </c>
      <c r="U792" s="1" t="str">
        <f>"شهبازي محمدرضا(1029ج89)"</f>
        <v>شهبازي محمدرضا(1029ج89)</v>
      </c>
      <c r="V792" s="1">
        <v>951900166</v>
      </c>
      <c r="W792" s="1">
        <v>951900166</v>
      </c>
      <c r="X792" s="1" t="str">
        <f>"1395418072"</f>
        <v>1395418072</v>
      </c>
      <c r="Y792" s="1" t="str">
        <f>"95/08/06"</f>
        <v>95/08/06</v>
      </c>
      <c r="Z792" s="1" t="str">
        <f>"17977/520"</f>
        <v>17977/520</v>
      </c>
      <c r="AA792" s="1" t="str">
        <f>"سازمان راهداري وحمل نقل جاده اي"</f>
        <v>سازمان راهداري وحمل نقل جاده اي</v>
      </c>
      <c r="AB792" s="1" t="str">
        <f>"95/04/26"</f>
        <v>95/04/26</v>
      </c>
      <c r="AC792" s="1" t="str">
        <f>"استان اصفهان"</f>
        <v>استان اصفهان</v>
      </c>
      <c r="AD792" s="1" t="str">
        <f>"95/05/05"</f>
        <v>95/05/05</v>
      </c>
      <c r="AE792" s="1" t="str">
        <f t="shared" si="212"/>
        <v>اختتام</v>
      </c>
      <c r="AF792" s="1" t="str">
        <f>""</f>
        <v/>
      </c>
      <c r="AG792" s="1" t="str">
        <f>""</f>
        <v/>
      </c>
      <c r="AH792" s="1" t="str">
        <f>""</f>
        <v/>
      </c>
      <c r="AI792" s="1" t="str">
        <f>""</f>
        <v/>
      </c>
      <c r="AJ792" s="1" t="str">
        <f>""</f>
        <v/>
      </c>
      <c r="AK792" s="1" t="str">
        <f>""</f>
        <v/>
      </c>
    </row>
    <row r="793" spans="1:37" x14ac:dyDescent="0.2">
      <c r="A793" s="1">
        <v>101000</v>
      </c>
      <c r="B793" s="1">
        <v>951700233</v>
      </c>
      <c r="C793" s="1" t="str">
        <f>"تخليه خراسان جنوبي -بيرجندكارخانه فدشك"</f>
        <v>تخليه خراسان جنوبي -بيرجندكارخانه فدشك</v>
      </c>
      <c r="D793" s="1">
        <v>7276</v>
      </c>
      <c r="E793" s="1">
        <v>25140</v>
      </c>
      <c r="F793" s="1">
        <v>95</v>
      </c>
      <c r="G793" s="1">
        <v>75860</v>
      </c>
      <c r="H793" s="1" t="str">
        <f>"95/07/13"</f>
        <v>95/07/13</v>
      </c>
      <c r="I793" s="1" t="str">
        <f t="shared" si="208"/>
        <v>كيلوگرم</v>
      </c>
      <c r="J793" s="1" t="str">
        <f>"0000000091"</f>
        <v>0000000091</v>
      </c>
      <c r="K793" s="1" t="str">
        <f>"قير  PG64-22"</f>
        <v>قير  PG64-22</v>
      </c>
      <c r="L793" s="1">
        <v>100</v>
      </c>
      <c r="M793" s="1" t="str">
        <f t="shared" si="211"/>
        <v>مخازن قير اصفهان</v>
      </c>
      <c r="N793" s="1">
        <v>4012</v>
      </c>
      <c r="O793" s="1">
        <v>50032082</v>
      </c>
      <c r="P793" s="1" t="str">
        <f>"  اداره كل راه و شهرسازي خراسان جنوبي"</f>
        <v xml:space="preserve">  اداره كل راه و شهرسازي خراسان جنوبي</v>
      </c>
      <c r="Q793" s="1">
        <v>17</v>
      </c>
      <c r="R793" s="1" t="str">
        <f>"فروش داخلي تهران - وزارت راه - راه روستايي - روکش"</f>
        <v>فروش داخلي تهران - وزارت راه - راه روستايي - روکش</v>
      </c>
      <c r="S793" s="1" t="str">
        <f t="shared" si="209"/>
        <v>قرارداد فروش</v>
      </c>
      <c r="T793" s="1" t="str">
        <f t="shared" si="210"/>
        <v>ندارد</v>
      </c>
      <c r="U793" s="1" t="str">
        <f>"شهبازي محمدرضا(1029ج89)"</f>
        <v>شهبازي محمدرضا(1029ج89)</v>
      </c>
      <c r="V793" s="1">
        <v>951700233</v>
      </c>
      <c r="W793" s="1">
        <v>951700233</v>
      </c>
      <c r="X793" s="1" t="str">
        <f>"1395435599"</f>
        <v>1395435599</v>
      </c>
      <c r="Y793" s="1" t="str">
        <f>"95/07/13"</f>
        <v>95/07/13</v>
      </c>
      <c r="Z793" s="1" t="str">
        <f>"32933/510"</f>
        <v>32933/510</v>
      </c>
      <c r="AA793" s="1" t="str">
        <f>"راه روستائي -روكش"</f>
        <v>راه روستائي -روكش</v>
      </c>
      <c r="AB793" s="1" t="str">
        <f>"95/07/11"</f>
        <v>95/07/11</v>
      </c>
      <c r="AC793" s="1" t="str">
        <f>"خراسان جنوبي"</f>
        <v>خراسان جنوبي</v>
      </c>
      <c r="AD793" s="1" t="str">
        <f>"95/07/13"</f>
        <v>95/07/13</v>
      </c>
      <c r="AE793" s="1" t="str">
        <f t="shared" si="212"/>
        <v>اختتام</v>
      </c>
      <c r="AF793" s="1" t="str">
        <f>""</f>
        <v/>
      </c>
      <c r="AG793" s="1" t="str">
        <f>""</f>
        <v/>
      </c>
      <c r="AH793" s="1" t="str">
        <f>""</f>
        <v/>
      </c>
      <c r="AI793" s="1" t="str">
        <f>""</f>
        <v/>
      </c>
      <c r="AJ793" s="1" t="str">
        <f>""</f>
        <v/>
      </c>
      <c r="AK793" s="1" t="str">
        <f>""</f>
        <v/>
      </c>
    </row>
    <row r="794" spans="1:37" x14ac:dyDescent="0.2">
      <c r="A794" s="1">
        <v>39440</v>
      </c>
      <c r="B794" s="1">
        <v>951700273</v>
      </c>
      <c r="C794" s="1" t="str">
        <f>"تخليه- خراسان جنوبي-سرايان-کارخانه شهرداري سرايان"</f>
        <v>تخليه- خراسان جنوبي-سرايان-کارخانه شهرداري سرايان</v>
      </c>
      <c r="D794" s="1">
        <v>8323</v>
      </c>
      <c r="E794" s="1">
        <v>38480</v>
      </c>
      <c r="F794" s="1">
        <v>95</v>
      </c>
      <c r="G794" s="1">
        <v>960</v>
      </c>
      <c r="H794" s="1" t="str">
        <f>"95/08/09"</f>
        <v>95/08/09</v>
      </c>
      <c r="I794" s="1" t="str">
        <f t="shared" si="208"/>
        <v>كيلوگرم</v>
      </c>
      <c r="J794" s="1" t="str">
        <f>"0000000091"</f>
        <v>0000000091</v>
      </c>
      <c r="K794" s="1" t="str">
        <f>"قير  PG64-22"</f>
        <v>قير  PG64-22</v>
      </c>
      <c r="L794" s="1">
        <v>100</v>
      </c>
      <c r="M794" s="1" t="str">
        <f t="shared" si="211"/>
        <v>مخازن قير اصفهان</v>
      </c>
      <c r="N794" s="1">
        <v>4012</v>
      </c>
      <c r="O794" s="1">
        <v>50032406</v>
      </c>
      <c r="P794" s="1" t="str">
        <f>"  اداره كل راه و شهرسازي خراسان جنوبي"</f>
        <v xml:space="preserve">  اداره كل راه و شهرسازي خراسان جنوبي</v>
      </c>
      <c r="Q794" s="1">
        <v>17</v>
      </c>
      <c r="R794" s="1" t="str">
        <f>"فروش داخلي تهران - وزارت راه - راه روستايي - روکش"</f>
        <v>فروش داخلي تهران - وزارت راه - راه روستايي - روکش</v>
      </c>
      <c r="S794" s="1" t="str">
        <f t="shared" si="209"/>
        <v>قرارداد فروش</v>
      </c>
      <c r="T794" s="1" t="str">
        <f t="shared" si="210"/>
        <v>ندارد</v>
      </c>
      <c r="U794" s="1" t="str">
        <f>"كاردان اسپادان راه مصطفي  (1911100)"</f>
        <v>كاردان اسپادان راه مصطفي  (1911100)</v>
      </c>
      <c r="V794" s="1">
        <v>951700273</v>
      </c>
      <c r="W794" s="1">
        <v>951700273</v>
      </c>
      <c r="X794" s="1" t="str">
        <f>"1395433635"</f>
        <v>1395433635</v>
      </c>
      <c r="Y794" s="1" t="str">
        <f>"95/08/09"</f>
        <v>95/08/09</v>
      </c>
      <c r="Z794" s="1" t="str">
        <f>"30705/510"</f>
        <v>30705/510</v>
      </c>
      <c r="AA794" s="1" t="str">
        <f>"راه روستائي -روكش"</f>
        <v>راه روستائي -روكش</v>
      </c>
      <c r="AB794" s="1" t="str">
        <f>"95/06/28"</f>
        <v>95/06/28</v>
      </c>
      <c r="AC794" s="1" t="str">
        <f>"خراسان جنوبي"</f>
        <v>خراسان جنوبي</v>
      </c>
      <c r="AD794" s="1" t="str">
        <f>"95/07/04"</f>
        <v>95/07/04</v>
      </c>
      <c r="AE794" s="1" t="str">
        <f t="shared" si="212"/>
        <v>اختتام</v>
      </c>
      <c r="AF794" s="1" t="str">
        <f>""</f>
        <v/>
      </c>
      <c r="AG794" s="1" t="str">
        <f>""</f>
        <v/>
      </c>
      <c r="AH794" s="1" t="str">
        <f>""</f>
        <v/>
      </c>
      <c r="AI794" s="1" t="str">
        <f>""</f>
        <v/>
      </c>
      <c r="AJ794" s="1" t="str">
        <f>""</f>
        <v/>
      </c>
      <c r="AK794" s="1" t="str">
        <f>""</f>
        <v/>
      </c>
    </row>
    <row r="795" spans="1:37" x14ac:dyDescent="0.2">
      <c r="A795" s="1">
        <v>200000</v>
      </c>
      <c r="B795" s="1">
        <v>951400116</v>
      </c>
      <c r="C795" s="1" t="str">
        <f>"تخليه -خراسان جنوبي -بيرجند-كارخانه آسفالت شماره 2"</f>
        <v>تخليه -خراسان جنوبي -بيرجند-كارخانه آسفالت شماره 2</v>
      </c>
      <c r="D795" s="1">
        <v>9061</v>
      </c>
      <c r="E795" s="1">
        <v>44200</v>
      </c>
      <c r="F795" s="1">
        <v>95</v>
      </c>
      <c r="G795" s="1">
        <v>155800</v>
      </c>
      <c r="H795" s="1" t="str">
        <f>"95/10/13"</f>
        <v>95/10/13</v>
      </c>
      <c r="I795" s="1" t="str">
        <f t="shared" si="208"/>
        <v>كيلوگرم</v>
      </c>
      <c r="J795" s="1" t="str">
        <f>"0000000091"</f>
        <v>0000000091</v>
      </c>
      <c r="K795" s="1" t="str">
        <f>"قير  PG64-22"</f>
        <v>قير  PG64-22</v>
      </c>
      <c r="L795" s="1">
        <v>100</v>
      </c>
      <c r="M795" s="1" t="str">
        <f t="shared" si="211"/>
        <v>مخازن قير اصفهان</v>
      </c>
      <c r="N795" s="1">
        <v>4012</v>
      </c>
      <c r="O795" s="1">
        <v>50033272</v>
      </c>
      <c r="P795" s="1" t="str">
        <f>"  اداره كل راه و شهرسازي خراسان جنوبي"</f>
        <v xml:space="preserve">  اداره كل راه و شهرسازي خراسان جنوبي</v>
      </c>
      <c r="Q795" s="1">
        <v>14</v>
      </c>
      <c r="R795" s="1" t="str">
        <f>"فروش داخلي - وزارت راه - حوزه راه روستايي ساخت"</f>
        <v>فروش داخلي - وزارت راه - حوزه راه روستايي ساخت</v>
      </c>
      <c r="S795" s="1" t="str">
        <f t="shared" si="209"/>
        <v>قرارداد فروش</v>
      </c>
      <c r="T795" s="1" t="str">
        <f t="shared" si="210"/>
        <v>ندارد</v>
      </c>
      <c r="U795" s="1" t="str">
        <f>"بابامحمدي عنايت اله(4844000)"</f>
        <v>بابامحمدي عنايت اله(4844000)</v>
      </c>
      <c r="V795" s="1">
        <v>951400116</v>
      </c>
      <c r="W795" s="1">
        <v>951400116</v>
      </c>
      <c r="X795" s="1" t="str">
        <f>"1395456363"</f>
        <v>1395456363</v>
      </c>
      <c r="Y795" s="1" t="str">
        <f>"95/10/13"</f>
        <v>95/10/13</v>
      </c>
      <c r="Z795" s="1" t="str">
        <f>"49490/710"</f>
        <v>49490/710</v>
      </c>
      <c r="AA795" s="1" t="str">
        <f>"راه وروستايي -ساخت"</f>
        <v>راه وروستايي -ساخت</v>
      </c>
      <c r="AB795" s="1" t="str">
        <f>"95/10/08"</f>
        <v>95/10/08</v>
      </c>
      <c r="AC795" s="1" t="str">
        <f>"خراسان جنوبي"</f>
        <v>خراسان جنوبي</v>
      </c>
      <c r="AD795" s="1" t="str">
        <f>"95/10/13"</f>
        <v>95/10/13</v>
      </c>
      <c r="AE795" s="1" t="str">
        <f t="shared" si="212"/>
        <v>اختتام</v>
      </c>
      <c r="AF795" s="1" t="str">
        <f>""</f>
        <v/>
      </c>
      <c r="AG795" s="1" t="str">
        <f>""</f>
        <v/>
      </c>
      <c r="AH795" s="1" t="str">
        <f>""</f>
        <v/>
      </c>
      <c r="AI795" s="1" t="str">
        <f>""</f>
        <v/>
      </c>
      <c r="AJ795" s="1" t="str">
        <f>""</f>
        <v/>
      </c>
      <c r="AK795" s="1" t="str">
        <f>""</f>
        <v/>
      </c>
    </row>
    <row r="796" spans="1:37" x14ac:dyDescent="0.2">
      <c r="A796" s="1">
        <v>100000</v>
      </c>
      <c r="B796" s="1">
        <v>951700317</v>
      </c>
      <c r="C796" s="1" t="str">
        <f>"تخليه كردستان كيلومتر12جاده سقزديواندره كارخانه شهرداري سقز"</f>
        <v>تخليه كردستان كيلومتر12جاده سقزديواندره كارخانه شهرداري سقز</v>
      </c>
      <c r="D796" s="1">
        <v>9068</v>
      </c>
      <c r="E796" s="1">
        <v>94040</v>
      </c>
      <c r="F796" s="1">
        <v>95</v>
      </c>
      <c r="G796" s="1">
        <v>5960</v>
      </c>
      <c r="H796" s="1" t="str">
        <f>"95/11/04"</f>
        <v>95/11/04</v>
      </c>
      <c r="I796" s="1" t="str">
        <f t="shared" si="208"/>
        <v>كيلوگرم</v>
      </c>
      <c r="J796" s="1" t="str">
        <f>"0000000088"</f>
        <v>0000000088</v>
      </c>
      <c r="K796" s="1" t="str">
        <f>"قير  PG58-22"</f>
        <v>قير  PG58-22</v>
      </c>
      <c r="L796" s="1">
        <v>100</v>
      </c>
      <c r="M796" s="1" t="str">
        <f t="shared" si="211"/>
        <v>مخازن قير اصفهان</v>
      </c>
      <c r="N796" s="1">
        <v>10406</v>
      </c>
      <c r="O796" s="1">
        <v>50033496</v>
      </c>
      <c r="P796" s="1" t="str">
        <f>"  اداره كل راه وشهرسازي كردستان"</f>
        <v xml:space="preserve">  اداره كل راه وشهرسازي كردستان</v>
      </c>
      <c r="Q796" s="1">
        <v>17</v>
      </c>
      <c r="R796" s="1" t="str">
        <f>"فروش داخلي تهران - وزارت راه - راه روستايي - روکش"</f>
        <v>فروش داخلي تهران - وزارت راه - راه روستايي - روکش</v>
      </c>
      <c r="S796" s="1" t="str">
        <f t="shared" si="209"/>
        <v>قرارداد فروش</v>
      </c>
      <c r="T796" s="1" t="str">
        <f t="shared" si="210"/>
        <v>ندارد</v>
      </c>
      <c r="U796" s="1" t="str">
        <f>"فتاح زاده سيداحمد(3843011)"</f>
        <v>فتاح زاده سيداحمد(3843011)</v>
      </c>
      <c r="V796" s="1">
        <v>951700317</v>
      </c>
      <c r="W796" s="1">
        <v>951700317</v>
      </c>
      <c r="X796" s="1" t="str">
        <f>"1395460251"</f>
        <v>1395460251</v>
      </c>
      <c r="Y796" s="1" t="str">
        <f>"95/11/04"</f>
        <v>95/11/04</v>
      </c>
      <c r="Z796" s="1" t="str">
        <f>"53930/710"</f>
        <v>53930/710</v>
      </c>
      <c r="AA796" s="1" t="str">
        <f>"راه روستائي -روكش"</f>
        <v>راه روستائي -روكش</v>
      </c>
      <c r="AB796" s="1" t="str">
        <f>"95/11/02"</f>
        <v>95/11/02</v>
      </c>
      <c r="AC796" s="1" t="str">
        <f>"استان كردستان"</f>
        <v>استان كردستان</v>
      </c>
      <c r="AD796" s="1" t="str">
        <f>"95/11/04"</f>
        <v>95/11/04</v>
      </c>
      <c r="AE796" s="1" t="str">
        <f t="shared" si="212"/>
        <v>اختتام</v>
      </c>
      <c r="AF796" s="1" t="str">
        <f>""</f>
        <v/>
      </c>
      <c r="AG796" s="1" t="str">
        <f>""</f>
        <v/>
      </c>
      <c r="AH796" s="1" t="str">
        <f>""</f>
        <v/>
      </c>
      <c r="AI796" s="1" t="str">
        <f>""</f>
        <v/>
      </c>
      <c r="AJ796" s="1" t="str">
        <f>""</f>
        <v/>
      </c>
      <c r="AK796" s="1" t="str">
        <f>""</f>
        <v/>
      </c>
    </row>
    <row r="797" spans="1:37" x14ac:dyDescent="0.2">
      <c r="A797" s="1">
        <v>300000</v>
      </c>
      <c r="B797" s="1">
        <v>951800052</v>
      </c>
      <c r="C797" s="1" t="str">
        <f>"تخليه كردستان كيلومتر25محورسنندج ديواندره گردنه ماموخ كارخانه آبيدركردستان"</f>
        <v>تخليه كردستان كيلومتر25محورسنندج ديواندره گردنه ماموخ كارخانه آبيدركردستان</v>
      </c>
      <c r="D797" s="1">
        <v>7176</v>
      </c>
      <c r="E797" s="1">
        <v>299580</v>
      </c>
      <c r="F797" s="1">
        <v>95</v>
      </c>
      <c r="G797" s="1">
        <v>420</v>
      </c>
      <c r="H797" s="1" t="str">
        <f>"95/06/03"</f>
        <v>95/06/03</v>
      </c>
      <c r="I797" s="1" t="str">
        <f t="shared" si="208"/>
        <v>كيلوگرم</v>
      </c>
      <c r="J797" s="1" t="str">
        <f>"0000000088"</f>
        <v>0000000088</v>
      </c>
      <c r="K797" s="1" t="str">
        <f>"قير  PG58-22"</f>
        <v>قير  PG58-22</v>
      </c>
      <c r="L797" s="1">
        <v>100</v>
      </c>
      <c r="M797" s="1" t="str">
        <f t="shared" si="211"/>
        <v>مخازن قير اصفهان</v>
      </c>
      <c r="N797" s="1">
        <v>10598</v>
      </c>
      <c r="O797" s="1">
        <v>50031615</v>
      </c>
      <c r="P797" s="1" t="str">
        <f>"  شهرراه كردستان"</f>
        <v xml:space="preserve">  شهرراه كردستان</v>
      </c>
      <c r="Q797" s="1">
        <v>18</v>
      </c>
      <c r="R797" s="1" t="str">
        <f>"فروش داخلي تهران - وزارت راه - شرکت ساخت و توسعه راهها"</f>
        <v>فروش داخلي تهران - وزارت راه - شرکت ساخت و توسعه راهها</v>
      </c>
      <c r="S797" s="1" t="str">
        <f t="shared" si="209"/>
        <v>قرارداد فروش</v>
      </c>
      <c r="T797" s="1" t="str">
        <f t="shared" si="210"/>
        <v>ندارد</v>
      </c>
      <c r="U797" s="1" t="str">
        <f>"ميهن دوست عبداله(2842010)"</f>
        <v>ميهن دوست عبداله(2842010)</v>
      </c>
      <c r="V797" s="1">
        <v>951800052</v>
      </c>
      <c r="W797" s="1">
        <v>951800052</v>
      </c>
      <c r="X797" s="1" t="str">
        <f>"1395426745"</f>
        <v>1395426745</v>
      </c>
      <c r="Y797" s="1" t="str">
        <f>"95/06/03"</f>
        <v>95/06/03</v>
      </c>
      <c r="Z797" s="1" t="str">
        <f>"24045/510"</f>
        <v>24045/510</v>
      </c>
      <c r="AA797" s="1" t="str">
        <f>"شركت  ساخت وتوسعه راهها"</f>
        <v>شركت  ساخت وتوسعه راهها</v>
      </c>
      <c r="AB797" s="1" t="str">
        <f>"95/05/26"</f>
        <v>95/05/26</v>
      </c>
      <c r="AC797" s="1" t="str">
        <f>"استان كردستان"</f>
        <v>استان كردستان</v>
      </c>
      <c r="AD797" s="1" t="str">
        <f>"95/06/03"</f>
        <v>95/06/03</v>
      </c>
      <c r="AE797" s="1" t="str">
        <f t="shared" si="212"/>
        <v>اختتام</v>
      </c>
      <c r="AF797" s="1" t="str">
        <f>""</f>
        <v/>
      </c>
      <c r="AG797" s="1" t="str">
        <f>""</f>
        <v/>
      </c>
      <c r="AH797" s="1" t="str">
        <f>""</f>
        <v/>
      </c>
      <c r="AI797" s="1" t="str">
        <f>""</f>
        <v/>
      </c>
      <c r="AJ797" s="1" t="str">
        <f>""</f>
        <v/>
      </c>
      <c r="AK797" s="1" t="str">
        <f>""</f>
        <v/>
      </c>
    </row>
    <row r="798" spans="1:37" x14ac:dyDescent="0.2">
      <c r="A798" s="1">
        <v>74900</v>
      </c>
      <c r="B798" s="1">
        <v>951400127</v>
      </c>
      <c r="C798" s="1" t="str">
        <f>"تخليه بهسازي وآسفالت راه روستايي ميانه واقه درسنندج كارخانه آسفالت نيل گسترغرب"</f>
        <v>تخليه بهسازي وآسفالت راه روستايي ميانه واقه درسنندج كارخانه آسفالت نيل گسترغرب</v>
      </c>
      <c r="D798" s="1">
        <v>9511</v>
      </c>
      <c r="E798" s="1">
        <v>72220</v>
      </c>
      <c r="F798" s="1">
        <v>95</v>
      </c>
      <c r="G798" s="1">
        <v>2680</v>
      </c>
      <c r="H798" s="1" t="str">
        <f>"95/11/03"</f>
        <v>95/11/03</v>
      </c>
      <c r="I798" s="1" t="str">
        <f t="shared" si="208"/>
        <v>كيلوگرم</v>
      </c>
      <c r="J798" s="1" t="str">
        <f>"0000000091"</f>
        <v>0000000091</v>
      </c>
      <c r="K798" s="1" t="str">
        <f>"قير  PG64-22"</f>
        <v>قير  PG64-22</v>
      </c>
      <c r="L798" s="1">
        <v>100</v>
      </c>
      <c r="M798" s="1" t="str">
        <f t="shared" si="211"/>
        <v>مخازن قير اصفهان</v>
      </c>
      <c r="N798" s="1">
        <v>8871</v>
      </c>
      <c r="O798" s="1">
        <v>50033471</v>
      </c>
      <c r="P798" s="1" t="str">
        <f>"  مريوان سازه"</f>
        <v xml:space="preserve">  مريوان سازه</v>
      </c>
      <c r="Q798" s="1">
        <v>14</v>
      </c>
      <c r="R798" s="1" t="str">
        <f>"فروش داخلي - وزارت راه - حوزه راه روستايي ساخت"</f>
        <v>فروش داخلي - وزارت راه - حوزه راه روستايي ساخت</v>
      </c>
      <c r="S798" s="1" t="str">
        <f t="shared" si="209"/>
        <v>قرارداد فروش</v>
      </c>
      <c r="T798" s="1" t="str">
        <f t="shared" si="210"/>
        <v>ندارد</v>
      </c>
      <c r="U798" s="1" t="str">
        <f>"حاجيلوئي علي اصغر(2842019)"</f>
        <v>حاجيلوئي علي اصغر(2842019)</v>
      </c>
      <c r="V798" s="1">
        <v>951400127</v>
      </c>
      <c r="W798" s="1">
        <v>951400127</v>
      </c>
      <c r="X798" s="1" t="str">
        <f>"1395454461"</f>
        <v>1395454461</v>
      </c>
      <c r="Y798" s="1" t="str">
        <f>"95/11/03"</f>
        <v>95/11/03</v>
      </c>
      <c r="Z798" s="1" t="str">
        <f>"45405/710"</f>
        <v>45405/710</v>
      </c>
      <c r="AA798" s="1" t="str">
        <f>"راه وروستايي -ساخت"</f>
        <v>راه وروستايي -ساخت</v>
      </c>
      <c r="AB798" s="1" t="str">
        <f>"95/09/20"</f>
        <v>95/09/20</v>
      </c>
      <c r="AC798" s="1" t="str">
        <f>"استان كردستان"</f>
        <v>استان كردستان</v>
      </c>
      <c r="AD798" s="1" t="str">
        <f>"95/10/05"</f>
        <v>95/10/05</v>
      </c>
      <c r="AE798" s="1" t="str">
        <f t="shared" si="212"/>
        <v>اختتام</v>
      </c>
      <c r="AF798" s="1" t="str">
        <f>""</f>
        <v/>
      </c>
      <c r="AG798" s="1" t="str">
        <f>""</f>
        <v/>
      </c>
      <c r="AH798" s="1" t="str">
        <f>""</f>
        <v/>
      </c>
      <c r="AI798" s="1" t="str">
        <f>""</f>
        <v/>
      </c>
      <c r="AJ798" s="1" t="str">
        <f>""</f>
        <v/>
      </c>
      <c r="AK798" s="1" t="str">
        <f>""</f>
        <v/>
      </c>
    </row>
    <row r="799" spans="1:37" x14ac:dyDescent="0.2">
      <c r="A799" s="1">
        <v>500000</v>
      </c>
      <c r="B799" s="1">
        <v>951100052</v>
      </c>
      <c r="C799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799" s="1">
        <v>5650</v>
      </c>
      <c r="E799" s="1">
        <v>500000</v>
      </c>
      <c r="F799" s="1">
        <v>95</v>
      </c>
      <c r="G799" s="1">
        <v>0</v>
      </c>
      <c r="H799" s="1" t="str">
        <f>"95/02/29"</f>
        <v>95/02/29</v>
      </c>
      <c r="I799" s="1" t="str">
        <f t="shared" si="208"/>
        <v>كيلوگرم</v>
      </c>
      <c r="J799" s="1" t="str">
        <f>"0000000091"</f>
        <v>0000000091</v>
      </c>
      <c r="K799" s="1" t="str">
        <f>"قير  PG64-22"</f>
        <v>قير  PG64-22</v>
      </c>
      <c r="L799" s="1">
        <v>100</v>
      </c>
      <c r="M799" s="1" t="str">
        <f t="shared" si="211"/>
        <v>مخازن قير اصفهان</v>
      </c>
      <c r="N799" s="1">
        <v>9143</v>
      </c>
      <c r="O799" s="1">
        <v>50030864</v>
      </c>
      <c r="P799" s="1" t="str">
        <f>"  بتن پيكر زاگرس"</f>
        <v xml:space="preserve">  بتن پيكر زاگرس</v>
      </c>
      <c r="Q799" s="1">
        <v>11</v>
      </c>
      <c r="R799" s="1" t="str">
        <f>"فروش داخلي تهران - بورس"</f>
        <v>فروش داخلي تهران - بورس</v>
      </c>
      <c r="S799" s="1" t="str">
        <f t="shared" si="209"/>
        <v>قرارداد فروش</v>
      </c>
      <c r="T799" s="1" t="str">
        <f t="shared" si="210"/>
        <v>ندارد</v>
      </c>
      <c r="U799" s="1" t="str">
        <f>"افراسيابي كيومرث(2842031)"</f>
        <v>افراسيابي كيومرث(2842031)</v>
      </c>
      <c r="V799" s="1">
        <v>951100052</v>
      </c>
      <c r="W799" s="1">
        <v>951100052</v>
      </c>
      <c r="X799" s="1" t="str">
        <f>"1395404433"</f>
        <v>1395404433</v>
      </c>
      <c r="Y799" s="1" t="str">
        <f>"95/02/28"</f>
        <v>95/02/28</v>
      </c>
      <c r="Z799" s="1" t="str">
        <f>"248"</f>
        <v>248</v>
      </c>
      <c r="AA799" s="1" t="str">
        <f>"وزارت راه و ترابري-استانها"</f>
        <v>وزارت راه و ترابري-استانها</v>
      </c>
      <c r="AB799" s="1" t="str">
        <f>"95/02/25"</f>
        <v>95/02/25</v>
      </c>
      <c r="AC799" s="1" t="str">
        <f>"استان كرمانشاه"</f>
        <v>استان كرمانشاه</v>
      </c>
      <c r="AD799" s="1" t="str">
        <f>"95/02/27"</f>
        <v>95/02/27</v>
      </c>
      <c r="AE799" s="1" t="str">
        <f>"تاييدشده"</f>
        <v>تاييدشده</v>
      </c>
      <c r="AF799" s="1" t="str">
        <f>""</f>
        <v/>
      </c>
      <c r="AG799" s="1" t="str">
        <f>""</f>
        <v/>
      </c>
      <c r="AH799" s="1" t="str">
        <f>""</f>
        <v/>
      </c>
      <c r="AI799" s="1" t="str">
        <f>""</f>
        <v/>
      </c>
      <c r="AJ799" s="1" t="str">
        <f>""</f>
        <v/>
      </c>
      <c r="AK799" s="1" t="str">
        <f>""</f>
        <v/>
      </c>
    </row>
    <row r="800" spans="1:37" x14ac:dyDescent="0.2">
      <c r="A800" s="1">
        <v>114000</v>
      </c>
      <c r="B800" s="1">
        <v>951400094</v>
      </c>
      <c r="C800" s="1" t="str">
        <f>"تخليه اردستان شهرستان سقزكيلومتر10جاده بوكان روبروي تقاطع روستاي آخكندكارخانه آسفالت ماردين گستر"</f>
        <v>تخليه اردستان شهرستان سقزكيلومتر10جاده بوكان روبروي تقاطع روستاي آخكندكارخانه آسفالت ماردين گستر</v>
      </c>
      <c r="D800" s="1">
        <v>7276</v>
      </c>
      <c r="E800" s="1">
        <v>113380</v>
      </c>
      <c r="F800" s="1">
        <v>95</v>
      </c>
      <c r="G800" s="1">
        <v>620</v>
      </c>
      <c r="H800" s="1" t="str">
        <f>"95/09/16"</f>
        <v>95/09/16</v>
      </c>
      <c r="I800" s="1" t="str">
        <f t="shared" si="208"/>
        <v>كيلوگرم</v>
      </c>
      <c r="J800" s="1" t="str">
        <f>"0000000088"</f>
        <v>0000000088</v>
      </c>
      <c r="K800" s="1" t="str">
        <f>"قير  PG58-22"</f>
        <v>قير  PG58-22</v>
      </c>
      <c r="L800" s="1">
        <v>100</v>
      </c>
      <c r="M800" s="1" t="str">
        <f t="shared" si="211"/>
        <v>مخازن قير اصفهان</v>
      </c>
      <c r="N800" s="1">
        <v>10606</v>
      </c>
      <c r="O800" s="1">
        <v>50032878</v>
      </c>
      <c r="P800" s="1" t="str">
        <f>"  شاهو پي سنندج"</f>
        <v xml:space="preserve">  شاهو پي سنندج</v>
      </c>
      <c r="Q800" s="1">
        <v>14</v>
      </c>
      <c r="R800" s="1" t="str">
        <f>"فروش داخلي - وزارت راه - حوزه راه روستايي ساخت"</f>
        <v>فروش داخلي - وزارت راه - حوزه راه روستايي ساخت</v>
      </c>
      <c r="S800" s="1" t="str">
        <f t="shared" si="209"/>
        <v>قرارداد فروش</v>
      </c>
      <c r="T800" s="1" t="str">
        <f t="shared" si="210"/>
        <v>ندارد</v>
      </c>
      <c r="U800" s="1" t="str">
        <f>"ميهن دوست عبداله(2842010)"</f>
        <v>ميهن دوست عبداله(2842010)</v>
      </c>
      <c r="V800" s="1">
        <v>951400094</v>
      </c>
      <c r="W800" s="1">
        <v>951400094</v>
      </c>
      <c r="X800" s="1" t="str">
        <f>"1395449863"</f>
        <v>1395449863</v>
      </c>
      <c r="Y800" s="1" t="str">
        <f>"95/09/16"</f>
        <v>95/09/16</v>
      </c>
      <c r="Z800" s="1" t="str">
        <f>"44543/710"</f>
        <v>44543/710</v>
      </c>
      <c r="AA800" s="1" t="str">
        <f>"راه وروستايي -ساخت"</f>
        <v>راه وروستايي -ساخت</v>
      </c>
      <c r="AB800" s="1" t="str">
        <f>"95/09/14"</f>
        <v>95/09/14</v>
      </c>
      <c r="AC800" s="1" t="str">
        <f>"استان كردستان"</f>
        <v>استان كردستان</v>
      </c>
      <c r="AD800" s="1" t="str">
        <f>"95/09/16"</f>
        <v>95/09/16</v>
      </c>
      <c r="AE800" s="1" t="str">
        <f t="shared" ref="AE800:AE831" si="213">"اختتام"</f>
        <v>اختتام</v>
      </c>
      <c r="AF800" s="1" t="str">
        <f>""</f>
        <v/>
      </c>
      <c r="AG800" s="1" t="str">
        <f>""</f>
        <v/>
      </c>
      <c r="AH800" s="1" t="str">
        <f>""</f>
        <v/>
      </c>
      <c r="AI800" s="1" t="str">
        <f>""</f>
        <v/>
      </c>
      <c r="AJ800" s="1" t="str">
        <f>""</f>
        <v/>
      </c>
      <c r="AK800" s="1" t="str">
        <f>""</f>
        <v/>
      </c>
    </row>
    <row r="801" spans="1:37" x14ac:dyDescent="0.2">
      <c r="A801" s="1">
        <v>500000</v>
      </c>
      <c r="B801" s="1">
        <v>951800070</v>
      </c>
      <c r="C801" s="1" t="str">
        <f>"تخليه چهارمحال وبختياري -سفيددشت كارگاه بهارديمه"</f>
        <v>تخليه چهارمحال وبختياري -سفيددشت كارگاه بهارديمه</v>
      </c>
      <c r="D801" s="1">
        <v>7176</v>
      </c>
      <c r="E801" s="1">
        <v>80200</v>
      </c>
      <c r="F801" s="1">
        <v>95</v>
      </c>
      <c r="G801" s="1">
        <v>419800</v>
      </c>
      <c r="H801" s="1" t="str">
        <f>"95/06/24"</f>
        <v>95/06/24</v>
      </c>
      <c r="I801" s="1" t="str">
        <f t="shared" si="208"/>
        <v>كيلوگرم</v>
      </c>
      <c r="J801" s="1" t="str">
        <f>"0000000088"</f>
        <v>0000000088</v>
      </c>
      <c r="K801" s="1" t="str">
        <f>"قير  PG58-22"</f>
        <v>قير  PG58-22</v>
      </c>
      <c r="L801" s="1">
        <v>100</v>
      </c>
      <c r="M801" s="1" t="str">
        <f t="shared" si="211"/>
        <v>مخازن قير اصفهان</v>
      </c>
      <c r="N801" s="1">
        <v>11110</v>
      </c>
      <c r="O801" s="1">
        <v>50031868</v>
      </c>
      <c r="P801" s="1" t="str">
        <f>"  بهارديمه"</f>
        <v xml:space="preserve">  بهارديمه</v>
      </c>
      <c r="Q801" s="1">
        <v>18</v>
      </c>
      <c r="R801" s="1" t="str">
        <f>"فروش داخلي تهران - وزارت راه - شرکت ساخت و توسعه راهها"</f>
        <v>فروش داخلي تهران - وزارت راه - شرکت ساخت و توسعه راهها</v>
      </c>
      <c r="S801" s="1" t="str">
        <f t="shared" si="209"/>
        <v>قرارداد فروش</v>
      </c>
      <c r="T801" s="1" t="str">
        <f t="shared" si="210"/>
        <v>ندارد</v>
      </c>
      <c r="U801" s="1" t="str">
        <f>"غلام نجفي سيامك‌‌‌‌‌‌(1881082)"</f>
        <v>غلام نجفي سيامك‌‌‌‌‌‌(1881082)</v>
      </c>
      <c r="V801" s="1">
        <v>951800070</v>
      </c>
      <c r="W801" s="1">
        <v>951800070</v>
      </c>
      <c r="X801" s="1" t="str">
        <f>"1395431913"</f>
        <v>1395431913</v>
      </c>
      <c r="Y801" s="1" t="str">
        <f>"95/06/24"</f>
        <v>95/06/24</v>
      </c>
      <c r="Z801" s="1" t="str">
        <f>"28207/510"</f>
        <v>28207/510</v>
      </c>
      <c r="AA801" s="1" t="str">
        <f>"شركت  ساخت وتوسعه راهها"</f>
        <v>شركت  ساخت وتوسعه راهها</v>
      </c>
      <c r="AB801" s="1" t="str">
        <f>"95/06/14"</f>
        <v>95/06/14</v>
      </c>
      <c r="AC801" s="1" t="str">
        <f>"استان چهارمحال بختياري"</f>
        <v>استان چهارمحال بختياري</v>
      </c>
      <c r="AD801" s="1" t="str">
        <f>"95/06/24"</f>
        <v>95/06/24</v>
      </c>
      <c r="AE801" s="1" t="str">
        <f t="shared" si="213"/>
        <v>اختتام</v>
      </c>
      <c r="AF801" s="1" t="str">
        <f>""</f>
        <v/>
      </c>
      <c r="AG801" s="1" t="str">
        <f>""</f>
        <v/>
      </c>
      <c r="AH801" s="1" t="str">
        <f>""</f>
        <v/>
      </c>
      <c r="AI801" s="1" t="str">
        <f>""</f>
        <v/>
      </c>
      <c r="AJ801" s="1" t="str">
        <f>""</f>
        <v/>
      </c>
      <c r="AK801" s="1" t="str">
        <f>""</f>
        <v/>
      </c>
    </row>
    <row r="802" spans="1:37" x14ac:dyDescent="0.2">
      <c r="A802" s="1">
        <v>165000</v>
      </c>
      <c r="B802" s="1">
        <v>951400103</v>
      </c>
      <c r="C802" s="1" t="str">
        <f>"تخليه -كردستان سقزكيلومتر12جاده بوكان روبروي تقاطع روستاي آخكندكارخانه شركت ماردين گستر"</f>
        <v>تخليه -كردستان سقزكيلومتر12جاده بوكان روبروي تقاطع روستاي آخكندكارخانه شركت ماردين گستر</v>
      </c>
      <c r="D802" s="1">
        <v>9061</v>
      </c>
      <c r="E802" s="1">
        <v>164800</v>
      </c>
      <c r="F802" s="1">
        <v>95</v>
      </c>
      <c r="G802" s="1">
        <v>200</v>
      </c>
      <c r="H802" s="1" t="str">
        <f>"95/10/06"</f>
        <v>95/10/06</v>
      </c>
      <c r="I802" s="1" t="str">
        <f t="shared" si="208"/>
        <v>كيلوگرم</v>
      </c>
      <c r="J802" s="1" t="str">
        <f>"0000000088"</f>
        <v>0000000088</v>
      </c>
      <c r="K802" s="1" t="str">
        <f>"قير  PG58-22"</f>
        <v>قير  PG58-22</v>
      </c>
      <c r="L802" s="1">
        <v>100</v>
      </c>
      <c r="M802" s="1" t="str">
        <f t="shared" si="211"/>
        <v>مخازن قير اصفهان</v>
      </c>
      <c r="N802" s="1">
        <v>11129</v>
      </c>
      <c r="O802" s="1">
        <v>50033173</v>
      </c>
      <c r="P802" s="1" t="str">
        <f>"  پلورراه آبيدر"</f>
        <v xml:space="preserve">  پلورراه آبيدر</v>
      </c>
      <c r="Q802" s="1">
        <v>14</v>
      </c>
      <c r="R802" s="1" t="str">
        <f>"فروش داخلي - وزارت راه - حوزه راه روستايي ساخت"</f>
        <v>فروش داخلي - وزارت راه - حوزه راه روستايي ساخت</v>
      </c>
      <c r="S802" s="1" t="str">
        <f t="shared" si="209"/>
        <v>قرارداد فروش</v>
      </c>
      <c r="T802" s="1" t="str">
        <f t="shared" si="210"/>
        <v>ندارد</v>
      </c>
      <c r="U802" s="1" t="str">
        <f>"ميهن دوست عبداله(2842010)"</f>
        <v>ميهن دوست عبداله(2842010)</v>
      </c>
      <c r="V802" s="1">
        <v>951400103</v>
      </c>
      <c r="W802" s="1">
        <v>951400103</v>
      </c>
      <c r="X802" s="1" t="str">
        <f>"1395454455"</f>
        <v>1395454455</v>
      </c>
      <c r="Y802" s="1" t="str">
        <f>"95/10/06"</f>
        <v>95/10/06</v>
      </c>
      <c r="Z802" s="1" t="str">
        <f>"45403/710"</f>
        <v>45403/710</v>
      </c>
      <c r="AA802" s="1" t="str">
        <f>"راه وروستايي -ساخت"</f>
        <v>راه وروستايي -ساخت</v>
      </c>
      <c r="AB802" s="1" t="str">
        <f>"95/09/20"</f>
        <v>95/09/20</v>
      </c>
      <c r="AC802" s="1" t="str">
        <f>"استان كردستان"</f>
        <v>استان كردستان</v>
      </c>
      <c r="AD802" s="1" t="str">
        <f>"95/10/05"</f>
        <v>95/10/05</v>
      </c>
      <c r="AE802" s="1" t="str">
        <f t="shared" si="213"/>
        <v>اختتام</v>
      </c>
      <c r="AF802" s="1" t="str">
        <f>""</f>
        <v/>
      </c>
      <c r="AG802" s="1" t="str">
        <f>""</f>
        <v/>
      </c>
      <c r="AH802" s="1" t="str">
        <f>""</f>
        <v/>
      </c>
      <c r="AI802" s="1" t="str">
        <f>""</f>
        <v/>
      </c>
      <c r="AJ802" s="1" t="str">
        <f>""</f>
        <v/>
      </c>
      <c r="AK802" s="1" t="str">
        <f>""</f>
        <v/>
      </c>
    </row>
    <row r="803" spans="1:37" x14ac:dyDescent="0.2">
      <c r="A803" s="1">
        <v>500000</v>
      </c>
      <c r="B803" s="1">
        <v>951900069</v>
      </c>
      <c r="C803" s="1" t="str">
        <f>"تخليه -خراسان جنوبي قاين كيلومتر25قاين گنابادكارخانه آسفالت دنابنيان"</f>
        <v>تخليه -خراسان جنوبي قاين كيلومتر25قاين گنابادكارخانه آسفالت دنابنيان</v>
      </c>
      <c r="D803" s="1">
        <v>6726</v>
      </c>
      <c r="E803" s="1">
        <v>498820</v>
      </c>
      <c r="F803" s="1">
        <v>95</v>
      </c>
      <c r="G803" s="1">
        <v>1180</v>
      </c>
      <c r="H803" s="1" t="str">
        <f>"95/05/05"</f>
        <v>95/05/05</v>
      </c>
      <c r="I803" s="1" t="str">
        <f t="shared" si="208"/>
        <v>كيلوگرم</v>
      </c>
      <c r="J803" s="1" t="str">
        <f t="shared" ref="J803:J809" si="214">"0000000091"</f>
        <v>0000000091</v>
      </c>
      <c r="K803" s="1" t="str">
        <f t="shared" ref="K803:K809" si="215">"قير  PG64-22"</f>
        <v>قير  PG64-22</v>
      </c>
      <c r="L803" s="1">
        <v>100</v>
      </c>
      <c r="M803" s="1" t="str">
        <f t="shared" si="211"/>
        <v>مخازن قير اصفهان</v>
      </c>
      <c r="N803" s="1">
        <v>11053</v>
      </c>
      <c r="O803" s="1">
        <v>50031353</v>
      </c>
      <c r="P803" s="1" t="str">
        <f>"  آوارادين شرق"</f>
        <v xml:space="preserve">  آوارادين شرق</v>
      </c>
      <c r="Q803" s="1">
        <v>19</v>
      </c>
      <c r="R80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03" s="1" t="str">
        <f t="shared" si="209"/>
        <v>قرارداد فروش</v>
      </c>
      <c r="T803" s="1" t="str">
        <f t="shared" si="210"/>
        <v>ندارد</v>
      </c>
      <c r="U803" s="1" t="str">
        <f>"كاردان اسپادان راه مصطفي  (1911100)"</f>
        <v>كاردان اسپادان راه مصطفي  (1911100)</v>
      </c>
      <c r="V803" s="1">
        <v>951900069</v>
      </c>
      <c r="W803" s="1">
        <v>951900069</v>
      </c>
      <c r="X803" s="1" t="str">
        <f>"1395418089"</f>
        <v>1395418089</v>
      </c>
      <c r="Y803" s="1" t="str">
        <f>"95/05/05"</f>
        <v>95/05/05</v>
      </c>
      <c r="Z803" s="1" t="str">
        <f>"19103/510"</f>
        <v>19103/510</v>
      </c>
      <c r="AA803" s="1" t="str">
        <f>"سازمان راهداري وحمل نقل جاده اي"</f>
        <v>سازمان راهداري وحمل نقل جاده اي</v>
      </c>
      <c r="AB803" s="1" t="str">
        <f>"95/05/02"</f>
        <v>95/05/02</v>
      </c>
      <c r="AC803" s="1" t="str">
        <f>"خراسان جنوبي"</f>
        <v>خراسان جنوبي</v>
      </c>
      <c r="AD803" s="1" t="str">
        <f>"95/05/05"</f>
        <v>95/05/05</v>
      </c>
      <c r="AE803" s="1" t="str">
        <f t="shared" si="213"/>
        <v>اختتام</v>
      </c>
      <c r="AF803" s="1" t="str">
        <f>""</f>
        <v/>
      </c>
      <c r="AG803" s="1" t="str">
        <f>""</f>
        <v/>
      </c>
      <c r="AH803" s="1" t="str">
        <f>""</f>
        <v/>
      </c>
      <c r="AI803" s="1" t="str">
        <f>""</f>
        <v/>
      </c>
      <c r="AJ803" s="1" t="str">
        <f>""</f>
        <v/>
      </c>
      <c r="AK803" s="1" t="str">
        <f>""</f>
        <v/>
      </c>
    </row>
    <row r="804" spans="1:37" x14ac:dyDescent="0.2">
      <c r="A804" s="1">
        <v>150000</v>
      </c>
      <c r="B804" s="1">
        <v>951900100</v>
      </c>
      <c r="C804" s="1" t="str">
        <f>"تخليه -محورحسن آباد-جرقويه -ثمين راه صفاهان"</f>
        <v>تخليه -محورحسن آباد-جرقويه -ثمين راه صفاهان</v>
      </c>
      <c r="D804" s="1">
        <v>6726</v>
      </c>
      <c r="E804" s="1">
        <v>150000</v>
      </c>
      <c r="F804" s="1">
        <v>95</v>
      </c>
      <c r="G804" s="1">
        <v>0</v>
      </c>
      <c r="H804" s="1" t="str">
        <f>"95/05/18"</f>
        <v>95/05/18</v>
      </c>
      <c r="I804" s="1" t="str">
        <f t="shared" si="208"/>
        <v>كيلوگرم</v>
      </c>
      <c r="J804" s="1" t="str">
        <f t="shared" si="214"/>
        <v>0000000091</v>
      </c>
      <c r="K804" s="1" t="str">
        <f t="shared" si="215"/>
        <v>قير  PG64-22</v>
      </c>
      <c r="L804" s="1">
        <v>100</v>
      </c>
      <c r="M804" s="1" t="str">
        <f t="shared" si="211"/>
        <v>مخازن قير اصفهان</v>
      </c>
      <c r="N804" s="1">
        <v>9345</v>
      </c>
      <c r="O804" s="1">
        <v>50031461</v>
      </c>
      <c r="P804" s="1" t="str">
        <f>"  ثمين راه صفاهان"</f>
        <v xml:space="preserve">  ثمين راه صفاهان</v>
      </c>
      <c r="Q804" s="1">
        <v>19</v>
      </c>
      <c r="R8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04" s="1" t="str">
        <f t="shared" si="209"/>
        <v>قرارداد فروش</v>
      </c>
      <c r="T804" s="1" t="str">
        <f t="shared" si="210"/>
        <v>ندارد</v>
      </c>
      <c r="U804" s="1" t="str">
        <f>"شهبازي محمدرضا(1029ج89)"</f>
        <v>شهبازي محمدرضا(1029ج89)</v>
      </c>
      <c r="V804" s="1">
        <v>951900100</v>
      </c>
      <c r="W804" s="1">
        <v>951900100</v>
      </c>
      <c r="X804" s="1" t="str">
        <f>"1395421144"</f>
        <v>1395421144</v>
      </c>
      <c r="Y804" s="1" t="str">
        <f>"95/05/18"</f>
        <v>95/05/18</v>
      </c>
      <c r="Z804" s="1" t="str">
        <f>"20017/510"</f>
        <v>20017/510</v>
      </c>
      <c r="AA804" s="1" t="str">
        <f>"سازمان راهداري وحمل نقل جاده اي"</f>
        <v>سازمان راهداري وحمل نقل جاده اي</v>
      </c>
      <c r="AB804" s="1" t="str">
        <f>"95/05/05"</f>
        <v>95/05/05</v>
      </c>
      <c r="AC804" s="1" t="str">
        <f>"استان اصفهان"</f>
        <v>استان اصفهان</v>
      </c>
      <c r="AD804" s="1" t="str">
        <f>"95/05/13"</f>
        <v>95/05/13</v>
      </c>
      <c r="AE804" s="1" t="str">
        <f t="shared" si="213"/>
        <v>اختتام</v>
      </c>
      <c r="AF804" s="1" t="str">
        <f>""</f>
        <v/>
      </c>
      <c r="AG804" s="1" t="str">
        <f>""</f>
        <v/>
      </c>
      <c r="AH804" s="1" t="str">
        <f>""</f>
        <v/>
      </c>
      <c r="AI804" s="1" t="str">
        <f>""</f>
        <v/>
      </c>
      <c r="AJ804" s="1" t="str">
        <f>""</f>
        <v/>
      </c>
      <c r="AK804" s="1" t="str">
        <f>""</f>
        <v/>
      </c>
    </row>
    <row r="805" spans="1:37" x14ac:dyDescent="0.2">
      <c r="A805" s="1">
        <v>31720</v>
      </c>
      <c r="B805" s="1">
        <v>951700250</v>
      </c>
      <c r="C805" s="1" t="str">
        <f>"تخليه - کيلومتر 30جاده سيرجان-بافت کارخانه آسفالت سيرجان بتن راه"</f>
        <v>تخليه - کيلومتر 30جاده سيرجان-بافت کارخانه آسفالت سيرجان بتن راه</v>
      </c>
      <c r="D805" s="1">
        <v>8323</v>
      </c>
      <c r="E805" s="1">
        <v>29500</v>
      </c>
      <c r="F805" s="1">
        <v>95</v>
      </c>
      <c r="G805" s="1">
        <v>2220</v>
      </c>
      <c r="H805" s="1" t="str">
        <f>"95/08/06"</f>
        <v>95/08/06</v>
      </c>
      <c r="I805" s="1" t="str">
        <f t="shared" si="208"/>
        <v>كيلوگرم</v>
      </c>
      <c r="J805" s="1" t="str">
        <f t="shared" si="214"/>
        <v>0000000091</v>
      </c>
      <c r="K805" s="1" t="str">
        <f t="shared" si="215"/>
        <v>قير  PG64-22</v>
      </c>
      <c r="L805" s="1">
        <v>100</v>
      </c>
      <c r="M805" s="1" t="str">
        <f t="shared" si="211"/>
        <v>مخازن قير اصفهان</v>
      </c>
      <c r="N805" s="1">
        <v>9528</v>
      </c>
      <c r="O805" s="1">
        <v>50032300</v>
      </c>
      <c r="P805" s="1" t="str">
        <f>"  سيرجان بتن راه"</f>
        <v xml:space="preserve">  سيرجان بتن راه</v>
      </c>
      <c r="Q805" s="1">
        <v>17</v>
      </c>
      <c r="R805" s="1" t="str">
        <f>"فروش داخلي تهران - وزارت راه - راه روستايي - روکش"</f>
        <v>فروش داخلي تهران - وزارت راه - راه روستايي - روکش</v>
      </c>
      <c r="S805" s="1" t="str">
        <f t="shared" si="209"/>
        <v>قرارداد فروش</v>
      </c>
      <c r="T805" s="1" t="str">
        <f t="shared" si="210"/>
        <v>ندارد</v>
      </c>
      <c r="U805" s="1" t="str">
        <f>"خضرائي فريدون(4844003)"</f>
        <v>خضرائي فريدون(4844003)</v>
      </c>
      <c r="V805" s="1">
        <v>951700250</v>
      </c>
      <c r="W805" s="1">
        <v>951700250</v>
      </c>
      <c r="X805" s="1" t="str">
        <f>"1395419176"</f>
        <v>1395419176</v>
      </c>
      <c r="Y805" s="1" t="str">
        <f>"95/08/06"</f>
        <v>95/08/06</v>
      </c>
      <c r="Z805" s="1" t="str">
        <f>"19456/510"</f>
        <v>19456/510</v>
      </c>
      <c r="AA805" s="1" t="str">
        <f>"راه روستائي -روكش"</f>
        <v>راه روستائي -روكش</v>
      </c>
      <c r="AB805" s="1" t="str">
        <f>"95/05/03"</f>
        <v>95/05/03</v>
      </c>
      <c r="AC805" s="1" t="str">
        <f>"استان كرمان"</f>
        <v>استان كرمان</v>
      </c>
      <c r="AD805" s="1" t="str">
        <f>"95/05/06"</f>
        <v>95/05/06</v>
      </c>
      <c r="AE805" s="1" t="str">
        <f t="shared" si="213"/>
        <v>اختتام</v>
      </c>
      <c r="AF805" s="1" t="str">
        <f>""</f>
        <v/>
      </c>
      <c r="AG805" s="1" t="str">
        <f>""</f>
        <v/>
      </c>
      <c r="AH805" s="1" t="str">
        <f>""</f>
        <v/>
      </c>
      <c r="AI805" s="1" t="str">
        <f>""</f>
        <v/>
      </c>
      <c r="AJ805" s="1" t="str">
        <f>""</f>
        <v/>
      </c>
      <c r="AK805" s="1" t="str">
        <f>""</f>
        <v/>
      </c>
    </row>
    <row r="806" spans="1:37" x14ac:dyDescent="0.2">
      <c r="A806" s="1">
        <v>250000</v>
      </c>
      <c r="B806" s="1">
        <v>951900101</v>
      </c>
      <c r="C806" s="1" t="str">
        <f>"تخليه-الشتر-کيلومتر6جاده خرگوش تاب-کارخانه آسفالت 3157 کيامهر"</f>
        <v>تخليه-الشتر-کيلومتر6جاده خرگوش تاب-کارخانه آسفالت 3157 کيامهر</v>
      </c>
      <c r="D806" s="1">
        <v>6726</v>
      </c>
      <c r="E806" s="1">
        <v>248760</v>
      </c>
      <c r="F806" s="1">
        <v>95</v>
      </c>
      <c r="G806" s="1">
        <v>1240</v>
      </c>
      <c r="H806" s="1" t="str">
        <f>"95/05/18"</f>
        <v>95/05/18</v>
      </c>
      <c r="I806" s="1" t="str">
        <f t="shared" si="208"/>
        <v>كيلوگرم</v>
      </c>
      <c r="J806" s="1" t="str">
        <f t="shared" si="214"/>
        <v>0000000091</v>
      </c>
      <c r="K806" s="1" t="str">
        <f t="shared" si="215"/>
        <v>قير  PG64-22</v>
      </c>
      <c r="L806" s="1">
        <v>100</v>
      </c>
      <c r="M806" s="1" t="str">
        <f t="shared" si="211"/>
        <v>مخازن قير اصفهان</v>
      </c>
      <c r="N806" s="1">
        <v>11148</v>
      </c>
      <c r="O806" s="1">
        <v>50031462</v>
      </c>
      <c r="P806" s="1" t="str">
        <f>"  شن و ماسه دانه بندي سلسله"</f>
        <v xml:space="preserve">  شن و ماسه دانه بندي سلسله</v>
      </c>
      <c r="Q806" s="1">
        <v>19</v>
      </c>
      <c r="R80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06" s="1" t="str">
        <f t="shared" si="209"/>
        <v>قرارداد فروش</v>
      </c>
      <c r="T806" s="1" t="str">
        <f t="shared" si="210"/>
        <v>ندارد</v>
      </c>
      <c r="U806" s="1" t="str">
        <f>"رضائي كلهر حسن (1901099)"</f>
        <v>رضائي كلهر حسن (1901099)</v>
      </c>
      <c r="V806" s="1">
        <v>951900101</v>
      </c>
      <c r="W806" s="1">
        <v>951900101</v>
      </c>
      <c r="X806" s="1" t="str">
        <f>"1395421524"</f>
        <v>1395421524</v>
      </c>
      <c r="Y806" s="1" t="str">
        <f>"95/05/18"</f>
        <v>95/05/18</v>
      </c>
      <c r="Z806" s="1" t="str">
        <f>"20870/510"</f>
        <v>20870/510</v>
      </c>
      <c r="AA806" s="1" t="str">
        <f>"سازمان راهداري وحمل نقل جاده اي"</f>
        <v>سازمان راهداري وحمل نقل جاده اي</v>
      </c>
      <c r="AB806" s="1" t="str">
        <f>"95/05/11"</f>
        <v>95/05/11</v>
      </c>
      <c r="AC806" s="1" t="str">
        <f>"لرستان"</f>
        <v>لرستان</v>
      </c>
      <c r="AD806" s="1" t="str">
        <f>"95/05/16"</f>
        <v>95/05/16</v>
      </c>
      <c r="AE806" s="1" t="str">
        <f t="shared" si="213"/>
        <v>اختتام</v>
      </c>
      <c r="AF806" s="1" t="str">
        <f>""</f>
        <v/>
      </c>
      <c r="AG806" s="1" t="str">
        <f>""</f>
        <v/>
      </c>
      <c r="AH806" s="1" t="str">
        <f>""</f>
        <v/>
      </c>
      <c r="AI806" s="1" t="str">
        <f>""</f>
        <v/>
      </c>
      <c r="AJ806" s="1" t="str">
        <f>""</f>
        <v/>
      </c>
      <c r="AK806" s="1" t="str">
        <f>""</f>
        <v/>
      </c>
    </row>
    <row r="807" spans="1:37" x14ac:dyDescent="0.2">
      <c r="A807" s="1">
        <v>3000000</v>
      </c>
      <c r="B807" s="1">
        <v>951800136</v>
      </c>
      <c r="C807" s="1" t="str">
        <f>"تخليه - تهران -کارخانه آسفالت قطعه 4 کنارگذر جنوبي تهران"</f>
        <v>تخليه - تهران -کارخانه آسفالت قطعه 4 کنارگذر جنوبي تهران</v>
      </c>
      <c r="D807" s="1">
        <v>8998</v>
      </c>
      <c r="E807" s="1">
        <v>2990720</v>
      </c>
      <c r="F807" s="1">
        <v>95</v>
      </c>
      <c r="G807" s="1">
        <v>9280</v>
      </c>
      <c r="H807" s="1" t="str">
        <f>"95/11/16"</f>
        <v>95/11/16</v>
      </c>
      <c r="I807" s="1" t="str">
        <f t="shared" si="208"/>
        <v>كيلوگرم</v>
      </c>
      <c r="J807" s="1" t="str">
        <f t="shared" si="214"/>
        <v>0000000091</v>
      </c>
      <c r="K807" s="1" t="str">
        <f t="shared" si="215"/>
        <v>قير  PG64-22</v>
      </c>
      <c r="L807" s="1">
        <v>100</v>
      </c>
      <c r="M807" s="1" t="str">
        <f t="shared" si="211"/>
        <v>مخازن قير اصفهان</v>
      </c>
      <c r="N807" s="1">
        <v>11164</v>
      </c>
      <c r="O807" s="1">
        <v>50033591</v>
      </c>
      <c r="P807" s="1" t="str">
        <f>"  قرارگاه سازندگي خاتم الانبياء(ص )"</f>
        <v xml:space="preserve">  قرارگاه سازندگي خاتم الانبياء(ص )</v>
      </c>
      <c r="Q807" s="1">
        <v>18</v>
      </c>
      <c r="R807" s="1" t="str">
        <f>"فروش داخلي تهران - وزارت راه - شرکت ساخت و توسعه راهها"</f>
        <v>فروش داخلي تهران - وزارت راه - شرکت ساخت و توسعه راهها</v>
      </c>
      <c r="S807" s="1" t="str">
        <f t="shared" si="209"/>
        <v>قرارداد فروش</v>
      </c>
      <c r="T807" s="1" t="str">
        <f t="shared" si="210"/>
        <v>ندارد</v>
      </c>
      <c r="U807" s="1" t="str">
        <f>"شيشه بر كريم(1841016)"</f>
        <v>شيشه بر كريم(1841016)</v>
      </c>
      <c r="V807" s="1">
        <v>951800136</v>
      </c>
      <c r="W807" s="1">
        <v>951800136</v>
      </c>
      <c r="X807" s="1" t="str">
        <f>"1395462686"</f>
        <v>1395462686</v>
      </c>
      <c r="Y807" s="1" t="str">
        <f>"95/11/16"</f>
        <v>95/11/16</v>
      </c>
      <c r="Z807" s="1" t="str">
        <f>"56083/710"</f>
        <v>56083/710</v>
      </c>
      <c r="AA807" s="1" t="str">
        <f>"شركت  ساخت وتوسعه راهها"</f>
        <v>شركت  ساخت وتوسعه راهها</v>
      </c>
      <c r="AB807" s="1" t="str">
        <f>"95/11/11"</f>
        <v>95/11/11</v>
      </c>
      <c r="AC807" s="1" t="str">
        <f>"استان تهران"</f>
        <v>استان تهران</v>
      </c>
      <c r="AD807" s="1" t="str">
        <f>"95/11/13"</f>
        <v>95/11/13</v>
      </c>
      <c r="AE807" s="1" t="str">
        <f t="shared" si="213"/>
        <v>اختتام</v>
      </c>
      <c r="AF807" s="1" t="str">
        <f>""</f>
        <v/>
      </c>
      <c r="AG807" s="1" t="str">
        <f>""</f>
        <v/>
      </c>
      <c r="AH807" s="1" t="str">
        <f>""</f>
        <v/>
      </c>
      <c r="AI807" s="1" t="str">
        <f>""</f>
        <v/>
      </c>
      <c r="AJ807" s="1" t="str">
        <f>""</f>
        <v/>
      </c>
      <c r="AK807" s="1" t="str">
        <f>""</f>
        <v/>
      </c>
    </row>
    <row r="808" spans="1:37" x14ac:dyDescent="0.2">
      <c r="A808" s="1">
        <v>200000</v>
      </c>
      <c r="B808" s="1">
        <v>951400067</v>
      </c>
      <c r="C808" s="1" t="str">
        <f>"تخليه - اصفهان-کيلومتر 26 جاده شهرضا-آباده-شرکت فاز دشت جم"</f>
        <v>تخليه - اصفهان-کيلومتر 26 جاده شهرضا-آباده-شرکت فاز دشت جم</v>
      </c>
      <c r="D808" s="1">
        <v>7176</v>
      </c>
      <c r="E808" s="1">
        <v>198100</v>
      </c>
      <c r="F808" s="1">
        <v>95</v>
      </c>
      <c r="G808" s="1">
        <v>1900</v>
      </c>
      <c r="H808" s="1" t="str">
        <f>"95/06/13"</f>
        <v>95/06/13</v>
      </c>
      <c r="I808" s="1" t="str">
        <f t="shared" si="208"/>
        <v>كيلوگرم</v>
      </c>
      <c r="J808" s="1" t="str">
        <f t="shared" si="214"/>
        <v>0000000091</v>
      </c>
      <c r="K808" s="1" t="str">
        <f t="shared" si="215"/>
        <v>قير  PG64-22</v>
      </c>
      <c r="L808" s="1">
        <v>100</v>
      </c>
      <c r="M808" s="1" t="str">
        <f t="shared" si="211"/>
        <v>مخازن قير اصفهان</v>
      </c>
      <c r="N808" s="1">
        <v>11169</v>
      </c>
      <c r="O808" s="1">
        <v>50031753</v>
      </c>
      <c r="P808" s="1" t="str">
        <f>"  فاز دشت جم"</f>
        <v xml:space="preserve">  فاز دشت جم</v>
      </c>
      <c r="Q808" s="1">
        <v>14</v>
      </c>
      <c r="R808" s="1" t="str">
        <f>"فروش داخلي - وزارت راه - حوزه راه روستايي ساخت"</f>
        <v>فروش داخلي - وزارت راه - حوزه راه روستايي ساخت</v>
      </c>
      <c r="S808" s="1" t="str">
        <f t="shared" si="209"/>
        <v>قرارداد فروش</v>
      </c>
      <c r="T808" s="1" t="str">
        <f t="shared" si="210"/>
        <v>ندارد</v>
      </c>
      <c r="U808" s="1" t="str">
        <f>"علي عابدي ابوالقاسم(1003ج89)"</f>
        <v>علي عابدي ابوالقاسم(1003ج89)</v>
      </c>
      <c r="V808" s="1">
        <v>951400067</v>
      </c>
      <c r="W808" s="1">
        <v>951400067</v>
      </c>
      <c r="X808" s="1" t="str">
        <f>"1395428495"</f>
        <v>1395428495</v>
      </c>
      <c r="Y808" s="1" t="str">
        <f>"95/06/13"</f>
        <v>95/06/13</v>
      </c>
      <c r="Z808" s="1" t="str">
        <f>"26264/510"</f>
        <v>26264/510</v>
      </c>
      <c r="AA808" s="1" t="str">
        <f>"شركت  ساخت وتوسعه راهها"</f>
        <v>شركت  ساخت وتوسعه راهها</v>
      </c>
      <c r="AB808" s="1" t="str">
        <f>"95/06/07"</f>
        <v>95/06/07</v>
      </c>
      <c r="AC808" s="1" t="str">
        <f>"استان اصفهان"</f>
        <v>استان اصفهان</v>
      </c>
      <c r="AD808" s="1" t="str">
        <f>"95/06/10"</f>
        <v>95/06/10</v>
      </c>
      <c r="AE808" s="1" t="str">
        <f t="shared" si="213"/>
        <v>اختتام</v>
      </c>
      <c r="AF808" s="1" t="str">
        <f>""</f>
        <v/>
      </c>
      <c r="AG808" s="1" t="str">
        <f>""</f>
        <v/>
      </c>
      <c r="AH808" s="1" t="str">
        <f>""</f>
        <v/>
      </c>
      <c r="AI808" s="1" t="str">
        <f>""</f>
        <v/>
      </c>
      <c r="AJ808" s="1" t="str">
        <f>""</f>
        <v/>
      </c>
      <c r="AK808" s="1" t="str">
        <f>""</f>
        <v/>
      </c>
    </row>
    <row r="809" spans="1:37" x14ac:dyDescent="0.2">
      <c r="A809" s="1">
        <v>500000</v>
      </c>
      <c r="B809" s="1">
        <v>951900280</v>
      </c>
      <c r="C809" s="1" t="str">
        <f>"تخليه-يزد-کارخانه آسفالت سازمان همياري شهرداريهاي استان يزد"</f>
        <v>تخليه-يزد-کارخانه آسفالت سازمان همياري شهرداريهاي استان يزد</v>
      </c>
      <c r="D809" s="1">
        <v>9354</v>
      </c>
      <c r="E809" s="1">
        <v>499640</v>
      </c>
      <c r="F809" s="1">
        <v>95</v>
      </c>
      <c r="G809" s="1">
        <v>360</v>
      </c>
      <c r="H809" s="1" t="str">
        <f>"95/12/14"</f>
        <v>95/12/14</v>
      </c>
      <c r="I809" s="1" t="str">
        <f t="shared" si="208"/>
        <v>كيلوگرم</v>
      </c>
      <c r="J809" s="1" t="str">
        <f t="shared" si="214"/>
        <v>0000000091</v>
      </c>
      <c r="K809" s="1" t="str">
        <f t="shared" si="215"/>
        <v>قير  PG64-22</v>
      </c>
      <c r="L809" s="1">
        <v>100</v>
      </c>
      <c r="M809" s="1" t="str">
        <f t="shared" si="211"/>
        <v>مخازن قير اصفهان</v>
      </c>
      <c r="N809" s="1">
        <v>11270</v>
      </c>
      <c r="O809" s="1">
        <v>50033987</v>
      </c>
      <c r="P809" s="1" t="str">
        <f>"  اداره كل راهداري وحمل ونقل جاده اي يزد"</f>
        <v xml:space="preserve">  اداره كل راهداري وحمل ونقل جاده اي يزد</v>
      </c>
      <c r="Q809" s="1">
        <v>19</v>
      </c>
      <c r="R80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09" s="1" t="str">
        <f t="shared" si="209"/>
        <v>قرارداد فروش</v>
      </c>
      <c r="T809" s="1" t="str">
        <f t="shared" si="210"/>
        <v>ندارد</v>
      </c>
      <c r="U809" s="1" t="str">
        <f>"قانعي محمدرضا(1011ج89)"</f>
        <v>قانعي محمدرضا(1011ج89)</v>
      </c>
      <c r="V809" s="1">
        <v>951900280</v>
      </c>
      <c r="W809" s="1">
        <v>951900280</v>
      </c>
      <c r="X809" s="1" t="str">
        <f>"1395468781"</f>
        <v>1395468781</v>
      </c>
      <c r="Y809" s="1" t="str">
        <f>"95/12/14"</f>
        <v>95/12/14</v>
      </c>
      <c r="Z809" s="1" t="str">
        <f>"62393/710"</f>
        <v>62393/710</v>
      </c>
      <c r="AA809" s="1" t="str">
        <f>"سازمان راهداري وحمل نقل جاده اي"</f>
        <v>سازمان راهداري وحمل نقل جاده اي</v>
      </c>
      <c r="AB809" s="1" t="str">
        <f>"95/12/09"</f>
        <v>95/12/09</v>
      </c>
      <c r="AC809" s="1" t="str">
        <f>"استان يزد"</f>
        <v>استان يزد</v>
      </c>
      <c r="AD809" s="1" t="str">
        <f>"95/12/11"</f>
        <v>95/12/11</v>
      </c>
      <c r="AE809" s="1" t="str">
        <f t="shared" si="213"/>
        <v>اختتام</v>
      </c>
      <c r="AF809" s="1" t="str">
        <f>""</f>
        <v/>
      </c>
      <c r="AG809" s="1" t="str">
        <f>""</f>
        <v/>
      </c>
      <c r="AH809" s="1" t="str">
        <f>""</f>
        <v/>
      </c>
      <c r="AI809" s="1" t="str">
        <f>""</f>
        <v/>
      </c>
      <c r="AJ809" s="1" t="str">
        <f>""</f>
        <v/>
      </c>
      <c r="AK809" s="1" t="str">
        <f>""</f>
        <v/>
      </c>
    </row>
    <row r="810" spans="1:37" x14ac:dyDescent="0.2">
      <c r="A810" s="1">
        <v>850000</v>
      </c>
      <c r="B810" s="1">
        <v>951800075</v>
      </c>
      <c r="C810" s="1" t="str">
        <f>"يزد-تفت -كيلومتر5-شركت ناورود"</f>
        <v>يزد-تفت -كيلومتر5-شركت ناورود</v>
      </c>
      <c r="D810" s="1">
        <v>7276</v>
      </c>
      <c r="E810" s="1">
        <v>666240</v>
      </c>
      <c r="F810" s="1">
        <v>95</v>
      </c>
      <c r="G810" s="1">
        <v>183760</v>
      </c>
      <c r="H810" s="1" t="str">
        <f>"95/07/05"</f>
        <v>95/07/05</v>
      </c>
      <c r="I810" s="1" t="str">
        <f t="shared" si="208"/>
        <v>كيلوگرم</v>
      </c>
      <c r="J810" s="1" t="str">
        <f>"0000000092"</f>
        <v>0000000092</v>
      </c>
      <c r="K810" s="1" t="str">
        <f>"قير  PG64-16"</f>
        <v>قير  PG64-16</v>
      </c>
      <c r="L810" s="1">
        <v>100</v>
      </c>
      <c r="M810" s="1" t="str">
        <f t="shared" si="211"/>
        <v>مخازن قير اصفهان</v>
      </c>
      <c r="N810" s="1">
        <v>4062</v>
      </c>
      <c r="O810" s="1">
        <v>50031961</v>
      </c>
      <c r="P810" s="1" t="str">
        <f>"  ناورود"</f>
        <v xml:space="preserve">  ناورود</v>
      </c>
      <c r="Q810" s="1">
        <v>18</v>
      </c>
      <c r="R810" s="1" t="str">
        <f>"فروش داخلي تهران - وزارت راه - شرکت ساخت و توسعه راهها"</f>
        <v>فروش داخلي تهران - وزارت راه - شرکت ساخت و توسعه راهها</v>
      </c>
      <c r="S810" s="1" t="str">
        <f t="shared" si="209"/>
        <v>قرارداد فروش</v>
      </c>
      <c r="T810" s="1" t="str">
        <f t="shared" si="210"/>
        <v>ندارد</v>
      </c>
      <c r="U810" s="1" t="str">
        <f>"فتاح زاده سيداحمد(3843011)"</f>
        <v>فتاح زاده سيداحمد(3843011)</v>
      </c>
      <c r="V810" s="1">
        <v>951800075</v>
      </c>
      <c r="W810" s="1">
        <v>951800075</v>
      </c>
      <c r="X810" s="1" t="str">
        <f>"1395433832"</f>
        <v>1395433832</v>
      </c>
      <c r="Y810" s="1" t="str">
        <f>"95/07/05"</f>
        <v>95/07/05</v>
      </c>
      <c r="Z810" s="1" t="str">
        <f>"31806/510"</f>
        <v>31806/510</v>
      </c>
      <c r="AA810" s="1" t="str">
        <f>"شركت  ساخت وتوسعه راهها"</f>
        <v>شركت  ساخت وتوسعه راهها</v>
      </c>
      <c r="AB810" s="1" t="str">
        <f>"95/07/04"</f>
        <v>95/07/04</v>
      </c>
      <c r="AC810" s="1" t="str">
        <f>"استان يزد"</f>
        <v>استان يزد</v>
      </c>
      <c r="AD810" s="1" t="str">
        <f>"95/07/05"</f>
        <v>95/07/05</v>
      </c>
      <c r="AE810" s="1" t="str">
        <f t="shared" si="213"/>
        <v>اختتام</v>
      </c>
      <c r="AF810" s="1" t="str">
        <f>""</f>
        <v/>
      </c>
      <c r="AG810" s="1" t="str">
        <f>""</f>
        <v/>
      </c>
      <c r="AH810" s="1" t="str">
        <f>""</f>
        <v/>
      </c>
      <c r="AI810" s="1" t="str">
        <f>""</f>
        <v/>
      </c>
      <c r="AJ810" s="1" t="str">
        <f>""</f>
        <v/>
      </c>
      <c r="AK810" s="1" t="str">
        <f>""</f>
        <v/>
      </c>
    </row>
    <row r="811" spans="1:37" x14ac:dyDescent="0.2">
      <c r="A811" s="1">
        <v>1050000</v>
      </c>
      <c r="B811" s="1">
        <v>951700108</v>
      </c>
      <c r="C811" s="1" t="str">
        <f>"تخليه -لرستان اليگودرزكيلومتر53راه دسترسي نيروگاه سدرودبارشركت ساختماني معتبر"</f>
        <v>تخليه -لرستان اليگودرزكيلومتر53راه دسترسي نيروگاه سدرودبارشركت ساختماني معتبر</v>
      </c>
      <c r="D811" s="1">
        <v>6250</v>
      </c>
      <c r="E811" s="1">
        <v>92200</v>
      </c>
      <c r="F811" s="1">
        <v>95</v>
      </c>
      <c r="G811" s="1">
        <v>957800</v>
      </c>
      <c r="H811" s="1" t="str">
        <f>"95/04/21"</f>
        <v>95/04/21</v>
      </c>
      <c r="I811" s="1" t="str">
        <f t="shared" si="208"/>
        <v>كيلوگرم</v>
      </c>
      <c r="J811" s="1" t="str">
        <f>"0000000092"</f>
        <v>0000000092</v>
      </c>
      <c r="K811" s="1" t="str">
        <f>"قير  PG64-16"</f>
        <v>قير  PG64-16</v>
      </c>
      <c r="L811" s="1">
        <v>100</v>
      </c>
      <c r="M811" s="1" t="str">
        <f t="shared" si="211"/>
        <v>مخازن قير اصفهان</v>
      </c>
      <c r="N811" s="1">
        <v>4074</v>
      </c>
      <c r="O811" s="1">
        <v>50031267</v>
      </c>
      <c r="P811" s="1" t="str">
        <f>"  اداره كل راه و  شهرسازي لرستان"</f>
        <v xml:space="preserve">  اداره كل راه و  شهرسازي لرستان</v>
      </c>
      <c r="Q811" s="1">
        <v>17</v>
      </c>
      <c r="R811" s="1" t="str">
        <f>"فروش داخلي تهران - وزارت راه - راه روستايي - روکش"</f>
        <v>فروش داخلي تهران - وزارت راه - راه روستايي - روکش</v>
      </c>
      <c r="S811" s="1" t="str">
        <f t="shared" si="209"/>
        <v>قرارداد فروش</v>
      </c>
      <c r="T811" s="1" t="str">
        <f t="shared" si="210"/>
        <v>ندارد</v>
      </c>
      <c r="U811" s="1" t="str">
        <f>"ريسماني حسن(1007ج89)"</f>
        <v>ريسماني حسن(1007ج89)</v>
      </c>
      <c r="V811" s="1">
        <v>951700108</v>
      </c>
      <c r="W811" s="1">
        <v>951700108</v>
      </c>
      <c r="X811" s="1" t="str">
        <f>"1395414283"</f>
        <v>1395414283</v>
      </c>
      <c r="Y811" s="1" t="str">
        <f>"95/04/21"</f>
        <v>95/04/21</v>
      </c>
      <c r="Z811" s="1" t="str">
        <f>"59565/510"</f>
        <v>59565/510</v>
      </c>
      <c r="AA811" s="1" t="str">
        <f>"راه روستائي -روكش"</f>
        <v>راه روستائي -روكش</v>
      </c>
      <c r="AB811" s="1" t="str">
        <f>"94/10/28"</f>
        <v>94/10/28</v>
      </c>
      <c r="AC811" s="1" t="str">
        <f>"لرستان"</f>
        <v>لرستان</v>
      </c>
      <c r="AD811" s="1" t="str">
        <f>"95/04/20"</f>
        <v>95/04/20</v>
      </c>
      <c r="AE811" s="1" t="str">
        <f t="shared" si="213"/>
        <v>اختتام</v>
      </c>
      <c r="AF811" s="1" t="str">
        <f>""</f>
        <v/>
      </c>
      <c r="AG811" s="1" t="str">
        <f>""</f>
        <v/>
      </c>
      <c r="AH811" s="1" t="str">
        <f>""</f>
        <v/>
      </c>
      <c r="AI811" s="1" t="str">
        <f>""</f>
        <v/>
      </c>
      <c r="AJ811" s="1" t="str">
        <f>""</f>
        <v/>
      </c>
      <c r="AK811" s="1" t="str">
        <f>""</f>
        <v/>
      </c>
    </row>
    <row r="812" spans="1:37" x14ac:dyDescent="0.2">
      <c r="A812" s="1">
        <v>200000</v>
      </c>
      <c r="B812" s="1">
        <v>951400007</v>
      </c>
      <c r="C812" s="1" t="str">
        <f>"تخليه -سيستان وبلوچستان -زابل كارخانه آسفالت عطارديان"</f>
        <v>تخليه -سيستان وبلوچستان -زابل كارخانه آسفالت عطارديان</v>
      </c>
      <c r="D812" s="1">
        <v>5650</v>
      </c>
      <c r="E812" s="1">
        <v>200000</v>
      </c>
      <c r="F812" s="1">
        <v>95</v>
      </c>
      <c r="G812" s="1">
        <v>0</v>
      </c>
      <c r="H812" s="1" t="str">
        <f>"95/02/13"</f>
        <v>95/02/13</v>
      </c>
      <c r="I812" s="1" t="str">
        <f t="shared" si="208"/>
        <v>كيلوگرم</v>
      </c>
      <c r="J812" s="1" t="str">
        <f>"0000000092"</f>
        <v>0000000092</v>
      </c>
      <c r="K812" s="1" t="str">
        <f>"قير  PG64-16"</f>
        <v>قير  PG64-16</v>
      </c>
      <c r="L812" s="1">
        <v>100</v>
      </c>
      <c r="M812" s="1" t="str">
        <f t="shared" si="211"/>
        <v>مخازن قير اصفهان</v>
      </c>
      <c r="N812" s="1">
        <v>4095</v>
      </c>
      <c r="O812" s="1">
        <v>50030695</v>
      </c>
      <c r="P812" s="1" t="str">
        <f>"  اداره كل راه وشهرسازي سيستان وبلوچستان"</f>
        <v xml:space="preserve">  اداره كل راه وشهرسازي سيستان وبلوچستان</v>
      </c>
      <c r="Q812" s="1">
        <v>14</v>
      </c>
      <c r="R812" s="1" t="str">
        <f>"فروش داخلي - وزارت راه - حوزه راه روستايي ساخت"</f>
        <v>فروش داخلي - وزارت راه - حوزه راه روستايي ساخت</v>
      </c>
      <c r="S812" s="1" t="str">
        <f t="shared" si="209"/>
        <v>قرارداد فروش</v>
      </c>
      <c r="T812" s="1" t="str">
        <f t="shared" si="210"/>
        <v>ندارد</v>
      </c>
      <c r="U812" s="1" t="str">
        <f>"ميرحسيني چاپارحقيقت كرمان(4844008)"</f>
        <v>ميرحسيني چاپارحقيقت كرمان(4844008)</v>
      </c>
      <c r="V812" s="1">
        <v>951400007</v>
      </c>
      <c r="W812" s="1">
        <v>951400007</v>
      </c>
      <c r="X812" s="1" t="str">
        <f>"1395401948"</f>
        <v>1395401948</v>
      </c>
      <c r="Y812" s="1" t="str">
        <f>"95/02/12"</f>
        <v>95/02/12</v>
      </c>
      <c r="Z812" s="1" t="str">
        <f>"65713/510"</f>
        <v>65713/510</v>
      </c>
      <c r="AA812" s="1" t="str">
        <f>"راه وروستايي -ساخت"</f>
        <v>راه وروستايي -ساخت</v>
      </c>
      <c r="AB812" s="1" t="str">
        <f>"94/11/28"</f>
        <v>94/11/28</v>
      </c>
      <c r="AC812" s="1" t="str">
        <f>"استان سيستان بلوچستان"</f>
        <v>استان سيستان بلوچستان</v>
      </c>
      <c r="AD812" s="1" t="str">
        <f>"95/02/11"</f>
        <v>95/02/11</v>
      </c>
      <c r="AE812" s="1" t="str">
        <f t="shared" si="213"/>
        <v>اختتام</v>
      </c>
      <c r="AF812" s="1" t="str">
        <f>""</f>
        <v/>
      </c>
      <c r="AG812" s="1" t="str">
        <f>""</f>
        <v/>
      </c>
      <c r="AH812" s="1" t="str">
        <f>""</f>
        <v/>
      </c>
      <c r="AI812" s="1" t="str">
        <f>""</f>
        <v/>
      </c>
      <c r="AJ812" s="1" t="str">
        <f>""</f>
        <v/>
      </c>
      <c r="AK812" s="1" t="str">
        <f>""</f>
        <v/>
      </c>
    </row>
    <row r="813" spans="1:37" x14ac:dyDescent="0.2">
      <c r="A813" s="1">
        <v>600000</v>
      </c>
      <c r="B813" s="1">
        <v>951800040</v>
      </c>
      <c r="C813" s="1" t="str">
        <f>"تخليه -ديهوك -اسفنديار-كيلومتر5جاده زنوغان -شركت پوشش راه مشهد"</f>
        <v>تخليه -ديهوك -اسفنديار-كيلومتر5جاده زنوغان -شركت پوشش راه مشهد</v>
      </c>
      <c r="D813" s="1">
        <v>6726</v>
      </c>
      <c r="E813" s="1">
        <v>595360</v>
      </c>
      <c r="F813" s="1">
        <v>95</v>
      </c>
      <c r="G813" s="1">
        <v>4640</v>
      </c>
      <c r="H813" s="1" t="str">
        <f>"95/05/13"</f>
        <v>95/05/13</v>
      </c>
      <c r="I813" s="1" t="str">
        <f t="shared" si="208"/>
        <v>كيلوگرم</v>
      </c>
      <c r="J813" s="1" t="str">
        <f>"0000000092"</f>
        <v>0000000092</v>
      </c>
      <c r="K813" s="1" t="str">
        <f>"قير  PG64-16"</f>
        <v>قير  PG64-16</v>
      </c>
      <c r="L813" s="1">
        <v>100</v>
      </c>
      <c r="M813" s="1" t="str">
        <f t="shared" si="211"/>
        <v>مخازن قير اصفهان</v>
      </c>
      <c r="N813" s="1">
        <v>4177</v>
      </c>
      <c r="O813" s="1">
        <v>50031424</v>
      </c>
      <c r="P813" s="1" t="str">
        <f>"  ساختماني و راهسازي پوشش راه مشهد"</f>
        <v xml:space="preserve">  ساختماني و راهسازي پوشش راه مشهد</v>
      </c>
      <c r="Q813" s="1">
        <v>18</v>
      </c>
      <c r="R813" s="1" t="str">
        <f>"فروش داخلي تهران - وزارت راه - شرکت ساخت و توسعه راهها"</f>
        <v>فروش داخلي تهران - وزارت راه - شرکت ساخت و توسعه راهها</v>
      </c>
      <c r="S813" s="1" t="str">
        <f t="shared" si="209"/>
        <v>قرارداد فروش</v>
      </c>
      <c r="T813" s="1" t="str">
        <f t="shared" si="210"/>
        <v>ندارد</v>
      </c>
      <c r="U813" s="1" t="str">
        <f>"حسيني سيدجواد(1841076)"</f>
        <v>حسيني سيدجواد(1841076)</v>
      </c>
      <c r="V813" s="1">
        <v>951800040</v>
      </c>
      <c r="W813" s="1">
        <v>951800040</v>
      </c>
      <c r="X813" s="1" t="str">
        <f>"1395421147"</f>
        <v>1395421147</v>
      </c>
      <c r="Y813" s="1" t="str">
        <f>"95/05/13"</f>
        <v>95/05/13</v>
      </c>
      <c r="Z813" s="1" t="str">
        <f>"20869/510"</f>
        <v>20869/510</v>
      </c>
      <c r="AA813" s="1" t="str">
        <f>"شركت  ساخت وتوسعه راهها"</f>
        <v>شركت  ساخت وتوسعه راهها</v>
      </c>
      <c r="AB813" s="1" t="str">
        <f>"95/05/11"</f>
        <v>95/05/11</v>
      </c>
      <c r="AC813" s="1" t="str">
        <f>"خراسان جنوبي"</f>
        <v>خراسان جنوبي</v>
      </c>
      <c r="AD813" s="1" t="str">
        <f>"95/05/13"</f>
        <v>95/05/13</v>
      </c>
      <c r="AE813" s="1" t="str">
        <f t="shared" si="213"/>
        <v>اختتام</v>
      </c>
      <c r="AF813" s="1" t="str">
        <f>""</f>
        <v/>
      </c>
      <c r="AG813" s="1" t="str">
        <f>""</f>
        <v/>
      </c>
      <c r="AH813" s="1" t="str">
        <f>""</f>
        <v/>
      </c>
      <c r="AI813" s="1" t="str">
        <f>""</f>
        <v/>
      </c>
      <c r="AJ813" s="1" t="str">
        <f>""</f>
        <v/>
      </c>
      <c r="AK813" s="1" t="str">
        <f>""</f>
        <v/>
      </c>
    </row>
    <row r="814" spans="1:37" x14ac:dyDescent="0.2">
      <c r="A814" s="1">
        <v>95000</v>
      </c>
      <c r="B814" s="1">
        <v>951400012</v>
      </c>
      <c r="C814" s="1" t="str">
        <f>"تخليه -خراسان رضوي محورسرخس كارخانه جهادنصرخراسان"</f>
        <v>تخليه -خراسان رضوي محورسرخس كارخانه جهادنصرخراسان</v>
      </c>
      <c r="D814" s="1">
        <v>5650</v>
      </c>
      <c r="E814" s="1">
        <v>94020</v>
      </c>
      <c r="F814" s="1">
        <v>95</v>
      </c>
      <c r="G814" s="1">
        <v>980</v>
      </c>
      <c r="H814" s="1" t="str">
        <f>"95/02/15"</f>
        <v>95/02/15</v>
      </c>
      <c r="I814" s="1" t="str">
        <f t="shared" si="208"/>
        <v>كيلوگرم</v>
      </c>
      <c r="J814" s="1" t="str">
        <f t="shared" ref="J814:J844" si="216">"0000000091"</f>
        <v>0000000091</v>
      </c>
      <c r="K814" s="1" t="str">
        <f t="shared" ref="K814:K844" si="217">"قير  PG64-22"</f>
        <v>قير  PG64-22</v>
      </c>
      <c r="L814" s="1">
        <v>100</v>
      </c>
      <c r="M814" s="1" t="str">
        <f t="shared" si="211"/>
        <v>مخازن قير اصفهان</v>
      </c>
      <c r="N814" s="1">
        <v>4026</v>
      </c>
      <c r="O814" s="1">
        <v>50030752</v>
      </c>
      <c r="P814" s="1" t="str">
        <f t="shared" ref="P814:P824" si="218">"  اداره كل راه و شهرسازي خراسان رضوي"</f>
        <v xml:space="preserve">  اداره كل راه و شهرسازي خراسان رضوي</v>
      </c>
      <c r="Q814" s="1">
        <v>14</v>
      </c>
      <c r="R814" s="1" t="str">
        <f>"فروش داخلي - وزارت راه - حوزه راه روستايي ساخت"</f>
        <v>فروش داخلي - وزارت راه - حوزه راه روستايي ساخت</v>
      </c>
      <c r="S814" s="1" t="str">
        <f t="shared" si="209"/>
        <v>قرارداد فروش</v>
      </c>
      <c r="T814" s="1" t="str">
        <f t="shared" si="210"/>
        <v>ندارد</v>
      </c>
      <c r="U814" s="1" t="str">
        <f>"نظام دوست امين (1911102)"</f>
        <v>نظام دوست امين (1911102)</v>
      </c>
      <c r="V814" s="1">
        <v>951400012</v>
      </c>
      <c r="W814" s="1">
        <v>951400012</v>
      </c>
      <c r="X814" s="1" t="str">
        <f>"1395401990"</f>
        <v>1395401990</v>
      </c>
      <c r="Y814" s="1" t="str">
        <f>"95/02/15"</f>
        <v>95/02/15</v>
      </c>
      <c r="Z814" s="1" t="str">
        <f>"66776/510"</f>
        <v>66776/510</v>
      </c>
      <c r="AA814" s="1" t="str">
        <f>"راه وروستايي -ساخت"</f>
        <v>راه وروستايي -ساخت</v>
      </c>
      <c r="AB814" s="1" t="str">
        <f>"94/12/04"</f>
        <v>94/12/04</v>
      </c>
      <c r="AC814" s="1" t="str">
        <f t="shared" ref="AC814:AC824" si="219">"خراسان رضوي"</f>
        <v>خراسان رضوي</v>
      </c>
      <c r="AD814" s="1" t="str">
        <f>"95/02/11"</f>
        <v>95/02/11</v>
      </c>
      <c r="AE814" s="1" t="str">
        <f t="shared" si="213"/>
        <v>اختتام</v>
      </c>
      <c r="AF814" s="1" t="str">
        <f>""</f>
        <v/>
      </c>
      <c r="AG814" s="1" t="str">
        <f>""</f>
        <v/>
      </c>
      <c r="AH814" s="1" t="str">
        <f>""</f>
        <v/>
      </c>
      <c r="AI814" s="1" t="str">
        <f>""</f>
        <v/>
      </c>
      <c r="AJ814" s="1" t="str">
        <f>""</f>
        <v/>
      </c>
      <c r="AK814" s="1" t="str">
        <f>""</f>
        <v/>
      </c>
    </row>
    <row r="815" spans="1:37" x14ac:dyDescent="0.2">
      <c r="A815" s="1">
        <v>31000</v>
      </c>
      <c r="B815" s="1">
        <v>951700020</v>
      </c>
      <c r="C815" s="1" t="str">
        <f>"سبزواركيلومتر30محورسبزوار-شاهرودروستاي ريوندكارخانه شهرداري"</f>
        <v>سبزواركيلومتر30محورسبزوار-شاهرودروستاي ريوندكارخانه شهرداري</v>
      </c>
      <c r="D815" s="1">
        <v>5650</v>
      </c>
      <c r="E815" s="1">
        <v>30720</v>
      </c>
      <c r="F815" s="1">
        <v>95</v>
      </c>
      <c r="G815" s="1">
        <v>280</v>
      </c>
      <c r="H815" s="1" t="str">
        <f>"95/02/15"</f>
        <v>95/02/15</v>
      </c>
      <c r="I815" s="1" t="str">
        <f t="shared" si="208"/>
        <v>كيلوگرم</v>
      </c>
      <c r="J815" s="1" t="str">
        <f t="shared" si="216"/>
        <v>0000000091</v>
      </c>
      <c r="K815" s="1" t="str">
        <f t="shared" si="217"/>
        <v>قير  PG64-22</v>
      </c>
      <c r="L815" s="1">
        <v>100</v>
      </c>
      <c r="M815" s="1" t="str">
        <f t="shared" si="211"/>
        <v>مخازن قير اصفهان</v>
      </c>
      <c r="N815" s="1">
        <v>4026</v>
      </c>
      <c r="O815" s="1">
        <v>50030769</v>
      </c>
      <c r="P815" s="1" t="str">
        <f t="shared" si="218"/>
        <v xml:space="preserve">  اداره كل راه و شهرسازي خراسان رضوي</v>
      </c>
      <c r="Q815" s="1">
        <v>17</v>
      </c>
      <c r="R815" s="1" t="str">
        <f>"فروش داخلي تهران - وزارت راه - راه روستايي - روکش"</f>
        <v>فروش داخلي تهران - وزارت راه - راه روستايي - روکش</v>
      </c>
      <c r="S815" s="1" t="str">
        <f t="shared" si="209"/>
        <v>قرارداد فروش</v>
      </c>
      <c r="T815" s="1" t="str">
        <f t="shared" si="210"/>
        <v>ندارد</v>
      </c>
      <c r="U815" s="1" t="str">
        <f>"رشيدي نيكو عظيم(1841003)"</f>
        <v>رشيدي نيكو عظيم(1841003)</v>
      </c>
      <c r="V815" s="1">
        <v>951700020</v>
      </c>
      <c r="W815" s="1">
        <v>951700020</v>
      </c>
      <c r="X815" s="1" t="str">
        <f>"1395401990"</f>
        <v>1395401990</v>
      </c>
      <c r="Y815" s="1" t="str">
        <f>"95/02/15"</f>
        <v>95/02/15</v>
      </c>
      <c r="Z815" s="1" t="str">
        <f>"67362/510"</f>
        <v>67362/510</v>
      </c>
      <c r="AA815" s="1" t="str">
        <f>"راه روستائي -روكش"</f>
        <v>راه روستائي -روكش</v>
      </c>
      <c r="AB815" s="1" t="str">
        <f>"94/12/09"</f>
        <v>94/12/09</v>
      </c>
      <c r="AC815" s="1" t="str">
        <f t="shared" si="219"/>
        <v>خراسان رضوي</v>
      </c>
      <c r="AD815" s="1" t="str">
        <f>"95/02/11"</f>
        <v>95/02/11</v>
      </c>
      <c r="AE815" s="1" t="str">
        <f t="shared" si="213"/>
        <v>اختتام</v>
      </c>
      <c r="AF815" s="1" t="str">
        <f>""</f>
        <v/>
      </c>
      <c r="AG815" s="1" t="str">
        <f>""</f>
        <v/>
      </c>
      <c r="AH815" s="1" t="str">
        <f>""</f>
        <v/>
      </c>
      <c r="AI815" s="1" t="str">
        <f>""</f>
        <v/>
      </c>
      <c r="AJ815" s="1" t="str">
        <f>""</f>
        <v/>
      </c>
      <c r="AK815" s="1" t="str">
        <f>""</f>
        <v/>
      </c>
    </row>
    <row r="816" spans="1:37" x14ac:dyDescent="0.2">
      <c r="A816" s="1">
        <v>86000</v>
      </c>
      <c r="B816" s="1">
        <v>951400035</v>
      </c>
      <c r="C816" s="1" t="str">
        <f>"تخليه -خراسان رضوي -بردسكن -كارخانه آسفالت زيست اسكان توس"</f>
        <v>تخليه -خراسان رضوي -بردسكن -كارخانه آسفالت زيست اسكان توس</v>
      </c>
      <c r="D816" s="1">
        <v>6250</v>
      </c>
      <c r="E816" s="1">
        <v>83820</v>
      </c>
      <c r="F816" s="1">
        <v>95</v>
      </c>
      <c r="G816" s="1">
        <v>2180</v>
      </c>
      <c r="H816" s="1" t="str">
        <f>"95/04/19"</f>
        <v>95/04/19</v>
      </c>
      <c r="I816" s="1" t="str">
        <f t="shared" si="208"/>
        <v>كيلوگرم</v>
      </c>
      <c r="J816" s="1" t="str">
        <f t="shared" si="216"/>
        <v>0000000091</v>
      </c>
      <c r="K816" s="1" t="str">
        <f t="shared" si="217"/>
        <v>قير  PG64-22</v>
      </c>
      <c r="L816" s="1">
        <v>100</v>
      </c>
      <c r="M816" s="1" t="str">
        <f t="shared" si="211"/>
        <v>مخازن قير اصفهان</v>
      </c>
      <c r="N816" s="1">
        <v>4026</v>
      </c>
      <c r="O816" s="1">
        <v>50031212</v>
      </c>
      <c r="P816" s="1" t="str">
        <f t="shared" si="218"/>
        <v xml:space="preserve">  اداره كل راه و شهرسازي خراسان رضوي</v>
      </c>
      <c r="Q816" s="1">
        <v>14</v>
      </c>
      <c r="R816" s="1" t="str">
        <f>"فروش داخلي - وزارت راه - حوزه راه روستايي ساخت"</f>
        <v>فروش داخلي - وزارت راه - حوزه راه روستايي ساخت</v>
      </c>
      <c r="S816" s="1" t="str">
        <f t="shared" si="209"/>
        <v>قرارداد فروش</v>
      </c>
      <c r="T816" s="1" t="str">
        <f t="shared" si="210"/>
        <v>ندارد</v>
      </c>
      <c r="U816" s="1" t="str">
        <f>"حسيني سيدجواد(1841076)"</f>
        <v>حسيني سيدجواد(1841076)</v>
      </c>
      <c r="V816" s="1">
        <v>951400035</v>
      </c>
      <c r="W816" s="1">
        <v>951400035</v>
      </c>
      <c r="X816" s="1" t="str">
        <f>"1394389479"</f>
        <v>1394389479</v>
      </c>
      <c r="Y816" s="1" t="str">
        <f>"95/04/19"</f>
        <v>95/04/19</v>
      </c>
      <c r="Z816" s="1" t="str">
        <f>"60394/510"</f>
        <v>60394/510</v>
      </c>
      <c r="AA816" s="1" t="str">
        <f>"راه وروستايي -ساخت"</f>
        <v>راه وروستايي -ساخت</v>
      </c>
      <c r="AB816" s="1" t="str">
        <f>"94/11/03"</f>
        <v>94/11/03</v>
      </c>
      <c r="AC816" s="1" t="str">
        <f t="shared" si="219"/>
        <v>خراسان رضوي</v>
      </c>
      <c r="AD816" s="1" t="str">
        <f>"94/11/06"</f>
        <v>94/11/06</v>
      </c>
      <c r="AE816" s="1" t="str">
        <f t="shared" si="213"/>
        <v>اختتام</v>
      </c>
      <c r="AF816" s="1" t="str">
        <f>""</f>
        <v/>
      </c>
      <c r="AG816" s="1" t="str">
        <f>""</f>
        <v/>
      </c>
      <c r="AH816" s="1" t="str">
        <f>""</f>
        <v/>
      </c>
      <c r="AI816" s="1" t="str">
        <f>""</f>
        <v/>
      </c>
      <c r="AJ816" s="1" t="str">
        <f>""</f>
        <v/>
      </c>
      <c r="AK816" s="1" t="str">
        <f>""</f>
        <v/>
      </c>
    </row>
    <row r="817" spans="1:37" x14ac:dyDescent="0.2">
      <c r="A817" s="1">
        <v>43000</v>
      </c>
      <c r="B817" s="1">
        <v>951400036</v>
      </c>
      <c r="C817" s="1" t="str">
        <f>"تخليه -خراسان رضوي -كيلومتر25جاده سبزوارشاهرود-كارخانه آسفالت شركت رعدراه بيهق"</f>
        <v>تخليه -خراسان رضوي -كيلومتر25جاده سبزوارشاهرود-كارخانه آسفالت شركت رعدراه بيهق</v>
      </c>
      <c r="D817" s="1">
        <v>6250</v>
      </c>
      <c r="E817" s="1">
        <v>43000</v>
      </c>
      <c r="F817" s="1">
        <v>95</v>
      </c>
      <c r="G817" s="1">
        <v>0</v>
      </c>
      <c r="H817" s="1" t="str">
        <f>"95/04/19"</f>
        <v>95/04/19</v>
      </c>
      <c r="I817" s="1" t="str">
        <f t="shared" si="208"/>
        <v>كيلوگرم</v>
      </c>
      <c r="J817" s="1" t="str">
        <f t="shared" si="216"/>
        <v>0000000091</v>
      </c>
      <c r="K817" s="1" t="str">
        <f t="shared" si="217"/>
        <v>قير  PG64-22</v>
      </c>
      <c r="L817" s="1">
        <v>100</v>
      </c>
      <c r="M817" s="1" t="str">
        <f t="shared" si="211"/>
        <v>مخازن قير اصفهان</v>
      </c>
      <c r="N817" s="1">
        <v>4026</v>
      </c>
      <c r="O817" s="1">
        <v>50031213</v>
      </c>
      <c r="P817" s="1" t="str">
        <f t="shared" si="218"/>
        <v xml:space="preserve">  اداره كل راه و شهرسازي خراسان رضوي</v>
      </c>
      <c r="Q817" s="1">
        <v>14</v>
      </c>
      <c r="R817" s="1" t="str">
        <f>"فروش داخلي - وزارت راه - حوزه راه روستايي ساخت"</f>
        <v>فروش داخلي - وزارت راه - حوزه راه روستايي ساخت</v>
      </c>
      <c r="S817" s="1" t="str">
        <f t="shared" si="209"/>
        <v>قرارداد فروش</v>
      </c>
      <c r="T817" s="1" t="str">
        <f t="shared" si="210"/>
        <v>ندارد</v>
      </c>
      <c r="U817" s="1" t="str">
        <f>"حسيني سيدجواد(1841076)"</f>
        <v>حسيني سيدجواد(1841076)</v>
      </c>
      <c r="V817" s="1">
        <v>951400036</v>
      </c>
      <c r="W817" s="1">
        <v>951400036</v>
      </c>
      <c r="X817" s="1" t="str">
        <f>"1394389479"</f>
        <v>1394389479</v>
      </c>
      <c r="Y817" s="1" t="str">
        <f>"95/04/19"</f>
        <v>95/04/19</v>
      </c>
      <c r="Z817" s="1" t="str">
        <f>"60394/510"</f>
        <v>60394/510</v>
      </c>
      <c r="AA817" s="1" t="str">
        <f>"راه وروستايي -ساخت"</f>
        <v>راه وروستايي -ساخت</v>
      </c>
      <c r="AB817" s="1" t="str">
        <f>"94/11/03"</f>
        <v>94/11/03</v>
      </c>
      <c r="AC817" s="1" t="str">
        <f t="shared" si="219"/>
        <v>خراسان رضوي</v>
      </c>
      <c r="AD817" s="1" t="str">
        <f>"94/11/06"</f>
        <v>94/11/06</v>
      </c>
      <c r="AE817" s="1" t="str">
        <f t="shared" si="213"/>
        <v>اختتام</v>
      </c>
      <c r="AF817" s="1" t="str">
        <f>""</f>
        <v/>
      </c>
      <c r="AG817" s="1" t="str">
        <f>""</f>
        <v/>
      </c>
      <c r="AH817" s="1" t="str">
        <f>""</f>
        <v/>
      </c>
      <c r="AI817" s="1" t="str">
        <f>""</f>
        <v/>
      </c>
      <c r="AJ817" s="1" t="str">
        <f>""</f>
        <v/>
      </c>
      <c r="AK817" s="1" t="str">
        <f>""</f>
        <v/>
      </c>
    </row>
    <row r="818" spans="1:37" x14ac:dyDescent="0.2">
      <c r="A818" s="1">
        <v>1182000</v>
      </c>
      <c r="B818" s="1">
        <v>951700109</v>
      </c>
      <c r="C818" s="1" t="str">
        <f>"تخليه-کاشمر-کارخانه آسفالت کيميا سروش پاسارگاد"</f>
        <v>تخليه-کاشمر-کارخانه آسفالت کيميا سروش پاسارگاد</v>
      </c>
      <c r="D818" s="1">
        <v>6250</v>
      </c>
      <c r="E818" s="1">
        <v>1182000</v>
      </c>
      <c r="F818" s="1">
        <v>95</v>
      </c>
      <c r="G818" s="1">
        <v>0</v>
      </c>
      <c r="H818" s="1" t="str">
        <f>"95/04/23"</f>
        <v>95/04/23</v>
      </c>
      <c r="I818" s="1" t="str">
        <f t="shared" si="208"/>
        <v>كيلوگرم</v>
      </c>
      <c r="J818" s="1" t="str">
        <f t="shared" si="216"/>
        <v>0000000091</v>
      </c>
      <c r="K818" s="1" t="str">
        <f t="shared" si="217"/>
        <v>قير  PG64-22</v>
      </c>
      <c r="L818" s="1">
        <v>100</v>
      </c>
      <c r="M818" s="1" t="str">
        <f t="shared" si="211"/>
        <v>مخازن قير اصفهان</v>
      </c>
      <c r="N818" s="1">
        <v>4026</v>
      </c>
      <c r="O818" s="1">
        <v>50031284</v>
      </c>
      <c r="P818" s="1" t="str">
        <f t="shared" si="218"/>
        <v xml:space="preserve">  اداره كل راه و شهرسازي خراسان رضوي</v>
      </c>
      <c r="Q818" s="1">
        <v>17</v>
      </c>
      <c r="R818" s="1" t="str">
        <f t="shared" ref="R818:R824" si="220">"فروش داخلي تهران - وزارت راه - راه روستايي - روکش"</f>
        <v>فروش داخلي تهران - وزارت راه - راه روستايي - روکش</v>
      </c>
      <c r="S818" s="1" t="str">
        <f t="shared" si="209"/>
        <v>قرارداد فروش</v>
      </c>
      <c r="T818" s="1" t="str">
        <f t="shared" si="210"/>
        <v>ندارد</v>
      </c>
      <c r="U818" s="1" t="str">
        <f>"ترك شاهسوندي مهدي(1022ج89)"</f>
        <v>ترك شاهسوندي مهدي(1022ج89)</v>
      </c>
      <c r="V818" s="1">
        <v>951700109</v>
      </c>
      <c r="W818" s="1">
        <v>951700109</v>
      </c>
      <c r="X818" s="1" t="str">
        <f>"1395414667"</f>
        <v>1395414667</v>
      </c>
      <c r="Y818" s="1" t="str">
        <f>"95/04/23"</f>
        <v>95/04/23</v>
      </c>
      <c r="Z818" s="1" t="str">
        <f>"17051/510"</f>
        <v>17051/510</v>
      </c>
      <c r="AA818" s="1" t="str">
        <f t="shared" ref="AA818:AA824" si="221">"راه روستائي -روكش"</f>
        <v>راه روستائي -روكش</v>
      </c>
      <c r="AB818" s="1" t="str">
        <f>"95/04/21"</f>
        <v>95/04/21</v>
      </c>
      <c r="AC818" s="1" t="str">
        <f t="shared" si="219"/>
        <v>خراسان رضوي</v>
      </c>
      <c r="AD818" s="1" t="str">
        <f>"95/04/22"</f>
        <v>95/04/22</v>
      </c>
      <c r="AE818" s="1" t="str">
        <f t="shared" si="213"/>
        <v>اختتام</v>
      </c>
      <c r="AF818" s="1" t="str">
        <f>""</f>
        <v/>
      </c>
      <c r="AG818" s="1" t="str">
        <f>""</f>
        <v/>
      </c>
      <c r="AH818" s="1" t="str">
        <f>""</f>
        <v/>
      </c>
      <c r="AI818" s="1" t="str">
        <f>""</f>
        <v/>
      </c>
      <c r="AJ818" s="1" t="str">
        <f>""</f>
        <v/>
      </c>
      <c r="AK818" s="1" t="str">
        <f>""</f>
        <v/>
      </c>
    </row>
    <row r="819" spans="1:37" x14ac:dyDescent="0.2">
      <c r="A819" s="1">
        <v>200000</v>
      </c>
      <c r="B819" s="1">
        <v>951700141</v>
      </c>
      <c r="C819" s="1" t="str">
        <f>"تخليه-مشهد-ابتداي جاده کلات کارخانه فراز راه بيرجند"</f>
        <v>تخليه-مشهد-ابتداي جاده کلات کارخانه فراز راه بيرجند</v>
      </c>
      <c r="D819" s="1">
        <v>6726</v>
      </c>
      <c r="E819" s="1">
        <v>199260</v>
      </c>
      <c r="F819" s="1">
        <v>95</v>
      </c>
      <c r="G819" s="1">
        <v>740</v>
      </c>
      <c r="H819" s="1" t="str">
        <f>"95/05/16"</f>
        <v>95/05/16</v>
      </c>
      <c r="I819" s="1" t="str">
        <f t="shared" si="208"/>
        <v>كيلوگرم</v>
      </c>
      <c r="J819" s="1" t="str">
        <f t="shared" si="216"/>
        <v>0000000091</v>
      </c>
      <c r="K819" s="1" t="str">
        <f t="shared" si="217"/>
        <v>قير  PG64-22</v>
      </c>
      <c r="L819" s="1">
        <v>100</v>
      </c>
      <c r="M819" s="1" t="str">
        <f t="shared" si="211"/>
        <v>مخازن قير اصفهان</v>
      </c>
      <c r="N819" s="1">
        <v>4026</v>
      </c>
      <c r="O819" s="1">
        <v>50031440</v>
      </c>
      <c r="P819" s="1" t="str">
        <f t="shared" si="218"/>
        <v xml:space="preserve">  اداره كل راه و شهرسازي خراسان رضوي</v>
      </c>
      <c r="Q819" s="1">
        <v>17</v>
      </c>
      <c r="R819" s="1" t="str">
        <f t="shared" si="220"/>
        <v>فروش داخلي تهران - وزارت راه - راه روستايي - روکش</v>
      </c>
      <c r="S819" s="1" t="str">
        <f t="shared" si="209"/>
        <v>قرارداد فروش</v>
      </c>
      <c r="T819" s="1" t="str">
        <f t="shared" si="210"/>
        <v>ندارد</v>
      </c>
      <c r="U819" s="1" t="str">
        <f>"حسيني سيدجواد(1841076)"</f>
        <v>حسيني سيدجواد(1841076)</v>
      </c>
      <c r="V819" s="1">
        <v>951700141</v>
      </c>
      <c r="W819" s="1">
        <v>951700141</v>
      </c>
      <c r="X819" s="1" t="str">
        <f>"1395421160"</f>
        <v>1395421160</v>
      </c>
      <c r="Y819" s="1" t="str">
        <f>"95/05/16"</f>
        <v>95/05/16</v>
      </c>
      <c r="Z819" s="1" t="str">
        <f>"20818/510"</f>
        <v>20818/510</v>
      </c>
      <c r="AA819" s="1" t="str">
        <f t="shared" si="221"/>
        <v>راه روستائي -روكش</v>
      </c>
      <c r="AB819" s="1" t="str">
        <f>"95/05/11"</f>
        <v>95/05/11</v>
      </c>
      <c r="AC819" s="1" t="str">
        <f t="shared" si="219"/>
        <v>خراسان رضوي</v>
      </c>
      <c r="AD819" s="1" t="str">
        <f>"95/05/13"</f>
        <v>95/05/13</v>
      </c>
      <c r="AE819" s="1" t="str">
        <f t="shared" si="213"/>
        <v>اختتام</v>
      </c>
      <c r="AF819" s="1" t="str">
        <f>""</f>
        <v/>
      </c>
      <c r="AG819" s="1" t="str">
        <f>""</f>
        <v/>
      </c>
      <c r="AH819" s="1" t="str">
        <f>""</f>
        <v/>
      </c>
      <c r="AI819" s="1" t="str">
        <f>""</f>
        <v/>
      </c>
      <c r="AJ819" s="1" t="str">
        <f>""</f>
        <v/>
      </c>
      <c r="AK819" s="1" t="str">
        <f>""</f>
        <v/>
      </c>
    </row>
    <row r="820" spans="1:37" x14ac:dyDescent="0.2">
      <c r="A820" s="1">
        <v>62000</v>
      </c>
      <c r="B820" s="1">
        <v>951700174</v>
      </c>
      <c r="C820" s="1" t="str">
        <f>"تخليه-کاشمر-کارخانه آسفالت کيميا سروش پاسارگاد"</f>
        <v>تخليه-کاشمر-کارخانه آسفالت کيميا سروش پاسارگاد</v>
      </c>
      <c r="D820" s="1">
        <v>7176</v>
      </c>
      <c r="E820" s="1">
        <v>60800</v>
      </c>
      <c r="F820" s="1">
        <v>95</v>
      </c>
      <c r="G820" s="1">
        <v>1200</v>
      </c>
      <c r="H820" s="1" t="str">
        <f>"95/06/06"</f>
        <v>95/06/06</v>
      </c>
      <c r="I820" s="1" t="str">
        <f t="shared" si="208"/>
        <v>كيلوگرم</v>
      </c>
      <c r="J820" s="1" t="str">
        <f t="shared" si="216"/>
        <v>0000000091</v>
      </c>
      <c r="K820" s="1" t="str">
        <f t="shared" si="217"/>
        <v>قير  PG64-22</v>
      </c>
      <c r="L820" s="1">
        <v>100</v>
      </c>
      <c r="M820" s="1" t="str">
        <f t="shared" si="211"/>
        <v>مخازن قير اصفهان</v>
      </c>
      <c r="N820" s="1">
        <v>4026</v>
      </c>
      <c r="O820" s="1">
        <v>50031657</v>
      </c>
      <c r="P820" s="1" t="str">
        <f t="shared" si="218"/>
        <v xml:space="preserve">  اداره كل راه و شهرسازي خراسان رضوي</v>
      </c>
      <c r="Q820" s="1">
        <v>17</v>
      </c>
      <c r="R820" s="1" t="str">
        <f t="shared" si="220"/>
        <v>فروش داخلي تهران - وزارت راه - راه روستايي - روکش</v>
      </c>
      <c r="S820" s="1" t="str">
        <f t="shared" si="209"/>
        <v>قرارداد فروش</v>
      </c>
      <c r="T820" s="1" t="str">
        <f t="shared" si="210"/>
        <v>ندارد</v>
      </c>
      <c r="U820" s="1" t="str">
        <f>"حسيني حسن(1841075)"</f>
        <v>حسيني حسن(1841075)</v>
      </c>
      <c r="V820" s="1">
        <v>951700174</v>
      </c>
      <c r="W820" s="1">
        <v>951700174</v>
      </c>
      <c r="X820" s="1" t="str">
        <f>"1395427009"</f>
        <v>1395427009</v>
      </c>
      <c r="Y820" s="1" t="str">
        <f>"95/06/06"</f>
        <v>95/06/06</v>
      </c>
      <c r="Z820" s="1" t="str">
        <f>"24059/510"</f>
        <v>24059/510</v>
      </c>
      <c r="AA820" s="1" t="str">
        <f t="shared" si="221"/>
        <v>راه روستائي -روكش</v>
      </c>
      <c r="AB820" s="1" t="str">
        <f>"95/05/26"</f>
        <v>95/05/26</v>
      </c>
      <c r="AC820" s="1" t="str">
        <f t="shared" si="219"/>
        <v>خراسان رضوي</v>
      </c>
      <c r="AD820" s="1" t="str">
        <f>"95/06/06"</f>
        <v>95/06/06</v>
      </c>
      <c r="AE820" s="1" t="str">
        <f t="shared" si="213"/>
        <v>اختتام</v>
      </c>
      <c r="AF820" s="1" t="str">
        <f>""</f>
        <v/>
      </c>
      <c r="AG820" s="1" t="str">
        <f>""</f>
        <v/>
      </c>
      <c r="AH820" s="1" t="str">
        <f>""</f>
        <v/>
      </c>
      <c r="AI820" s="1" t="str">
        <f>""</f>
        <v/>
      </c>
      <c r="AJ820" s="1" t="str">
        <f>""</f>
        <v/>
      </c>
      <c r="AK820" s="1" t="str">
        <f>""</f>
        <v/>
      </c>
    </row>
    <row r="821" spans="1:37" x14ac:dyDescent="0.2">
      <c r="A821" s="1">
        <v>206000</v>
      </c>
      <c r="B821" s="1">
        <v>951700179</v>
      </c>
      <c r="C821" s="1" t="str">
        <f>"تخليه خراسان رضوي كيلومتر3محورباخرزدولت آبادكارخانه آسفالت توس راديه"</f>
        <v>تخليه خراسان رضوي كيلومتر3محورباخرزدولت آبادكارخانه آسفالت توس راديه</v>
      </c>
      <c r="D821" s="1">
        <v>7176</v>
      </c>
      <c r="E821" s="1">
        <v>203880</v>
      </c>
      <c r="F821" s="1">
        <v>95</v>
      </c>
      <c r="G821" s="1">
        <v>2120</v>
      </c>
      <c r="H821" s="1" t="str">
        <f>"95/06/06"</f>
        <v>95/06/06</v>
      </c>
      <c r="I821" s="1" t="str">
        <f t="shared" si="208"/>
        <v>كيلوگرم</v>
      </c>
      <c r="J821" s="1" t="str">
        <f t="shared" si="216"/>
        <v>0000000091</v>
      </c>
      <c r="K821" s="1" t="str">
        <f t="shared" si="217"/>
        <v>قير  PG64-22</v>
      </c>
      <c r="L821" s="1">
        <v>100</v>
      </c>
      <c r="M821" s="1" t="str">
        <f t="shared" si="211"/>
        <v>مخازن قير اصفهان</v>
      </c>
      <c r="N821" s="1">
        <v>4026</v>
      </c>
      <c r="O821" s="1">
        <v>50031662</v>
      </c>
      <c r="P821" s="1" t="str">
        <f t="shared" si="218"/>
        <v xml:space="preserve">  اداره كل راه و شهرسازي خراسان رضوي</v>
      </c>
      <c r="Q821" s="1">
        <v>17</v>
      </c>
      <c r="R821" s="1" t="str">
        <f t="shared" si="220"/>
        <v>فروش داخلي تهران - وزارت راه - راه روستايي - روکش</v>
      </c>
      <c r="S821" s="1" t="str">
        <f t="shared" si="209"/>
        <v>قرارداد فروش</v>
      </c>
      <c r="T821" s="1" t="str">
        <f t="shared" si="210"/>
        <v>ندارد</v>
      </c>
      <c r="U821" s="1" t="str">
        <f>"بابامحمدي عنايت اله(4844000)"</f>
        <v>بابامحمدي عنايت اله(4844000)</v>
      </c>
      <c r="V821" s="1">
        <v>951700179</v>
      </c>
      <c r="W821" s="1">
        <v>951700179</v>
      </c>
      <c r="X821" s="1" t="str">
        <f>"1395426941"</f>
        <v>1395426941</v>
      </c>
      <c r="Y821" s="1" t="str">
        <f>"95/06/06"</f>
        <v>95/06/06</v>
      </c>
      <c r="Z821" s="1" t="str">
        <f>"25080/510"</f>
        <v>25080/510</v>
      </c>
      <c r="AA821" s="1" t="str">
        <f t="shared" si="221"/>
        <v>راه روستائي -روكش</v>
      </c>
      <c r="AB821" s="1" t="str">
        <f>"95/05/31"</f>
        <v>95/05/31</v>
      </c>
      <c r="AC821" s="1" t="str">
        <f t="shared" si="219"/>
        <v>خراسان رضوي</v>
      </c>
      <c r="AD821" s="1" t="str">
        <f>"95/06/06"</f>
        <v>95/06/06</v>
      </c>
      <c r="AE821" s="1" t="str">
        <f t="shared" si="213"/>
        <v>اختتام</v>
      </c>
      <c r="AF821" s="1" t="str">
        <f>""</f>
        <v/>
      </c>
      <c r="AG821" s="1" t="str">
        <f>""</f>
        <v/>
      </c>
      <c r="AH821" s="1" t="str">
        <f>""</f>
        <v/>
      </c>
      <c r="AI821" s="1" t="str">
        <f>""</f>
        <v/>
      </c>
      <c r="AJ821" s="1" t="str">
        <f>""</f>
        <v/>
      </c>
      <c r="AK821" s="1" t="str">
        <f>""</f>
        <v/>
      </c>
    </row>
    <row r="822" spans="1:37" x14ac:dyDescent="0.2">
      <c r="A822" s="1">
        <v>400000</v>
      </c>
      <c r="B822" s="1">
        <v>951700180</v>
      </c>
      <c r="C822" s="1" t="str">
        <f>"تخليه -خراسان رضوي -تربت حيدريه -كارخانه آسفالت وليعصر"</f>
        <v>تخليه -خراسان رضوي -تربت حيدريه -كارخانه آسفالت وليعصر</v>
      </c>
      <c r="D822" s="1">
        <v>7176</v>
      </c>
      <c r="E822" s="1">
        <v>398200</v>
      </c>
      <c r="F822" s="1">
        <v>95</v>
      </c>
      <c r="G822" s="1">
        <v>1800</v>
      </c>
      <c r="H822" s="1" t="str">
        <f>"95/06/06"</f>
        <v>95/06/06</v>
      </c>
      <c r="I822" s="1" t="str">
        <f t="shared" si="208"/>
        <v>كيلوگرم</v>
      </c>
      <c r="J822" s="1" t="str">
        <f t="shared" si="216"/>
        <v>0000000091</v>
      </c>
      <c r="K822" s="1" t="str">
        <f t="shared" si="217"/>
        <v>قير  PG64-22</v>
      </c>
      <c r="L822" s="1">
        <v>100</v>
      </c>
      <c r="M822" s="1" t="str">
        <f t="shared" si="211"/>
        <v>مخازن قير اصفهان</v>
      </c>
      <c r="N822" s="1">
        <v>4026</v>
      </c>
      <c r="O822" s="1">
        <v>50031663</v>
      </c>
      <c r="P822" s="1" t="str">
        <f t="shared" si="218"/>
        <v xml:space="preserve">  اداره كل راه و شهرسازي خراسان رضوي</v>
      </c>
      <c r="Q822" s="1">
        <v>17</v>
      </c>
      <c r="R822" s="1" t="str">
        <f t="shared" si="220"/>
        <v>فروش داخلي تهران - وزارت راه - راه روستايي - روکش</v>
      </c>
      <c r="S822" s="1" t="str">
        <f t="shared" si="209"/>
        <v>قرارداد فروش</v>
      </c>
      <c r="T822" s="1" t="str">
        <f t="shared" si="210"/>
        <v>ندارد</v>
      </c>
      <c r="U822" s="1" t="str">
        <f>"حسيني حسن(1841075)"</f>
        <v>حسيني حسن(1841075)</v>
      </c>
      <c r="V822" s="1">
        <v>951700180</v>
      </c>
      <c r="W822" s="1">
        <v>951700180</v>
      </c>
      <c r="X822" s="1" t="str">
        <f>"1395426941"</f>
        <v>1395426941</v>
      </c>
      <c r="Y822" s="1" t="str">
        <f>"95/06/06"</f>
        <v>95/06/06</v>
      </c>
      <c r="Z822" s="1" t="str">
        <f>"24473/510"</f>
        <v>24473/510</v>
      </c>
      <c r="AA822" s="1" t="str">
        <f t="shared" si="221"/>
        <v>راه روستائي -روكش</v>
      </c>
      <c r="AB822" s="1" t="str">
        <f>"95/05/30"</f>
        <v>95/05/30</v>
      </c>
      <c r="AC822" s="1" t="str">
        <f t="shared" si="219"/>
        <v>خراسان رضوي</v>
      </c>
      <c r="AD822" s="1" t="str">
        <f>"95/06/06"</f>
        <v>95/06/06</v>
      </c>
      <c r="AE822" s="1" t="str">
        <f t="shared" si="213"/>
        <v>اختتام</v>
      </c>
      <c r="AF822" s="1" t="str">
        <f>""</f>
        <v/>
      </c>
      <c r="AG822" s="1" t="str">
        <f>""</f>
        <v/>
      </c>
      <c r="AH822" s="1" t="str">
        <f>""</f>
        <v/>
      </c>
      <c r="AI822" s="1" t="str">
        <f>""</f>
        <v/>
      </c>
      <c r="AJ822" s="1" t="str">
        <f>""</f>
        <v/>
      </c>
      <c r="AK822" s="1" t="str">
        <f>""</f>
        <v/>
      </c>
    </row>
    <row r="823" spans="1:37" x14ac:dyDescent="0.2">
      <c r="A823" s="1">
        <v>43000</v>
      </c>
      <c r="B823" s="1">
        <v>951700191</v>
      </c>
      <c r="C823" s="1" t="str">
        <f>"تخليه -نيشابور-كارخانه آسفالت شركت دل حفره"</f>
        <v>تخليه -نيشابور-كارخانه آسفالت شركت دل حفره</v>
      </c>
      <c r="D823" s="1">
        <v>7176</v>
      </c>
      <c r="E823" s="1">
        <v>43000</v>
      </c>
      <c r="F823" s="1">
        <v>95</v>
      </c>
      <c r="G823" s="1">
        <v>0</v>
      </c>
      <c r="H823" s="1" t="str">
        <f>"95/06/07"</f>
        <v>95/06/07</v>
      </c>
      <c r="I823" s="1" t="str">
        <f t="shared" si="208"/>
        <v>كيلوگرم</v>
      </c>
      <c r="J823" s="1" t="str">
        <f t="shared" si="216"/>
        <v>0000000091</v>
      </c>
      <c r="K823" s="1" t="str">
        <f t="shared" si="217"/>
        <v>قير  PG64-22</v>
      </c>
      <c r="L823" s="1">
        <v>100</v>
      </c>
      <c r="M823" s="1" t="str">
        <f t="shared" si="211"/>
        <v>مخازن قير اصفهان</v>
      </c>
      <c r="N823" s="1">
        <v>4026</v>
      </c>
      <c r="O823" s="1">
        <v>50031684</v>
      </c>
      <c r="P823" s="1" t="str">
        <f t="shared" si="218"/>
        <v xml:space="preserve">  اداره كل راه و شهرسازي خراسان رضوي</v>
      </c>
      <c r="Q823" s="1">
        <v>17</v>
      </c>
      <c r="R823" s="1" t="str">
        <f t="shared" si="220"/>
        <v>فروش داخلي تهران - وزارت راه - راه روستايي - روکش</v>
      </c>
      <c r="S823" s="1" t="str">
        <f t="shared" si="209"/>
        <v>قرارداد فروش</v>
      </c>
      <c r="T823" s="1" t="str">
        <f t="shared" si="210"/>
        <v>ندارد</v>
      </c>
      <c r="U823" s="1" t="str">
        <f>"حسيني سيدجواد(1841076)"</f>
        <v>حسيني سيدجواد(1841076)</v>
      </c>
      <c r="V823" s="1">
        <v>951700191</v>
      </c>
      <c r="W823" s="1">
        <v>951700191</v>
      </c>
      <c r="X823" s="1" t="str">
        <f>"1395426941"</f>
        <v>1395426941</v>
      </c>
      <c r="Y823" s="1" t="str">
        <f>"95/06/07"</f>
        <v>95/06/07</v>
      </c>
      <c r="Z823" s="1" t="str">
        <f>"25075/510"</f>
        <v>25075/510</v>
      </c>
      <c r="AA823" s="1" t="str">
        <f t="shared" si="221"/>
        <v>راه روستائي -روكش</v>
      </c>
      <c r="AB823" s="1" t="str">
        <f>"95/05/31"</f>
        <v>95/05/31</v>
      </c>
      <c r="AC823" s="1" t="str">
        <f t="shared" si="219"/>
        <v>خراسان رضوي</v>
      </c>
      <c r="AD823" s="1" t="str">
        <f>"95/06/06"</f>
        <v>95/06/06</v>
      </c>
      <c r="AE823" s="1" t="str">
        <f t="shared" si="213"/>
        <v>اختتام</v>
      </c>
      <c r="AF823" s="1" t="str">
        <f>""</f>
        <v/>
      </c>
      <c r="AG823" s="1" t="str">
        <f>""</f>
        <v/>
      </c>
      <c r="AH823" s="1" t="str">
        <f>""</f>
        <v/>
      </c>
      <c r="AI823" s="1" t="str">
        <f>""</f>
        <v/>
      </c>
      <c r="AJ823" s="1" t="str">
        <f>""</f>
        <v/>
      </c>
      <c r="AK823" s="1" t="str">
        <f>""</f>
        <v/>
      </c>
    </row>
    <row r="824" spans="1:37" x14ac:dyDescent="0.2">
      <c r="A824" s="1">
        <v>104000</v>
      </c>
      <c r="B824" s="1">
        <v>951700222</v>
      </c>
      <c r="C824" s="1" t="str">
        <f>"تخليه -خراسان رضوي -نيشابور-فيروزه -كيلومتر12جاده قوچان -كارخانه آسفالت دل حفره"</f>
        <v>تخليه -خراسان رضوي -نيشابور-فيروزه -كيلومتر12جاده قوچان -كارخانه آسفالت دل حفره</v>
      </c>
      <c r="D824" s="1">
        <v>7276</v>
      </c>
      <c r="E824" s="1">
        <v>95180</v>
      </c>
      <c r="F824" s="1">
        <v>95</v>
      </c>
      <c r="G824" s="1">
        <v>8820</v>
      </c>
      <c r="H824" s="1" t="str">
        <f>"95/07/06"</f>
        <v>95/07/06</v>
      </c>
      <c r="I824" s="1" t="str">
        <f t="shared" si="208"/>
        <v>كيلوگرم</v>
      </c>
      <c r="J824" s="1" t="str">
        <f t="shared" si="216"/>
        <v>0000000091</v>
      </c>
      <c r="K824" s="1" t="str">
        <f t="shared" si="217"/>
        <v>قير  PG64-22</v>
      </c>
      <c r="L824" s="1">
        <v>100</v>
      </c>
      <c r="M824" s="1" t="str">
        <f t="shared" si="211"/>
        <v>مخازن قير اصفهان</v>
      </c>
      <c r="N824" s="1">
        <v>4026</v>
      </c>
      <c r="O824" s="1">
        <v>50032004</v>
      </c>
      <c r="P824" s="1" t="str">
        <f t="shared" si="218"/>
        <v xml:space="preserve">  اداره كل راه و شهرسازي خراسان رضوي</v>
      </c>
      <c r="Q824" s="1">
        <v>17</v>
      </c>
      <c r="R824" s="1" t="str">
        <f t="shared" si="220"/>
        <v>فروش داخلي تهران - وزارت راه - راه روستايي - روکش</v>
      </c>
      <c r="S824" s="1" t="str">
        <f t="shared" si="209"/>
        <v>قرارداد فروش</v>
      </c>
      <c r="T824" s="1" t="str">
        <f t="shared" si="210"/>
        <v>ندارد</v>
      </c>
      <c r="U824" s="1" t="str">
        <f>"حسيني سيدجواد(1841076)"</f>
        <v>حسيني سيدجواد(1841076)</v>
      </c>
      <c r="V824" s="1">
        <v>951700222</v>
      </c>
      <c r="W824" s="1">
        <v>951700222</v>
      </c>
      <c r="X824" s="1" t="str">
        <f>"1395433846"</f>
        <v>1395433846</v>
      </c>
      <c r="Y824" s="1" t="str">
        <f>"95/07/06"</f>
        <v>95/07/06</v>
      </c>
      <c r="Z824" s="1" t="str">
        <f>"30262/510"</f>
        <v>30262/510</v>
      </c>
      <c r="AA824" s="1" t="str">
        <f t="shared" si="221"/>
        <v>راه روستائي -روكش</v>
      </c>
      <c r="AB824" s="1" t="str">
        <f>"95/06/27"</f>
        <v>95/06/27</v>
      </c>
      <c r="AC824" s="1" t="str">
        <f t="shared" si="219"/>
        <v>خراسان رضوي</v>
      </c>
      <c r="AD824" s="1" t="str">
        <f>"95/07/05"</f>
        <v>95/07/05</v>
      </c>
      <c r="AE824" s="1" t="str">
        <f t="shared" si="213"/>
        <v>اختتام</v>
      </c>
      <c r="AF824" s="1" t="str">
        <f>""</f>
        <v/>
      </c>
      <c r="AG824" s="1" t="str">
        <f>""</f>
        <v/>
      </c>
      <c r="AH824" s="1" t="str">
        <f>""</f>
        <v/>
      </c>
      <c r="AI824" s="1" t="str">
        <f>""</f>
        <v/>
      </c>
      <c r="AJ824" s="1" t="str">
        <f>""</f>
        <v/>
      </c>
      <c r="AK824" s="1" t="str">
        <f>""</f>
        <v/>
      </c>
    </row>
    <row r="825" spans="1:37" x14ac:dyDescent="0.2">
      <c r="A825" s="1">
        <v>15680</v>
      </c>
      <c r="B825" s="1">
        <v>951800094</v>
      </c>
      <c r="C825" s="1" t="str">
        <f>"تخليه -ملاير-جوكار-به سمت جاده توسيركان -جاده روستاي كوسج خليل"</f>
        <v>تخليه -ملاير-جوكار-به سمت جاده توسيركان -جاده روستاي كوسج خليل</v>
      </c>
      <c r="D825" s="1">
        <v>8323</v>
      </c>
      <c r="E825" s="1">
        <v>14500</v>
      </c>
      <c r="F825" s="1">
        <v>95</v>
      </c>
      <c r="G825" s="1">
        <v>1180</v>
      </c>
      <c r="H825" s="1" t="str">
        <f>"95/08/08"</f>
        <v>95/08/08</v>
      </c>
      <c r="I825" s="1" t="str">
        <f t="shared" si="208"/>
        <v>كيلوگرم</v>
      </c>
      <c r="J825" s="1" t="str">
        <f t="shared" si="216"/>
        <v>0000000091</v>
      </c>
      <c r="K825" s="1" t="str">
        <f t="shared" si="217"/>
        <v>قير  PG64-22</v>
      </c>
      <c r="L825" s="1">
        <v>100</v>
      </c>
      <c r="M825" s="1" t="str">
        <f t="shared" si="211"/>
        <v>مخازن قير اصفهان</v>
      </c>
      <c r="N825" s="1">
        <v>9645</v>
      </c>
      <c r="O825" s="1">
        <v>50032339</v>
      </c>
      <c r="P825" s="1" t="str">
        <f>"  بتن راه ميلاد"</f>
        <v xml:space="preserve">  بتن راه ميلاد</v>
      </c>
      <c r="Q825" s="1">
        <v>18</v>
      </c>
      <c r="R825" s="1" t="str">
        <f>"فروش داخلي تهران - وزارت راه - شرکت ساخت و توسعه راهها"</f>
        <v>فروش داخلي تهران - وزارت راه - شرکت ساخت و توسعه راهها</v>
      </c>
      <c r="S825" s="1" t="str">
        <f t="shared" si="209"/>
        <v>قرارداد فروش</v>
      </c>
      <c r="T825" s="1" t="str">
        <f t="shared" si="210"/>
        <v>ندارد</v>
      </c>
      <c r="U825" s="1" t="str">
        <f>"حاجيلوئي علي اصغر(2842019)"</f>
        <v>حاجيلوئي علي اصغر(2842019)</v>
      </c>
      <c r="V825" s="1">
        <v>951800094</v>
      </c>
      <c r="W825" s="1">
        <v>951800094</v>
      </c>
      <c r="X825" s="1" t="str">
        <f>"1395434116"</f>
        <v>1395434116</v>
      </c>
      <c r="Y825" s="1" t="str">
        <f>"95/08/08"</f>
        <v>95/08/08</v>
      </c>
      <c r="Z825" s="1" t="str">
        <f>"30399/510"</f>
        <v>30399/510</v>
      </c>
      <c r="AA825" s="1" t="str">
        <f>"شركت  ساخت وتوسعه راهها"</f>
        <v>شركت  ساخت وتوسعه راهها</v>
      </c>
      <c r="AB825" s="1" t="str">
        <f>"95/06/27"</f>
        <v>95/06/27</v>
      </c>
      <c r="AC825" s="1" t="str">
        <f>"استان همدان"</f>
        <v>استان همدان</v>
      </c>
      <c r="AD825" s="1" t="str">
        <f>"95/07/06"</f>
        <v>95/07/06</v>
      </c>
      <c r="AE825" s="1" t="str">
        <f t="shared" si="213"/>
        <v>اختتام</v>
      </c>
      <c r="AF825" s="1" t="str">
        <f>""</f>
        <v/>
      </c>
      <c r="AG825" s="1" t="str">
        <f>""</f>
        <v/>
      </c>
      <c r="AH825" s="1" t="str">
        <f>""</f>
        <v/>
      </c>
      <c r="AI825" s="1" t="str">
        <f>""</f>
        <v/>
      </c>
      <c r="AJ825" s="1" t="str">
        <f>""</f>
        <v/>
      </c>
      <c r="AK825" s="1" t="str">
        <f>""</f>
        <v/>
      </c>
    </row>
    <row r="826" spans="1:37" x14ac:dyDescent="0.2">
      <c r="A826" s="1">
        <v>500000</v>
      </c>
      <c r="B826" s="1">
        <v>951900148</v>
      </c>
      <c r="C826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826" s="1">
        <v>7176</v>
      </c>
      <c r="E826" s="1">
        <v>497800</v>
      </c>
      <c r="F826" s="1">
        <v>95</v>
      </c>
      <c r="G826" s="1">
        <v>2200</v>
      </c>
      <c r="H826" s="1" t="str">
        <f>"95/06/20"</f>
        <v>95/06/20</v>
      </c>
      <c r="I826" s="1" t="str">
        <f t="shared" si="208"/>
        <v>كيلوگرم</v>
      </c>
      <c r="J826" s="1" t="str">
        <f t="shared" si="216"/>
        <v>0000000091</v>
      </c>
      <c r="K826" s="1" t="str">
        <f t="shared" si="217"/>
        <v>قير  PG64-22</v>
      </c>
      <c r="L826" s="1">
        <v>100</v>
      </c>
      <c r="M826" s="1" t="str">
        <f t="shared" si="211"/>
        <v>مخازن قير اصفهان</v>
      </c>
      <c r="N826" s="1">
        <v>9734</v>
      </c>
      <c r="O826" s="1">
        <v>50031833</v>
      </c>
      <c r="P826" s="1" t="str">
        <f>"  تيسفون راه زاگرس(زرين بام هليلان )"</f>
        <v xml:space="preserve">  تيسفون راه زاگرس(زرين بام هليلان )</v>
      </c>
      <c r="Q826" s="1">
        <v>19</v>
      </c>
      <c r="R8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26" s="1" t="str">
        <f t="shared" si="209"/>
        <v>قرارداد فروش</v>
      </c>
      <c r="T826" s="1" t="str">
        <f t="shared" si="210"/>
        <v>ندارد</v>
      </c>
      <c r="U826" s="1" t="str">
        <f>"افراسيابي كيومرث(2842031)"</f>
        <v>افراسيابي كيومرث(2842031)</v>
      </c>
      <c r="V826" s="1">
        <v>951900148</v>
      </c>
      <c r="W826" s="1">
        <v>951900148</v>
      </c>
      <c r="X826" s="1" t="str">
        <f>"1395430317"</f>
        <v>1395430317</v>
      </c>
      <c r="Y826" s="1" t="str">
        <f>"95/06/20"</f>
        <v>95/06/20</v>
      </c>
      <c r="Z826" s="1" t="str">
        <f>"28784/510"</f>
        <v>28784/510</v>
      </c>
      <c r="AA826" s="1" t="str">
        <f>"سازمان راهداري وحمل نقل جاده اي"</f>
        <v>سازمان راهداري وحمل نقل جاده اي</v>
      </c>
      <c r="AB826" s="1" t="str">
        <f>"95/06/16"</f>
        <v>95/06/16</v>
      </c>
      <c r="AC826" s="1" t="str">
        <f>"استان كرمانشاه"</f>
        <v>استان كرمانشاه</v>
      </c>
      <c r="AD826" s="1" t="str">
        <f>"95/06/17"</f>
        <v>95/06/17</v>
      </c>
      <c r="AE826" s="1" t="str">
        <f t="shared" si="213"/>
        <v>اختتام</v>
      </c>
      <c r="AF826" s="1" t="str">
        <f>""</f>
        <v/>
      </c>
      <c r="AG826" s="1" t="str">
        <f>""</f>
        <v/>
      </c>
      <c r="AH826" s="1" t="str">
        <f>""</f>
        <v/>
      </c>
      <c r="AI826" s="1" t="str">
        <f>""</f>
        <v/>
      </c>
      <c r="AJ826" s="1" t="str">
        <f>""</f>
        <v/>
      </c>
      <c r="AK826" s="1" t="str">
        <f>""</f>
        <v/>
      </c>
    </row>
    <row r="827" spans="1:37" x14ac:dyDescent="0.2">
      <c r="A827" s="1">
        <v>1030000</v>
      </c>
      <c r="B827" s="1">
        <v>951700225</v>
      </c>
      <c r="C827" s="1" t="str">
        <f>"تخليه -خراسان رضوي -سبزوار-كارخانه آسفالت ابريشم راه بيهق"</f>
        <v>تخليه -خراسان رضوي -سبزوار-كارخانه آسفالت ابريشم راه بيهق</v>
      </c>
      <c r="D827" s="1">
        <v>7276</v>
      </c>
      <c r="E827" s="1">
        <v>1029120</v>
      </c>
      <c r="F827" s="1">
        <v>95</v>
      </c>
      <c r="G827" s="1">
        <v>880</v>
      </c>
      <c r="H827" s="1" t="str">
        <f>"95/07/06"</f>
        <v>95/07/06</v>
      </c>
      <c r="I827" s="1" t="str">
        <f t="shared" si="208"/>
        <v>كيلوگرم</v>
      </c>
      <c r="J827" s="1" t="str">
        <f t="shared" si="216"/>
        <v>0000000091</v>
      </c>
      <c r="K827" s="1" t="str">
        <f t="shared" si="217"/>
        <v>قير  PG64-22</v>
      </c>
      <c r="L827" s="1">
        <v>100</v>
      </c>
      <c r="M827" s="1" t="str">
        <f t="shared" si="211"/>
        <v>مخازن قير اصفهان</v>
      </c>
      <c r="N827" s="1">
        <v>4026</v>
      </c>
      <c r="O827" s="1">
        <v>50032011</v>
      </c>
      <c r="P827" s="1" t="str">
        <f t="shared" ref="P827:P834" si="222">"  اداره كل راه و شهرسازي خراسان رضوي"</f>
        <v xml:space="preserve">  اداره كل راه و شهرسازي خراسان رضوي</v>
      </c>
      <c r="Q827" s="1">
        <v>17</v>
      </c>
      <c r="R827" s="1" t="str">
        <f>"فروش داخلي تهران - وزارت راه - راه روستايي - روکش"</f>
        <v>فروش داخلي تهران - وزارت راه - راه روستايي - روکش</v>
      </c>
      <c r="S827" s="1" t="str">
        <f t="shared" si="209"/>
        <v>قرارداد فروش</v>
      </c>
      <c r="T827" s="1" t="str">
        <f t="shared" si="210"/>
        <v>ندارد</v>
      </c>
      <c r="U827" s="1" t="str">
        <f>"بابامحمدي عنايت اله(4844000)"</f>
        <v>بابامحمدي عنايت اله(4844000)</v>
      </c>
      <c r="V827" s="1">
        <v>951700225</v>
      </c>
      <c r="W827" s="1">
        <v>951700225</v>
      </c>
      <c r="X827" s="1" t="str">
        <f>"1395433834"</f>
        <v>1395433834</v>
      </c>
      <c r="Y827" s="1" t="str">
        <f>"95/07/06"</f>
        <v>95/07/06</v>
      </c>
      <c r="Z827" s="1" t="str">
        <f>"30261/510"</f>
        <v>30261/510</v>
      </c>
      <c r="AA827" s="1" t="str">
        <f>"راه روستائي -روكش"</f>
        <v>راه روستائي -روكش</v>
      </c>
      <c r="AB827" s="1" t="str">
        <f>"95/06/27"</f>
        <v>95/06/27</v>
      </c>
      <c r="AC827" s="1" t="str">
        <f t="shared" ref="AC827:AC835" si="223">"خراسان رضوي"</f>
        <v>خراسان رضوي</v>
      </c>
      <c r="AD827" s="1" t="str">
        <f>"95/07/05"</f>
        <v>95/07/05</v>
      </c>
      <c r="AE827" s="1" t="str">
        <f t="shared" si="213"/>
        <v>اختتام</v>
      </c>
      <c r="AF827" s="1" t="str">
        <f>""</f>
        <v/>
      </c>
      <c r="AG827" s="1" t="str">
        <f>""</f>
        <v/>
      </c>
      <c r="AH827" s="1" t="str">
        <f>""</f>
        <v/>
      </c>
      <c r="AI827" s="1" t="str">
        <f>""</f>
        <v/>
      </c>
      <c r="AJ827" s="1" t="str">
        <f>""</f>
        <v/>
      </c>
      <c r="AK827" s="1" t="str">
        <f>""</f>
        <v/>
      </c>
    </row>
    <row r="828" spans="1:37" x14ac:dyDescent="0.2">
      <c r="A828" s="1">
        <v>600000</v>
      </c>
      <c r="B828" s="1">
        <v>951700227</v>
      </c>
      <c r="C828" s="1" t="str">
        <f>"تخليه-مشهد-ابتداي جاده کلات کارخانه فراز راه بيرجند"</f>
        <v>تخليه-مشهد-ابتداي جاده کلات کارخانه فراز راه بيرجند</v>
      </c>
      <c r="D828" s="1">
        <v>7276</v>
      </c>
      <c r="E828" s="1">
        <v>401060</v>
      </c>
      <c r="F828" s="1">
        <v>95</v>
      </c>
      <c r="G828" s="1">
        <v>198940</v>
      </c>
      <c r="H828" s="1" t="str">
        <f>"95/07/06"</f>
        <v>95/07/06</v>
      </c>
      <c r="I828" s="1" t="str">
        <f t="shared" si="208"/>
        <v>كيلوگرم</v>
      </c>
      <c r="J828" s="1" t="str">
        <f t="shared" si="216"/>
        <v>0000000091</v>
      </c>
      <c r="K828" s="1" t="str">
        <f t="shared" si="217"/>
        <v>قير  PG64-22</v>
      </c>
      <c r="L828" s="1">
        <v>100</v>
      </c>
      <c r="M828" s="1" t="str">
        <f t="shared" si="211"/>
        <v>مخازن قير اصفهان</v>
      </c>
      <c r="N828" s="1">
        <v>4026</v>
      </c>
      <c r="O828" s="1">
        <v>50032013</v>
      </c>
      <c r="P828" s="1" t="str">
        <f t="shared" si="222"/>
        <v xml:space="preserve">  اداره كل راه و شهرسازي خراسان رضوي</v>
      </c>
      <c r="Q828" s="1">
        <v>17</v>
      </c>
      <c r="R828" s="1" t="str">
        <f>"فروش داخلي تهران - وزارت راه - راه روستايي - روکش"</f>
        <v>فروش داخلي تهران - وزارت راه - راه روستايي - روکش</v>
      </c>
      <c r="S828" s="1" t="str">
        <f t="shared" si="209"/>
        <v>قرارداد فروش</v>
      </c>
      <c r="T828" s="1" t="str">
        <f t="shared" si="210"/>
        <v>ندارد</v>
      </c>
      <c r="U828" s="1" t="str">
        <f>"حسيني سيدجواد(1841076)"</f>
        <v>حسيني سيدجواد(1841076)</v>
      </c>
      <c r="V828" s="1">
        <v>951700227</v>
      </c>
      <c r="W828" s="1">
        <v>951700227</v>
      </c>
      <c r="X828" s="1" t="str">
        <f>"1395433834"</f>
        <v>1395433834</v>
      </c>
      <c r="Y828" s="1" t="str">
        <f>"95/07/06"</f>
        <v>95/07/06</v>
      </c>
      <c r="Z828" s="1" t="str">
        <f>"30701/510"</f>
        <v>30701/510</v>
      </c>
      <c r="AA828" s="1" t="str">
        <f>"راه روستائي -روكش"</f>
        <v>راه روستائي -روكش</v>
      </c>
      <c r="AB828" s="1" t="str">
        <f>"95/06/28"</f>
        <v>95/06/28</v>
      </c>
      <c r="AC828" s="1" t="str">
        <f t="shared" si="223"/>
        <v>خراسان رضوي</v>
      </c>
      <c r="AD828" s="1" t="str">
        <f>"95/07/05"</f>
        <v>95/07/05</v>
      </c>
      <c r="AE828" s="1" t="str">
        <f t="shared" si="213"/>
        <v>اختتام</v>
      </c>
      <c r="AF828" s="1" t="str">
        <f>""</f>
        <v/>
      </c>
      <c r="AG828" s="1" t="str">
        <f>""</f>
        <v/>
      </c>
      <c r="AH828" s="1" t="str">
        <f>""</f>
        <v/>
      </c>
      <c r="AI828" s="1" t="str">
        <f>""</f>
        <v/>
      </c>
      <c r="AJ828" s="1" t="str">
        <f>""</f>
        <v/>
      </c>
      <c r="AK828" s="1" t="str">
        <f>""</f>
        <v/>
      </c>
    </row>
    <row r="829" spans="1:37" x14ac:dyDescent="0.2">
      <c r="A829" s="1">
        <v>270000</v>
      </c>
      <c r="B829" s="1">
        <v>951700228</v>
      </c>
      <c r="C829" s="1" t="str">
        <f>"تخليه -خراسان رضوي -سبزوار-كارخانه آسفالت ابريشم راه بيهق"</f>
        <v>تخليه -خراسان رضوي -سبزوار-كارخانه آسفالت ابريشم راه بيهق</v>
      </c>
      <c r="D829" s="1">
        <v>7276</v>
      </c>
      <c r="E829" s="1">
        <v>92580</v>
      </c>
      <c r="F829" s="1">
        <v>95</v>
      </c>
      <c r="G829" s="1">
        <v>177420</v>
      </c>
      <c r="H829" s="1" t="str">
        <f>"95/07/06"</f>
        <v>95/07/06</v>
      </c>
      <c r="I829" s="1" t="str">
        <f t="shared" si="208"/>
        <v>كيلوگرم</v>
      </c>
      <c r="J829" s="1" t="str">
        <f t="shared" si="216"/>
        <v>0000000091</v>
      </c>
      <c r="K829" s="1" t="str">
        <f t="shared" si="217"/>
        <v>قير  PG64-22</v>
      </c>
      <c r="L829" s="1">
        <v>100</v>
      </c>
      <c r="M829" s="1" t="str">
        <f t="shared" si="211"/>
        <v>مخازن قير اصفهان</v>
      </c>
      <c r="N829" s="1">
        <v>4026</v>
      </c>
      <c r="O829" s="1">
        <v>50032014</v>
      </c>
      <c r="P829" s="1" t="str">
        <f t="shared" si="222"/>
        <v xml:space="preserve">  اداره كل راه و شهرسازي خراسان رضوي</v>
      </c>
      <c r="Q829" s="1">
        <v>17</v>
      </c>
      <c r="R829" s="1" t="str">
        <f>"فروش داخلي تهران - وزارت راه - راه روستايي - روکش"</f>
        <v>فروش داخلي تهران - وزارت راه - راه روستايي - روکش</v>
      </c>
      <c r="S829" s="1" t="str">
        <f t="shared" si="209"/>
        <v>قرارداد فروش</v>
      </c>
      <c r="T829" s="1" t="str">
        <f t="shared" si="210"/>
        <v>ندارد</v>
      </c>
      <c r="U829" s="1" t="str">
        <f>"حسيني علي(1841001)"</f>
        <v>حسيني علي(1841001)</v>
      </c>
      <c r="V829" s="1">
        <v>951700228</v>
      </c>
      <c r="W829" s="1">
        <v>951700228</v>
      </c>
      <c r="X829" s="1" t="str">
        <f>"1395433834"</f>
        <v>1395433834</v>
      </c>
      <c r="Y829" s="1" t="str">
        <f>"95/07/06"</f>
        <v>95/07/06</v>
      </c>
      <c r="Z829" s="1" t="str">
        <f>"30701/510"</f>
        <v>30701/510</v>
      </c>
      <c r="AA829" s="1" t="str">
        <f>"راه روستائي -روكش"</f>
        <v>راه روستائي -روكش</v>
      </c>
      <c r="AB829" s="1" t="str">
        <f>"95/06/28"</f>
        <v>95/06/28</v>
      </c>
      <c r="AC829" s="1" t="str">
        <f t="shared" si="223"/>
        <v>خراسان رضوي</v>
      </c>
      <c r="AD829" s="1" t="str">
        <f>"95/07/05"</f>
        <v>95/07/05</v>
      </c>
      <c r="AE829" s="1" t="str">
        <f t="shared" si="213"/>
        <v>اختتام</v>
      </c>
      <c r="AF829" s="1" t="str">
        <f>""</f>
        <v/>
      </c>
      <c r="AG829" s="1" t="str">
        <f>""</f>
        <v/>
      </c>
      <c r="AH829" s="1" t="str">
        <f>""</f>
        <v/>
      </c>
      <c r="AI829" s="1" t="str">
        <f>""</f>
        <v/>
      </c>
      <c r="AJ829" s="1" t="str">
        <f>""</f>
        <v/>
      </c>
      <c r="AK829" s="1" t="str">
        <f>""</f>
        <v/>
      </c>
    </row>
    <row r="830" spans="1:37" x14ac:dyDescent="0.2">
      <c r="A830" s="1">
        <v>177580</v>
      </c>
      <c r="B830" s="1">
        <v>951700246</v>
      </c>
      <c r="C830" s="1" t="str">
        <f>"تخليه -خراسان رضوي- بجستان کارخانه آسفالت عابديان"</f>
        <v>تخليه -خراسان رضوي- بجستان کارخانه آسفالت عابديان</v>
      </c>
      <c r="D830" s="1">
        <v>8323</v>
      </c>
      <c r="E830" s="1">
        <v>163840</v>
      </c>
      <c r="F830" s="1">
        <v>95</v>
      </c>
      <c r="G830" s="1">
        <v>13740</v>
      </c>
      <c r="H830" s="1" t="str">
        <f>"95/08/05"</f>
        <v>95/08/05</v>
      </c>
      <c r="I830" s="1" t="str">
        <f t="shared" si="208"/>
        <v>كيلوگرم</v>
      </c>
      <c r="J830" s="1" t="str">
        <f t="shared" si="216"/>
        <v>0000000091</v>
      </c>
      <c r="K830" s="1" t="str">
        <f t="shared" si="217"/>
        <v>قير  PG64-22</v>
      </c>
      <c r="L830" s="1">
        <v>100</v>
      </c>
      <c r="M830" s="1" t="str">
        <f t="shared" si="211"/>
        <v>مخازن قير اصفهان</v>
      </c>
      <c r="N830" s="1">
        <v>4026</v>
      </c>
      <c r="O830" s="1">
        <v>50032263</v>
      </c>
      <c r="P830" s="1" t="str">
        <f t="shared" si="222"/>
        <v xml:space="preserve">  اداره كل راه و شهرسازي خراسان رضوي</v>
      </c>
      <c r="Q830" s="1">
        <v>17</v>
      </c>
      <c r="R830" s="1" t="str">
        <f>"فروش داخلي تهران - وزارت راه - راه روستايي - روکش"</f>
        <v>فروش داخلي تهران - وزارت راه - راه روستايي - روکش</v>
      </c>
      <c r="S830" s="1" t="str">
        <f t="shared" si="209"/>
        <v>قرارداد فروش</v>
      </c>
      <c r="T830" s="1" t="str">
        <f t="shared" si="210"/>
        <v>ندارد</v>
      </c>
      <c r="U830" s="1" t="str">
        <f>"حسيني سيدجواد(1841076)"</f>
        <v>حسيني سيدجواد(1841076)</v>
      </c>
      <c r="V830" s="1">
        <v>951700246</v>
      </c>
      <c r="W830" s="1">
        <v>951700246</v>
      </c>
      <c r="X830" s="1" t="str">
        <f>"1395418062"</f>
        <v>1395418062</v>
      </c>
      <c r="Y830" s="1" t="str">
        <f>"95/08/05"</f>
        <v>95/08/05</v>
      </c>
      <c r="Z830" s="1" t="str">
        <f>"18431/510"</f>
        <v>18431/510</v>
      </c>
      <c r="AA830" s="1" t="str">
        <f>"راه روستائي -روكش"</f>
        <v>راه روستائي -روكش</v>
      </c>
      <c r="AB830" s="1" t="str">
        <f>"95/04/28"</f>
        <v>95/04/28</v>
      </c>
      <c r="AC830" s="1" t="str">
        <f t="shared" si="223"/>
        <v>خراسان رضوي</v>
      </c>
      <c r="AD830" s="1" t="str">
        <f>"95/05/05"</f>
        <v>95/05/05</v>
      </c>
      <c r="AE830" s="1" t="str">
        <f t="shared" si="213"/>
        <v>اختتام</v>
      </c>
      <c r="AF830" s="1" t="str">
        <f>""</f>
        <v/>
      </c>
      <c r="AG830" s="1" t="str">
        <f>""</f>
        <v/>
      </c>
      <c r="AH830" s="1" t="str">
        <f>""</f>
        <v/>
      </c>
      <c r="AI830" s="1" t="str">
        <f>""</f>
        <v/>
      </c>
      <c r="AJ830" s="1" t="str">
        <f>""</f>
        <v/>
      </c>
      <c r="AK830" s="1" t="str">
        <f>""</f>
        <v/>
      </c>
    </row>
    <row r="831" spans="1:37" x14ac:dyDescent="0.2">
      <c r="A831" s="1">
        <v>359600</v>
      </c>
      <c r="B831" s="1">
        <v>951400089</v>
      </c>
      <c r="C831" s="1" t="str">
        <f>"تخليه -خراسان رضوي -جاده كلات شركت فناوري قيرزرين"</f>
        <v>تخليه -خراسان رضوي -جاده كلات شركت فناوري قيرزرين</v>
      </c>
      <c r="D831" s="1">
        <v>8323</v>
      </c>
      <c r="E831" s="1">
        <v>358680</v>
      </c>
      <c r="F831" s="1">
        <v>95</v>
      </c>
      <c r="G831" s="1">
        <v>920</v>
      </c>
      <c r="H831" s="1" t="str">
        <f>"95/08/08"</f>
        <v>95/08/08</v>
      </c>
      <c r="I831" s="1" t="str">
        <f t="shared" si="208"/>
        <v>كيلوگرم</v>
      </c>
      <c r="J831" s="1" t="str">
        <f t="shared" si="216"/>
        <v>0000000091</v>
      </c>
      <c r="K831" s="1" t="str">
        <f t="shared" si="217"/>
        <v>قير  PG64-22</v>
      </c>
      <c r="L831" s="1">
        <v>100</v>
      </c>
      <c r="M831" s="1" t="str">
        <f t="shared" si="211"/>
        <v>مخازن قير اصفهان</v>
      </c>
      <c r="N831" s="1">
        <v>4026</v>
      </c>
      <c r="O831" s="1">
        <v>50032404</v>
      </c>
      <c r="P831" s="1" t="str">
        <f t="shared" si="222"/>
        <v xml:space="preserve">  اداره كل راه و شهرسازي خراسان رضوي</v>
      </c>
      <c r="Q831" s="1">
        <v>14</v>
      </c>
      <c r="R831" s="1" t="str">
        <f>"فروش داخلي - وزارت راه - حوزه راه روستايي ساخت"</f>
        <v>فروش داخلي - وزارت راه - حوزه راه روستايي ساخت</v>
      </c>
      <c r="S831" s="1" t="str">
        <f t="shared" si="209"/>
        <v>قرارداد فروش</v>
      </c>
      <c r="T831" s="1" t="str">
        <f t="shared" si="210"/>
        <v>ندارد</v>
      </c>
      <c r="U831" s="1" t="str">
        <f>"قره باغي مجيد(1871065)"</f>
        <v>قره باغي مجيد(1871065)</v>
      </c>
      <c r="V831" s="1">
        <v>951400089</v>
      </c>
      <c r="W831" s="1">
        <v>951400089</v>
      </c>
      <c r="X831" s="1" t="str">
        <f>"1395433846"</f>
        <v>1395433846</v>
      </c>
      <c r="Y831" s="1" t="str">
        <f>"95/08/08"</f>
        <v>95/08/08</v>
      </c>
      <c r="Z831" s="1" t="str">
        <f>"31274/510"</f>
        <v>31274/510</v>
      </c>
      <c r="AA831" s="1" t="str">
        <f>"راه وروستايي -ساخت"</f>
        <v>راه وروستايي -ساخت</v>
      </c>
      <c r="AB831" s="1" t="str">
        <f>"95/06/31"</f>
        <v>95/06/31</v>
      </c>
      <c r="AC831" s="1" t="str">
        <f t="shared" si="223"/>
        <v>خراسان رضوي</v>
      </c>
      <c r="AD831" s="1" t="str">
        <f>"95/07/05"</f>
        <v>95/07/05</v>
      </c>
      <c r="AE831" s="1" t="str">
        <f t="shared" si="213"/>
        <v>اختتام</v>
      </c>
      <c r="AF831" s="1" t="str">
        <f>""</f>
        <v/>
      </c>
      <c r="AG831" s="1" t="str">
        <f>""</f>
        <v/>
      </c>
      <c r="AH831" s="1" t="str">
        <f>""</f>
        <v/>
      </c>
      <c r="AI831" s="1" t="str">
        <f>""</f>
        <v/>
      </c>
      <c r="AJ831" s="1" t="str">
        <f>""</f>
        <v/>
      </c>
      <c r="AK831" s="1" t="str">
        <f>""</f>
        <v/>
      </c>
    </row>
    <row r="832" spans="1:37" x14ac:dyDescent="0.2">
      <c r="A832" s="1">
        <v>107100</v>
      </c>
      <c r="B832" s="1">
        <v>951700283</v>
      </c>
      <c r="C832" s="1" t="str">
        <f>"تخليه-خراسان رضوي -بجستان -کارخانه آسفالت-شهرداري بجستان"</f>
        <v>تخليه-خراسان رضوي -بجستان -کارخانه آسفالت-شهرداري بجستان</v>
      </c>
      <c r="D832" s="1">
        <v>8323</v>
      </c>
      <c r="E832" s="1">
        <v>95920</v>
      </c>
      <c r="F832" s="1">
        <v>95</v>
      </c>
      <c r="G832" s="1">
        <v>11180</v>
      </c>
      <c r="H832" s="1" t="str">
        <f>"95/08/09"</f>
        <v>95/08/09</v>
      </c>
      <c r="I832" s="1" t="str">
        <f t="shared" si="208"/>
        <v>كيلوگرم</v>
      </c>
      <c r="J832" s="1" t="str">
        <f t="shared" si="216"/>
        <v>0000000091</v>
      </c>
      <c r="K832" s="1" t="str">
        <f t="shared" si="217"/>
        <v>قير  PG64-22</v>
      </c>
      <c r="L832" s="1">
        <v>100</v>
      </c>
      <c r="M832" s="1" t="str">
        <f t="shared" si="211"/>
        <v>مخازن قير اصفهان</v>
      </c>
      <c r="N832" s="1">
        <v>4026</v>
      </c>
      <c r="O832" s="1">
        <v>50032422</v>
      </c>
      <c r="P832" s="1" t="str">
        <f t="shared" si="222"/>
        <v xml:space="preserve">  اداره كل راه و شهرسازي خراسان رضوي</v>
      </c>
      <c r="Q832" s="1">
        <v>17</v>
      </c>
      <c r="R832" s="1" t="str">
        <f>"فروش داخلي تهران - وزارت راه - راه روستايي - روکش"</f>
        <v>فروش داخلي تهران - وزارت راه - راه روستايي - روکش</v>
      </c>
      <c r="S832" s="1" t="str">
        <f t="shared" si="209"/>
        <v>قرارداد فروش</v>
      </c>
      <c r="T832" s="1" t="str">
        <f t="shared" si="210"/>
        <v>ندارد</v>
      </c>
      <c r="U832" s="1" t="str">
        <f>"حسيني سيدجواد(1841076)"</f>
        <v>حسيني سيدجواد(1841076)</v>
      </c>
      <c r="V832" s="1">
        <v>951700283</v>
      </c>
      <c r="W832" s="1">
        <v>951700283</v>
      </c>
      <c r="X832" s="1" t="str">
        <f>"1395428996"</f>
        <v>1395428996</v>
      </c>
      <c r="Y832" s="1" t="str">
        <f>"95/08/09"</f>
        <v>95/08/09</v>
      </c>
      <c r="Z832" s="1" t="str">
        <f>"27997/510"</f>
        <v>27997/510</v>
      </c>
      <c r="AA832" s="1" t="str">
        <f>"راه روستائي -روكش"</f>
        <v>راه روستائي -روكش</v>
      </c>
      <c r="AB832" s="1" t="str">
        <f>"95/06/13"</f>
        <v>95/06/13</v>
      </c>
      <c r="AC832" s="1" t="str">
        <f t="shared" si="223"/>
        <v>خراسان رضوي</v>
      </c>
      <c r="AD832" s="1" t="str">
        <f>"95/06/14"</f>
        <v>95/06/14</v>
      </c>
      <c r="AE832" s="1" t="str">
        <f t="shared" ref="AE832:AE863" si="224">"اختتام"</f>
        <v>اختتام</v>
      </c>
      <c r="AF832" s="1" t="str">
        <f>""</f>
        <v/>
      </c>
      <c r="AG832" s="1" t="str">
        <f>""</f>
        <v/>
      </c>
      <c r="AH832" s="1" t="str">
        <f>""</f>
        <v/>
      </c>
      <c r="AI832" s="1" t="str">
        <f>""</f>
        <v/>
      </c>
      <c r="AJ832" s="1" t="str">
        <f>""</f>
        <v/>
      </c>
      <c r="AK832" s="1" t="str">
        <f>""</f>
        <v/>
      </c>
    </row>
    <row r="833" spans="1:37" x14ac:dyDescent="0.2">
      <c r="A833" s="1">
        <v>177800</v>
      </c>
      <c r="B833" s="1">
        <v>951700307</v>
      </c>
      <c r="C833" s="1" t="str">
        <f>"تخليه -خراسان رضوي محورتربت جام -فريمان كيلومتر45كارخانه استحكام انديش توس"</f>
        <v>تخليه -خراسان رضوي محورتربت جام -فريمان كيلومتر45كارخانه استحكام انديش توس</v>
      </c>
      <c r="D833" s="1">
        <v>8998</v>
      </c>
      <c r="E833" s="1">
        <v>171800</v>
      </c>
      <c r="F833" s="1">
        <v>95</v>
      </c>
      <c r="G833" s="1">
        <v>6000</v>
      </c>
      <c r="H833" s="1" t="str">
        <f>"95/11/03"</f>
        <v>95/11/03</v>
      </c>
      <c r="I833" s="1" t="str">
        <f t="shared" si="208"/>
        <v>كيلوگرم</v>
      </c>
      <c r="J833" s="1" t="str">
        <f t="shared" si="216"/>
        <v>0000000091</v>
      </c>
      <c r="K833" s="1" t="str">
        <f t="shared" si="217"/>
        <v>قير  PG64-22</v>
      </c>
      <c r="L833" s="1">
        <v>100</v>
      </c>
      <c r="M833" s="1" t="str">
        <f t="shared" si="211"/>
        <v>مخازن قير اصفهان</v>
      </c>
      <c r="N833" s="1">
        <v>4026</v>
      </c>
      <c r="O833" s="1">
        <v>50033426</v>
      </c>
      <c r="P833" s="1" t="str">
        <f t="shared" si="222"/>
        <v xml:space="preserve">  اداره كل راه و شهرسازي خراسان رضوي</v>
      </c>
      <c r="Q833" s="1">
        <v>17</v>
      </c>
      <c r="R833" s="1" t="str">
        <f>"فروش داخلي تهران - وزارت راه - راه روستايي - روکش"</f>
        <v>فروش داخلي تهران - وزارت راه - راه روستايي - روکش</v>
      </c>
      <c r="S833" s="1" t="str">
        <f t="shared" si="209"/>
        <v>قرارداد فروش</v>
      </c>
      <c r="T833" s="1" t="str">
        <f t="shared" si="210"/>
        <v>ندارد</v>
      </c>
      <c r="U833" s="1" t="str">
        <f>"نظام دوست امين (1911102)"</f>
        <v>نظام دوست امين (1911102)</v>
      </c>
      <c r="V833" s="1">
        <v>951700307</v>
      </c>
      <c r="W833" s="1">
        <v>951700307</v>
      </c>
      <c r="X833" s="1" t="str">
        <f>"1395433834"</f>
        <v>1395433834</v>
      </c>
      <c r="Y833" s="1" t="str">
        <f>"95/11/03"</f>
        <v>95/11/03</v>
      </c>
      <c r="Z833" s="1" t="str">
        <f>"31304/510"</f>
        <v>31304/510</v>
      </c>
      <c r="AA833" s="1" t="str">
        <f>"راه روستائي -روكش"</f>
        <v>راه روستائي -روكش</v>
      </c>
      <c r="AB833" s="1" t="str">
        <f>"95/06/31"</f>
        <v>95/06/31</v>
      </c>
      <c r="AC833" s="1" t="str">
        <f t="shared" si="223"/>
        <v>خراسان رضوي</v>
      </c>
      <c r="AD833" s="1" t="str">
        <f>"95/07/05"</f>
        <v>95/07/05</v>
      </c>
      <c r="AE833" s="1" t="str">
        <f t="shared" si="224"/>
        <v>اختتام</v>
      </c>
      <c r="AF833" s="1" t="str">
        <f>""</f>
        <v/>
      </c>
      <c r="AG833" s="1" t="str">
        <f>""</f>
        <v/>
      </c>
      <c r="AH833" s="1" t="str">
        <f>""</f>
        <v/>
      </c>
      <c r="AI833" s="1" t="str">
        <f>""</f>
        <v/>
      </c>
      <c r="AJ833" s="1" t="str">
        <f>""</f>
        <v/>
      </c>
      <c r="AK833" s="1" t="str">
        <f>""</f>
        <v/>
      </c>
    </row>
    <row r="834" spans="1:37" x14ac:dyDescent="0.2">
      <c r="A834" s="1">
        <v>55000</v>
      </c>
      <c r="B834" s="1">
        <v>951700308</v>
      </c>
      <c r="C834" s="1" t="str">
        <f>"تخليه -خراسان رضوي -شهرستان باخرز-كارخانه آسفالت شهرداري باخرز"</f>
        <v>تخليه -خراسان رضوي -شهرستان باخرز-كارخانه آسفالت شهرداري باخرز</v>
      </c>
      <c r="D834" s="1">
        <v>8998</v>
      </c>
      <c r="E834" s="1">
        <v>51060</v>
      </c>
      <c r="F834" s="1">
        <v>95</v>
      </c>
      <c r="G834" s="1">
        <v>3940</v>
      </c>
      <c r="H834" s="1" t="str">
        <f>"95/11/03"</f>
        <v>95/11/03</v>
      </c>
      <c r="I834" s="1" t="str">
        <f t="shared" ref="I834:I897" si="225">"كيلوگرم"</f>
        <v>كيلوگرم</v>
      </c>
      <c r="J834" s="1" t="str">
        <f t="shared" si="216"/>
        <v>0000000091</v>
      </c>
      <c r="K834" s="1" t="str">
        <f t="shared" si="217"/>
        <v>قير  PG64-22</v>
      </c>
      <c r="L834" s="1">
        <v>100</v>
      </c>
      <c r="M834" s="1" t="str">
        <f t="shared" si="211"/>
        <v>مخازن قير اصفهان</v>
      </c>
      <c r="N834" s="1">
        <v>4026</v>
      </c>
      <c r="O834" s="1">
        <v>50033427</v>
      </c>
      <c r="P834" s="1" t="str">
        <f t="shared" si="222"/>
        <v xml:space="preserve">  اداره كل راه و شهرسازي خراسان رضوي</v>
      </c>
      <c r="Q834" s="1">
        <v>17</v>
      </c>
      <c r="R834" s="1" t="str">
        <f>"فروش داخلي تهران - وزارت راه - راه روستايي - روکش"</f>
        <v>فروش داخلي تهران - وزارت راه - راه روستايي - روکش</v>
      </c>
      <c r="S834" s="1" t="str">
        <f t="shared" ref="S834:S897" si="226">"قرارداد فروش"</f>
        <v>قرارداد فروش</v>
      </c>
      <c r="T834" s="1" t="str">
        <f t="shared" ref="T834:T897" si="227">"ندارد"</f>
        <v>ندارد</v>
      </c>
      <c r="U834" s="1" t="str">
        <f>"نظام دوست امين (1911102)"</f>
        <v>نظام دوست امين (1911102)</v>
      </c>
      <c r="V834" s="1">
        <v>951700308</v>
      </c>
      <c r="W834" s="1">
        <v>951700308</v>
      </c>
      <c r="X834" s="1" t="str">
        <f>"1395433846"</f>
        <v>1395433846</v>
      </c>
      <c r="Y834" s="1" t="str">
        <f>"95/11/03"</f>
        <v>95/11/03</v>
      </c>
      <c r="Z834" s="1" t="str">
        <f>"31275/510"</f>
        <v>31275/510</v>
      </c>
      <c r="AA834" s="1" t="str">
        <f>"راه روستائي -روكش"</f>
        <v>راه روستائي -روكش</v>
      </c>
      <c r="AB834" s="1" t="str">
        <f>"95/06/31"</f>
        <v>95/06/31</v>
      </c>
      <c r="AC834" s="1" t="str">
        <f t="shared" si="223"/>
        <v>خراسان رضوي</v>
      </c>
      <c r="AD834" s="1" t="str">
        <f>"95/07/05"</f>
        <v>95/07/05</v>
      </c>
      <c r="AE834" s="1" t="str">
        <f t="shared" si="224"/>
        <v>اختتام</v>
      </c>
      <c r="AF834" s="1" t="str">
        <f>""</f>
        <v/>
      </c>
      <c r="AG834" s="1" t="str">
        <f>""</f>
        <v/>
      </c>
      <c r="AH834" s="1" t="str">
        <f>""</f>
        <v/>
      </c>
      <c r="AI834" s="1" t="str">
        <f>""</f>
        <v/>
      </c>
      <c r="AJ834" s="1" t="str">
        <f>""</f>
        <v/>
      </c>
      <c r="AK834" s="1" t="str">
        <f>""</f>
        <v/>
      </c>
    </row>
    <row r="835" spans="1:37" x14ac:dyDescent="0.2">
      <c r="A835" s="1">
        <v>500000</v>
      </c>
      <c r="B835" s="1">
        <v>951900005</v>
      </c>
      <c r="C835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835" s="1">
        <v>5650</v>
      </c>
      <c r="E835" s="1">
        <v>495260</v>
      </c>
      <c r="F835" s="1">
        <v>95</v>
      </c>
      <c r="G835" s="1">
        <v>4740</v>
      </c>
      <c r="H835" s="1" t="str">
        <f>"95/02/14"</f>
        <v>95/02/14</v>
      </c>
      <c r="I835" s="1" t="str">
        <f t="shared" si="225"/>
        <v>كيلوگرم</v>
      </c>
      <c r="J835" s="1" t="str">
        <f t="shared" si="216"/>
        <v>0000000091</v>
      </c>
      <c r="K835" s="1" t="str">
        <f t="shared" si="217"/>
        <v>قير  PG64-22</v>
      </c>
      <c r="L835" s="1">
        <v>100</v>
      </c>
      <c r="M835" s="1" t="str">
        <f t="shared" si="211"/>
        <v>مخازن قير اصفهان</v>
      </c>
      <c r="N835" s="1">
        <v>4060</v>
      </c>
      <c r="O835" s="1">
        <v>50030709</v>
      </c>
      <c r="P835" s="1" t="str">
        <f>"  توس راديه"</f>
        <v xml:space="preserve">  توس راديه</v>
      </c>
      <c r="Q835" s="1">
        <v>19</v>
      </c>
      <c r="R8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35" s="1" t="str">
        <f t="shared" si="226"/>
        <v>قرارداد فروش</v>
      </c>
      <c r="T835" s="1" t="str">
        <f t="shared" si="227"/>
        <v>ندارد</v>
      </c>
      <c r="U835" s="1" t="str">
        <f>"بابامحمدي عنايت اله(4844000)"</f>
        <v>بابامحمدي عنايت اله(4844000)</v>
      </c>
      <c r="V835" s="1">
        <v>951900005</v>
      </c>
      <c r="W835" s="1">
        <v>951900005</v>
      </c>
      <c r="X835" s="1" t="str">
        <f>"1395401779"</f>
        <v>1395401779</v>
      </c>
      <c r="Y835" s="1" t="str">
        <f>"95/02/14"</f>
        <v>95/02/14</v>
      </c>
      <c r="Z835" s="1" t="str">
        <f>"65620/510"</f>
        <v>65620/510</v>
      </c>
      <c r="AA835" s="1" t="str">
        <f>"سازمان راهداري وحمل نقل جاده اي"</f>
        <v>سازمان راهداري وحمل نقل جاده اي</v>
      </c>
      <c r="AB835" s="1" t="str">
        <f>"94/11/27"</f>
        <v>94/11/27</v>
      </c>
      <c r="AC835" s="1" t="str">
        <f t="shared" si="223"/>
        <v>خراسان رضوي</v>
      </c>
      <c r="AD835" s="1" t="str">
        <f>"95/02/08"</f>
        <v>95/02/08</v>
      </c>
      <c r="AE835" s="1" t="str">
        <f t="shared" si="224"/>
        <v>اختتام</v>
      </c>
      <c r="AF835" s="1" t="str">
        <f>""</f>
        <v/>
      </c>
      <c r="AG835" s="1" t="str">
        <f>""</f>
        <v/>
      </c>
      <c r="AH835" s="1" t="str">
        <f>""</f>
        <v/>
      </c>
      <c r="AI835" s="1" t="str">
        <f>""</f>
        <v/>
      </c>
      <c r="AJ835" s="1" t="str">
        <f>""</f>
        <v/>
      </c>
      <c r="AK835" s="1" t="str">
        <f>""</f>
        <v/>
      </c>
    </row>
    <row r="836" spans="1:37" x14ac:dyDescent="0.2">
      <c r="A836" s="1">
        <v>950000</v>
      </c>
      <c r="B836" s="1">
        <v>951600088</v>
      </c>
      <c r="C836" s="1" t="str">
        <f>"تخليه -خراسان جنوبي محورديهوك راورقبل ازدوراهي نايبندان روبه روي يخسازي"</f>
        <v>تخليه -خراسان جنوبي محورديهوك راورقبل ازدوراهي نايبندان روبه روي يخسازي</v>
      </c>
      <c r="D836" s="1">
        <v>9354</v>
      </c>
      <c r="E836" s="1">
        <v>949160</v>
      </c>
      <c r="F836" s="1">
        <v>95</v>
      </c>
      <c r="G836" s="1">
        <v>840</v>
      </c>
      <c r="H836" s="1" t="str">
        <f>"95/11/16"</f>
        <v>95/11/16</v>
      </c>
      <c r="I836" s="1" t="str">
        <f t="shared" si="225"/>
        <v>كيلوگرم</v>
      </c>
      <c r="J836" s="1" t="str">
        <f t="shared" si="216"/>
        <v>0000000091</v>
      </c>
      <c r="K836" s="1" t="str">
        <f t="shared" si="217"/>
        <v>قير  PG64-22</v>
      </c>
      <c r="L836" s="1">
        <v>100</v>
      </c>
      <c r="M836" s="1" t="str">
        <f t="shared" si="211"/>
        <v>مخازن قير اصفهان</v>
      </c>
      <c r="N836" s="1">
        <v>10098</v>
      </c>
      <c r="O836" s="1">
        <v>50033595</v>
      </c>
      <c r="P836" s="1" t="str">
        <f>"  راه سازي کرمان فرا راه"</f>
        <v xml:space="preserve">  راه سازي کرمان فرا راه</v>
      </c>
      <c r="Q836" s="1">
        <v>16</v>
      </c>
      <c r="R836" s="1" t="str">
        <f>"فروش داخلي تهران - وزارت راه - معاونت اقتصاد"</f>
        <v>فروش داخلي تهران - وزارت راه - معاونت اقتصاد</v>
      </c>
      <c r="S836" s="1" t="str">
        <f t="shared" si="226"/>
        <v>قرارداد فروش</v>
      </c>
      <c r="T836" s="1" t="str">
        <f t="shared" si="227"/>
        <v>ندارد</v>
      </c>
      <c r="U836" s="1" t="str">
        <f>"قانعي محمدرضا(1011ج89)"</f>
        <v>قانعي محمدرضا(1011ج89)</v>
      </c>
      <c r="V836" s="1">
        <v>951600088</v>
      </c>
      <c r="W836" s="1">
        <v>951600088</v>
      </c>
      <c r="X836" s="1" t="str">
        <f>"1395462694"</f>
        <v>1395462694</v>
      </c>
      <c r="Y836" s="1" t="str">
        <f>"95/11/16"</f>
        <v>95/11/16</v>
      </c>
      <c r="Z836" s="1" t="str">
        <f>"52024/710"</f>
        <v>52024/710</v>
      </c>
      <c r="AA836" s="1" t="str">
        <f>"معاونت اقتصادوزارت راه وشهرسازي"</f>
        <v>معاونت اقتصادوزارت راه وشهرسازي</v>
      </c>
      <c r="AB836" s="1" t="str">
        <f>"95/10/20"</f>
        <v>95/10/20</v>
      </c>
      <c r="AC836" s="1" t="str">
        <f>"خراسان جنوبي"</f>
        <v>خراسان جنوبي</v>
      </c>
      <c r="AD836" s="1" t="str">
        <f>"95/11/13"</f>
        <v>95/11/13</v>
      </c>
      <c r="AE836" s="1" t="str">
        <f t="shared" si="224"/>
        <v>اختتام</v>
      </c>
      <c r="AF836" s="1" t="str">
        <f>""</f>
        <v/>
      </c>
      <c r="AG836" s="1" t="str">
        <f>""</f>
        <v/>
      </c>
      <c r="AH836" s="1" t="str">
        <f>""</f>
        <v/>
      </c>
      <c r="AI836" s="1" t="str">
        <f>""</f>
        <v/>
      </c>
      <c r="AJ836" s="1" t="str">
        <f>""</f>
        <v/>
      </c>
      <c r="AK836" s="1" t="str">
        <f>""</f>
        <v/>
      </c>
    </row>
    <row r="837" spans="1:37" x14ac:dyDescent="0.2">
      <c r="A837" s="1">
        <v>2000000</v>
      </c>
      <c r="B837" s="1">
        <v>951400053</v>
      </c>
      <c r="C837" s="1" t="str">
        <f>"تخليه-ياسوج-مارگون-جوکار-کارخانه آسفالت موسسه فجر"</f>
        <v>تخليه-ياسوج-مارگون-جوکار-کارخانه آسفالت موسسه فجر</v>
      </c>
      <c r="D837" s="1">
        <v>6726</v>
      </c>
      <c r="E837" s="1">
        <v>1236840</v>
      </c>
      <c r="F837" s="1">
        <v>95</v>
      </c>
      <c r="G837" s="1">
        <v>763160</v>
      </c>
      <c r="H837" s="1" t="str">
        <f>"95/05/17"</f>
        <v>95/05/17</v>
      </c>
      <c r="I837" s="1" t="str">
        <f t="shared" si="225"/>
        <v>كيلوگرم</v>
      </c>
      <c r="J837" s="1" t="str">
        <f t="shared" si="216"/>
        <v>0000000091</v>
      </c>
      <c r="K837" s="1" t="str">
        <f t="shared" si="217"/>
        <v>قير  PG64-22</v>
      </c>
      <c r="L837" s="1">
        <v>100</v>
      </c>
      <c r="M837" s="1" t="str">
        <f t="shared" si="211"/>
        <v>مخازن قير اصفهان</v>
      </c>
      <c r="N837" s="1">
        <v>10333</v>
      </c>
      <c r="O837" s="1">
        <v>50031448</v>
      </c>
      <c r="P837" s="1" t="str">
        <f>"  قرارگاه سازندگي خاتم الانبياء-قرب کربلا"</f>
        <v xml:space="preserve">  قرارگاه سازندگي خاتم الانبياء-قرب کربلا</v>
      </c>
      <c r="Q837" s="1">
        <v>14</v>
      </c>
      <c r="R837" s="1" t="str">
        <f>"فروش داخلي - وزارت راه - حوزه راه روستايي ساخت"</f>
        <v>فروش داخلي - وزارت راه - حوزه راه روستايي ساخت</v>
      </c>
      <c r="S837" s="1" t="str">
        <f t="shared" si="226"/>
        <v>قرارداد فروش</v>
      </c>
      <c r="T837" s="1" t="str">
        <f t="shared" si="227"/>
        <v>ندارد</v>
      </c>
      <c r="U837" s="1" t="str">
        <f>"اژدري مسعود(4844011)"</f>
        <v>اژدري مسعود(4844011)</v>
      </c>
      <c r="V837" s="1">
        <v>951400053</v>
      </c>
      <c r="W837" s="1">
        <v>951400053</v>
      </c>
      <c r="X837" s="1" t="str">
        <f>"1395421522"</f>
        <v>1395421522</v>
      </c>
      <c r="Y837" s="1" t="str">
        <f>"95/05/17"</f>
        <v>95/05/17</v>
      </c>
      <c r="Z837" s="1" t="str">
        <f>"20925/510"</f>
        <v>20925/510</v>
      </c>
      <c r="AA837" s="1" t="str">
        <f>"راه وروستايي -ساخت"</f>
        <v>راه وروستايي -ساخت</v>
      </c>
      <c r="AB837" s="1" t="str">
        <f>"95/05/11"</f>
        <v>95/05/11</v>
      </c>
      <c r="AC837" s="1" t="str">
        <f>"كهكيلويه و بوير احمد"</f>
        <v>كهكيلويه و بوير احمد</v>
      </c>
      <c r="AD837" s="1" t="str">
        <f>"95/05/16"</f>
        <v>95/05/16</v>
      </c>
      <c r="AE837" s="1" t="str">
        <f t="shared" si="224"/>
        <v>اختتام</v>
      </c>
      <c r="AF837" s="1" t="str">
        <f>""</f>
        <v/>
      </c>
      <c r="AG837" s="1" t="str">
        <f>""</f>
        <v/>
      </c>
      <c r="AH837" s="1" t="str">
        <f>""</f>
        <v/>
      </c>
      <c r="AI837" s="1" t="str">
        <f>""</f>
        <v/>
      </c>
      <c r="AJ837" s="1" t="str">
        <f>""</f>
        <v/>
      </c>
      <c r="AK837" s="1" t="str">
        <f>""</f>
        <v/>
      </c>
    </row>
    <row r="838" spans="1:37" x14ac:dyDescent="0.2">
      <c r="A838" s="1">
        <v>763160</v>
      </c>
      <c r="B838" s="1">
        <v>951400087</v>
      </c>
      <c r="C838" s="1" t="str">
        <f>"تخليه-ياسوج-مارگون-جوکار-کارخانه آسفالت موسسه فجر"</f>
        <v>تخليه-ياسوج-مارگون-جوکار-کارخانه آسفالت موسسه فجر</v>
      </c>
      <c r="D838" s="1">
        <v>8323</v>
      </c>
      <c r="E838" s="1">
        <v>754960</v>
      </c>
      <c r="F838" s="1">
        <v>95</v>
      </c>
      <c r="G838" s="1">
        <v>8200</v>
      </c>
      <c r="H838" s="1" t="str">
        <f>"95/08/08"</f>
        <v>95/08/08</v>
      </c>
      <c r="I838" s="1" t="str">
        <f t="shared" si="225"/>
        <v>كيلوگرم</v>
      </c>
      <c r="J838" s="1" t="str">
        <f t="shared" si="216"/>
        <v>0000000091</v>
      </c>
      <c r="K838" s="1" t="str">
        <f t="shared" si="217"/>
        <v>قير  PG64-22</v>
      </c>
      <c r="L838" s="1">
        <v>100</v>
      </c>
      <c r="M838" s="1" t="str">
        <f t="shared" si="211"/>
        <v>مخازن قير اصفهان</v>
      </c>
      <c r="N838" s="1">
        <v>10333</v>
      </c>
      <c r="O838" s="1">
        <v>50032402</v>
      </c>
      <c r="P838" s="1" t="str">
        <f>"  قرارگاه سازندگي خاتم الانبياء-قرب کربلا"</f>
        <v xml:space="preserve">  قرارگاه سازندگي خاتم الانبياء-قرب کربلا</v>
      </c>
      <c r="Q838" s="1">
        <v>14</v>
      </c>
      <c r="R838" s="1" t="str">
        <f>"فروش داخلي - وزارت راه - حوزه راه روستايي ساخت"</f>
        <v>فروش داخلي - وزارت راه - حوزه راه روستايي ساخت</v>
      </c>
      <c r="S838" s="1" t="str">
        <f t="shared" si="226"/>
        <v>قرارداد فروش</v>
      </c>
      <c r="T838" s="1" t="str">
        <f t="shared" si="227"/>
        <v>ندارد</v>
      </c>
      <c r="U838" s="1" t="str">
        <f>"اژدري مسعود(4844011)"</f>
        <v>اژدري مسعود(4844011)</v>
      </c>
      <c r="V838" s="1">
        <v>951400087</v>
      </c>
      <c r="W838" s="1">
        <v>951400087</v>
      </c>
      <c r="X838" s="1" t="str">
        <f>"1395421522"</f>
        <v>1395421522</v>
      </c>
      <c r="Y838" s="1" t="str">
        <f>"95/08/08"</f>
        <v>95/08/08</v>
      </c>
      <c r="Z838" s="1" t="str">
        <f>"20925/510"</f>
        <v>20925/510</v>
      </c>
      <c r="AA838" s="1" t="str">
        <f>"راه وروستايي -ساخت"</f>
        <v>راه وروستايي -ساخت</v>
      </c>
      <c r="AB838" s="1" t="str">
        <f>"95/05/11"</f>
        <v>95/05/11</v>
      </c>
      <c r="AC838" s="1" t="str">
        <f>"كهكيلويه و بوير احمد"</f>
        <v>كهكيلويه و بوير احمد</v>
      </c>
      <c r="AD838" s="1" t="str">
        <f>"95/05/16"</f>
        <v>95/05/16</v>
      </c>
      <c r="AE838" s="1" t="str">
        <f t="shared" si="224"/>
        <v>اختتام</v>
      </c>
      <c r="AF838" s="1" t="str">
        <f>""</f>
        <v/>
      </c>
      <c r="AG838" s="1" t="str">
        <f>""</f>
        <v/>
      </c>
      <c r="AH838" s="1" t="str">
        <f>""</f>
        <v/>
      </c>
      <c r="AI838" s="1" t="str">
        <f>""</f>
        <v/>
      </c>
      <c r="AJ838" s="1" t="str">
        <f>""</f>
        <v/>
      </c>
      <c r="AK838" s="1" t="str">
        <f>""</f>
        <v/>
      </c>
    </row>
    <row r="839" spans="1:37" x14ac:dyDescent="0.2">
      <c r="A839" s="1">
        <v>306540</v>
      </c>
      <c r="B839" s="1">
        <v>951400140</v>
      </c>
      <c r="C839" s="1" t="str">
        <f>"تخليه كهگيلويه وبويراحمدپروژه بهسازي وآسفالت راه ديشموك مله خرسك باغ كلك بناري مورخاني كارخانه مظفرخيرآباد"</f>
        <v>تخليه كهگيلويه وبويراحمدپروژه بهسازي وآسفالت راه ديشموك مله خرسك باغ كلك بناري مورخاني كارخانه مظفرخيرآباد</v>
      </c>
      <c r="D839" s="1">
        <v>9511</v>
      </c>
      <c r="E839" s="1">
        <v>305980</v>
      </c>
      <c r="F839" s="1">
        <v>95</v>
      </c>
      <c r="G839" s="1">
        <v>560</v>
      </c>
      <c r="H839" s="1" t="str">
        <f>"95/11/03"</f>
        <v>95/11/03</v>
      </c>
      <c r="I839" s="1" t="str">
        <f t="shared" si="225"/>
        <v>كيلوگرم</v>
      </c>
      <c r="J839" s="1" t="str">
        <f t="shared" si="216"/>
        <v>0000000091</v>
      </c>
      <c r="K839" s="1" t="str">
        <f t="shared" si="217"/>
        <v>قير  PG64-22</v>
      </c>
      <c r="L839" s="1">
        <v>100</v>
      </c>
      <c r="M839" s="1" t="str">
        <f t="shared" si="211"/>
        <v>مخازن قير اصفهان</v>
      </c>
      <c r="N839" s="1">
        <v>10343</v>
      </c>
      <c r="O839" s="1">
        <v>50033484</v>
      </c>
      <c r="P839" s="1" t="str">
        <f>"  اداره كل راه وشهرسازي كهگيلويه وبويراحمد"</f>
        <v xml:space="preserve">  اداره كل راه وشهرسازي كهگيلويه وبويراحمد</v>
      </c>
      <c r="Q839" s="1">
        <v>14</v>
      </c>
      <c r="R839" s="1" t="str">
        <f>"فروش داخلي - وزارت راه - حوزه راه روستايي ساخت"</f>
        <v>فروش داخلي - وزارت راه - حوزه راه روستايي ساخت</v>
      </c>
      <c r="S839" s="1" t="str">
        <f t="shared" si="226"/>
        <v>قرارداد فروش</v>
      </c>
      <c r="T839" s="1" t="str">
        <f t="shared" si="227"/>
        <v>ندارد</v>
      </c>
      <c r="U839" s="1" t="str">
        <f>"غلام نجفي سيامك‌‌‌‌‌‌(1881082)"</f>
        <v>غلام نجفي سيامك‌‌‌‌‌‌(1881082)</v>
      </c>
      <c r="V839" s="1">
        <v>951400140</v>
      </c>
      <c r="W839" s="1">
        <v>951400140</v>
      </c>
      <c r="X839" s="1" t="str">
        <f>"1395457461"</f>
        <v>1395457461</v>
      </c>
      <c r="Y839" s="1" t="str">
        <f>"95/11/03"</f>
        <v>95/11/03</v>
      </c>
      <c r="Z839" s="1" t="str">
        <f>"50883/710"</f>
        <v>50883/710</v>
      </c>
      <c r="AA839" s="1" t="str">
        <f>"راه وروستايي -ساخت"</f>
        <v>راه وروستايي -ساخت</v>
      </c>
      <c r="AB839" s="1" t="str">
        <f>"95/10/15"</f>
        <v>95/10/15</v>
      </c>
      <c r="AC839" s="1" t="str">
        <f>"كهكيلويه و بوير احمد"</f>
        <v>كهكيلويه و بوير احمد</v>
      </c>
      <c r="AD839" s="1" t="str">
        <f>"95/10/18"</f>
        <v>95/10/18</v>
      </c>
      <c r="AE839" s="1" t="str">
        <f t="shared" si="224"/>
        <v>اختتام</v>
      </c>
      <c r="AF839" s="1" t="str">
        <f>""</f>
        <v/>
      </c>
      <c r="AG839" s="1" t="str">
        <f>""</f>
        <v/>
      </c>
      <c r="AH839" s="1" t="str">
        <f>""</f>
        <v/>
      </c>
      <c r="AI839" s="1" t="str">
        <f>""</f>
        <v/>
      </c>
      <c r="AJ839" s="1" t="str">
        <f>""</f>
        <v/>
      </c>
      <c r="AK839" s="1" t="str">
        <f>""</f>
        <v/>
      </c>
    </row>
    <row r="840" spans="1:37" x14ac:dyDescent="0.2">
      <c r="A840" s="1">
        <v>700000</v>
      </c>
      <c r="B840" s="1">
        <v>951700349</v>
      </c>
      <c r="C840" s="1" t="str">
        <f>"تخليه كهگيلويه وبويراحمدشهرستان باشت پل ليراب كارخانه آسفالت رزمان"</f>
        <v>تخليه كهگيلويه وبويراحمدشهرستان باشت پل ليراب كارخانه آسفالت رزمان</v>
      </c>
      <c r="D840" s="1">
        <v>8348</v>
      </c>
      <c r="E840" s="1">
        <v>698480</v>
      </c>
      <c r="F840" s="1">
        <v>95</v>
      </c>
      <c r="G840" s="1">
        <v>1520</v>
      </c>
      <c r="H840" s="1" t="str">
        <f>"95/12/18"</f>
        <v>95/12/18</v>
      </c>
      <c r="I840" s="1" t="str">
        <f t="shared" si="225"/>
        <v>كيلوگرم</v>
      </c>
      <c r="J840" s="1" t="str">
        <f t="shared" si="216"/>
        <v>0000000091</v>
      </c>
      <c r="K840" s="1" t="str">
        <f t="shared" si="217"/>
        <v>قير  PG64-22</v>
      </c>
      <c r="L840" s="1">
        <v>100</v>
      </c>
      <c r="M840" s="1" t="str">
        <f t="shared" ref="M840:M903" si="228">"مخازن قير اصفهان"</f>
        <v>مخازن قير اصفهان</v>
      </c>
      <c r="N840" s="1">
        <v>11293</v>
      </c>
      <c r="O840" s="1">
        <v>50034057</v>
      </c>
      <c r="P840" s="1" t="str">
        <f>"  هفت پيمان گچساران"</f>
        <v xml:space="preserve">  هفت پيمان گچساران</v>
      </c>
      <c r="Q840" s="1">
        <v>17</v>
      </c>
      <c r="R840" s="1" t="str">
        <f>"فروش داخلي تهران - وزارت راه - راه روستايي - روکش"</f>
        <v>فروش داخلي تهران - وزارت راه - راه روستايي - روکش</v>
      </c>
      <c r="S840" s="1" t="str">
        <f t="shared" si="226"/>
        <v>قرارداد فروش</v>
      </c>
      <c r="T840" s="1" t="str">
        <f t="shared" si="227"/>
        <v>ندارد</v>
      </c>
      <c r="U840" s="1" t="str">
        <f>"غلام نجفي سيامك‌‌‌‌‌‌(1881082)"</f>
        <v>غلام نجفي سيامك‌‌‌‌‌‌(1881082)</v>
      </c>
      <c r="V840" s="1">
        <v>951700349</v>
      </c>
      <c r="W840" s="1">
        <v>951700349</v>
      </c>
      <c r="X840" s="1" t="str">
        <f>"1395470082"</f>
        <v>1395470082</v>
      </c>
      <c r="Y840" s="1" t="str">
        <f>"95/12/18"</f>
        <v>95/12/18</v>
      </c>
      <c r="Z840" s="1" t="str">
        <f>"64570/710"</f>
        <v>64570/710</v>
      </c>
      <c r="AA840" s="1" t="str">
        <f>"راه روستائي -روكش"</f>
        <v>راه روستائي -روكش</v>
      </c>
      <c r="AB840" s="1" t="str">
        <f>"95/12/16"</f>
        <v>95/12/16</v>
      </c>
      <c r="AC840" s="1" t="str">
        <f>"كهكيلويه و بوير احمد"</f>
        <v>كهكيلويه و بوير احمد</v>
      </c>
      <c r="AD840" s="1" t="str">
        <f>"95/12/18"</f>
        <v>95/12/18</v>
      </c>
      <c r="AE840" s="1" t="str">
        <f t="shared" si="224"/>
        <v>اختتام</v>
      </c>
      <c r="AF840" s="1" t="str">
        <f>""</f>
        <v/>
      </c>
      <c r="AG840" s="1" t="str">
        <f>""</f>
        <v/>
      </c>
      <c r="AH840" s="1" t="str">
        <f>""</f>
        <v/>
      </c>
      <c r="AI840" s="1" t="str">
        <f>""</f>
        <v/>
      </c>
      <c r="AJ840" s="1" t="str">
        <f>""</f>
        <v/>
      </c>
      <c r="AK840" s="1" t="str">
        <f>""</f>
        <v/>
      </c>
    </row>
    <row r="841" spans="1:37" x14ac:dyDescent="0.2">
      <c r="A841" s="1">
        <v>500000</v>
      </c>
      <c r="B841" s="1">
        <v>951900292</v>
      </c>
      <c r="C841" s="1" t="str">
        <f>"تخليه لرستان خرم آبادكيلومتر35جاده خرم آبادبروجردروستاي ريك سفيدكارخانه آسفالت آفاق سپهرخرم"</f>
        <v>تخليه لرستان خرم آبادكيلومتر35جاده خرم آبادبروجردروستاي ريك سفيدكارخانه آسفالت آفاق سپهرخرم</v>
      </c>
      <c r="D841" s="1">
        <v>9068</v>
      </c>
      <c r="E841" s="1">
        <v>497260</v>
      </c>
      <c r="F841" s="1">
        <v>95</v>
      </c>
      <c r="G841" s="1">
        <v>2740</v>
      </c>
      <c r="H841" s="1" t="str">
        <f>"95/12/19"</f>
        <v>95/12/19</v>
      </c>
      <c r="I841" s="1" t="str">
        <f t="shared" si="225"/>
        <v>كيلوگرم</v>
      </c>
      <c r="J841" s="1" t="str">
        <f t="shared" si="216"/>
        <v>0000000091</v>
      </c>
      <c r="K841" s="1" t="str">
        <f t="shared" si="217"/>
        <v>قير  PG64-22</v>
      </c>
      <c r="L841" s="1">
        <v>100</v>
      </c>
      <c r="M841" s="1" t="str">
        <f t="shared" si="228"/>
        <v>مخازن قير اصفهان</v>
      </c>
      <c r="N841" s="1">
        <v>11295</v>
      </c>
      <c r="O841" s="1">
        <v>50034098</v>
      </c>
      <c r="P841" s="1" t="str">
        <f>"  اداره كل راهداري وحمل ونقل جاده اي لرستان"</f>
        <v xml:space="preserve">  اداره كل راهداري وحمل ونقل جاده اي لرستان</v>
      </c>
      <c r="Q841" s="1">
        <v>19</v>
      </c>
      <c r="R8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1" s="1" t="str">
        <f t="shared" si="226"/>
        <v>قرارداد فروش</v>
      </c>
      <c r="T841" s="1" t="str">
        <f t="shared" si="227"/>
        <v>ندارد</v>
      </c>
      <c r="U841" s="1" t="str">
        <f>"ريسماني حسن(1007ج89)"</f>
        <v>ريسماني حسن(1007ج89)</v>
      </c>
      <c r="V841" s="1">
        <v>951900292</v>
      </c>
      <c r="W841" s="1">
        <v>951900292</v>
      </c>
      <c r="X841" s="1" t="str">
        <f>"1395470074"</f>
        <v>1395470074</v>
      </c>
      <c r="Y841" s="1" t="str">
        <f>"95/12/19"</f>
        <v>95/12/19</v>
      </c>
      <c r="Z841" s="1" t="str">
        <f>"64838/710"</f>
        <v>64838/710</v>
      </c>
      <c r="AA841" s="1" t="str">
        <f>"سازمان راهداري وحمل نقل جاده اي"</f>
        <v>سازمان راهداري وحمل نقل جاده اي</v>
      </c>
      <c r="AB841" s="1" t="str">
        <f>"95/12/17"</f>
        <v>95/12/17</v>
      </c>
      <c r="AC841" s="1" t="str">
        <f>"لرستان"</f>
        <v>لرستان</v>
      </c>
      <c r="AD841" s="1" t="str">
        <f>"95/12/18"</f>
        <v>95/12/18</v>
      </c>
      <c r="AE841" s="1" t="str">
        <f t="shared" si="224"/>
        <v>اختتام</v>
      </c>
      <c r="AF841" s="1" t="str">
        <f>""</f>
        <v/>
      </c>
      <c r="AG841" s="1" t="str">
        <f>""</f>
        <v/>
      </c>
      <c r="AH841" s="1" t="str">
        <f>""</f>
        <v/>
      </c>
      <c r="AI841" s="1" t="str">
        <f>""</f>
        <v/>
      </c>
      <c r="AJ841" s="1" t="str">
        <f>""</f>
        <v/>
      </c>
      <c r="AK841" s="1" t="str">
        <f>""</f>
        <v/>
      </c>
    </row>
    <row r="842" spans="1:37" x14ac:dyDescent="0.2">
      <c r="A842" s="1">
        <v>400000</v>
      </c>
      <c r="B842" s="1">
        <v>951900294</v>
      </c>
      <c r="C842" s="1" t="str">
        <f>"تخليه لرستان كيلومتر13بروجردازناشركت راه گستراحسان بروجرد"</f>
        <v>تخليه لرستان كيلومتر13بروجردازناشركت راه گستراحسان بروجرد</v>
      </c>
      <c r="D842" s="1">
        <v>9068</v>
      </c>
      <c r="E842" s="1">
        <v>398000</v>
      </c>
      <c r="F842" s="1">
        <v>95</v>
      </c>
      <c r="G842" s="1">
        <v>2000</v>
      </c>
      <c r="H842" s="1" t="str">
        <f>"95/12/19"</f>
        <v>95/12/19</v>
      </c>
      <c r="I842" s="1" t="str">
        <f t="shared" si="225"/>
        <v>كيلوگرم</v>
      </c>
      <c r="J842" s="1" t="str">
        <f t="shared" si="216"/>
        <v>0000000091</v>
      </c>
      <c r="K842" s="1" t="str">
        <f t="shared" si="217"/>
        <v>قير  PG64-22</v>
      </c>
      <c r="L842" s="1">
        <v>100</v>
      </c>
      <c r="M842" s="1" t="str">
        <f t="shared" si="228"/>
        <v>مخازن قير اصفهان</v>
      </c>
      <c r="N842" s="1">
        <v>11295</v>
      </c>
      <c r="O842" s="1">
        <v>50034100</v>
      </c>
      <c r="P842" s="1" t="str">
        <f>"  اداره كل راهداري وحمل ونقل جاده اي لرستان"</f>
        <v xml:space="preserve">  اداره كل راهداري وحمل ونقل جاده اي لرستان</v>
      </c>
      <c r="Q842" s="1">
        <v>19</v>
      </c>
      <c r="R8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2" s="1" t="str">
        <f t="shared" si="226"/>
        <v>قرارداد فروش</v>
      </c>
      <c r="T842" s="1" t="str">
        <f t="shared" si="227"/>
        <v>ندارد</v>
      </c>
      <c r="U842" s="1" t="str">
        <f>"ريسماني حسن(1007ج89)"</f>
        <v>ريسماني حسن(1007ج89)</v>
      </c>
      <c r="V842" s="1">
        <v>951900294</v>
      </c>
      <c r="W842" s="1">
        <v>951900294</v>
      </c>
      <c r="X842" s="1" t="str">
        <f>"1395470074"</f>
        <v>1395470074</v>
      </c>
      <c r="Y842" s="1" t="str">
        <f>"95/12/19"</f>
        <v>95/12/19</v>
      </c>
      <c r="Z842" s="1" t="str">
        <f>"64839/710"</f>
        <v>64839/710</v>
      </c>
      <c r="AA842" s="1" t="str">
        <f>"سازمان راهداري وحمل نقل جاده اي"</f>
        <v>سازمان راهداري وحمل نقل جاده اي</v>
      </c>
      <c r="AB842" s="1" t="str">
        <f>"95/12/17"</f>
        <v>95/12/17</v>
      </c>
      <c r="AC842" s="1" t="str">
        <f>"لرستان"</f>
        <v>لرستان</v>
      </c>
      <c r="AD842" s="1" t="str">
        <f>"95/12/18"</f>
        <v>95/12/18</v>
      </c>
      <c r="AE842" s="1" t="str">
        <f t="shared" si="224"/>
        <v>اختتام</v>
      </c>
      <c r="AF842" s="1" t="str">
        <f>""</f>
        <v/>
      </c>
      <c r="AG842" s="1" t="str">
        <f>""</f>
        <v/>
      </c>
      <c r="AH842" s="1" t="str">
        <f>""</f>
        <v/>
      </c>
      <c r="AI842" s="1" t="str">
        <f>""</f>
        <v/>
      </c>
      <c r="AJ842" s="1" t="str">
        <f>""</f>
        <v/>
      </c>
      <c r="AK842" s="1" t="str">
        <f>""</f>
        <v/>
      </c>
    </row>
    <row r="843" spans="1:37" x14ac:dyDescent="0.2">
      <c r="A843" s="1">
        <v>430000</v>
      </c>
      <c r="B843" s="1">
        <v>951400188</v>
      </c>
      <c r="C843" s="1" t="str">
        <f>"تخليه يزدكارخانه آسفالت شركت زاويه سازيزد"</f>
        <v>تخليه يزدكارخانه آسفالت شركت زاويه سازيزد</v>
      </c>
      <c r="D843" s="1">
        <v>9354</v>
      </c>
      <c r="E843" s="1">
        <v>429720</v>
      </c>
      <c r="F843" s="1">
        <v>95</v>
      </c>
      <c r="G843" s="1">
        <v>280</v>
      </c>
      <c r="H843" s="1" t="str">
        <f>"95/12/25"</f>
        <v>95/12/25</v>
      </c>
      <c r="I843" s="1" t="str">
        <f t="shared" si="225"/>
        <v>كيلوگرم</v>
      </c>
      <c r="J843" s="1" t="str">
        <f t="shared" si="216"/>
        <v>0000000091</v>
      </c>
      <c r="K843" s="1" t="str">
        <f t="shared" si="217"/>
        <v>قير  PG64-22</v>
      </c>
      <c r="L843" s="1">
        <v>100</v>
      </c>
      <c r="M843" s="1" t="str">
        <f t="shared" si="228"/>
        <v>مخازن قير اصفهان</v>
      </c>
      <c r="N843" s="1">
        <v>1602</v>
      </c>
      <c r="O843" s="1">
        <v>50034269</v>
      </c>
      <c r="P843" s="1" t="str">
        <f>"  اداره كل راه و شهرسازي يزد"</f>
        <v xml:space="preserve">  اداره كل راه و شهرسازي يزد</v>
      </c>
      <c r="Q843" s="1">
        <v>14</v>
      </c>
      <c r="R843" s="1" t="str">
        <f>"فروش داخلي - وزارت راه - حوزه راه روستايي ساخت"</f>
        <v>فروش داخلي - وزارت راه - حوزه راه روستايي ساخت</v>
      </c>
      <c r="S843" s="1" t="str">
        <f t="shared" si="226"/>
        <v>قرارداد فروش</v>
      </c>
      <c r="T843" s="1" t="str">
        <f t="shared" si="227"/>
        <v>ندارد</v>
      </c>
      <c r="U843" s="1" t="str">
        <f>"قانعي محمدرضا(1011ج89)"</f>
        <v>قانعي محمدرضا(1011ج89)</v>
      </c>
      <c r="V843" s="1">
        <v>951400188</v>
      </c>
      <c r="W843" s="1">
        <v>951400188</v>
      </c>
      <c r="X843" s="1" t="str">
        <f>"1395471034"</f>
        <v>1395471034</v>
      </c>
      <c r="Y843" s="1" t="str">
        <f>"95/12/25"</f>
        <v>95/12/25</v>
      </c>
      <c r="Z843" s="1" t="str">
        <f>"66344/710"</f>
        <v>66344/710</v>
      </c>
      <c r="AA843" s="1" t="str">
        <f>"راه وروستايي -ساخت"</f>
        <v>راه وروستايي -ساخت</v>
      </c>
      <c r="AB843" s="1" t="str">
        <f>"95/12/23"</f>
        <v>95/12/23</v>
      </c>
      <c r="AC843" s="1" t="str">
        <f>"استان يزد"</f>
        <v>استان يزد</v>
      </c>
      <c r="AD843" s="1" t="str">
        <f>"95/12/25"</f>
        <v>95/12/25</v>
      </c>
      <c r="AE843" s="1" t="str">
        <f t="shared" si="224"/>
        <v>اختتام</v>
      </c>
      <c r="AF843" s="1" t="str">
        <f>""</f>
        <v/>
      </c>
      <c r="AG843" s="1" t="str">
        <f>""</f>
        <v/>
      </c>
      <c r="AH843" s="1" t="str">
        <f>""</f>
        <v/>
      </c>
      <c r="AI843" s="1" t="str">
        <f>""</f>
        <v/>
      </c>
      <c r="AJ843" s="1" t="str">
        <f>""</f>
        <v/>
      </c>
      <c r="AK843" s="1" t="str">
        <f>""</f>
        <v/>
      </c>
    </row>
    <row r="844" spans="1:37" x14ac:dyDescent="0.2">
      <c r="A844" s="1">
        <v>500000</v>
      </c>
      <c r="B844" s="1">
        <v>951800051</v>
      </c>
      <c r="C844" s="1" t="str">
        <f>"تخليه-خراسان جنوبي-آرين شهر 3کيلومتر بعداز آرين شهر به سمت بيرجند کارخانه آسفالت شرکت آب شن-راه توس"</f>
        <v>تخليه-خراسان جنوبي-آرين شهر 3کيلومتر بعداز آرين شهر به سمت بيرجند کارخانه آسفالت شرکت آب شن-راه توس</v>
      </c>
      <c r="D844" s="1">
        <v>6726</v>
      </c>
      <c r="E844" s="1">
        <v>436720</v>
      </c>
      <c r="F844" s="1">
        <v>95</v>
      </c>
      <c r="G844" s="1">
        <v>63280</v>
      </c>
      <c r="H844" s="1" t="str">
        <f>"95/05/24"</f>
        <v>95/05/24</v>
      </c>
      <c r="I844" s="1" t="str">
        <f t="shared" si="225"/>
        <v>كيلوگرم</v>
      </c>
      <c r="J844" s="1" t="str">
        <f t="shared" si="216"/>
        <v>0000000091</v>
      </c>
      <c r="K844" s="1" t="str">
        <f t="shared" si="217"/>
        <v>قير  PG64-22</v>
      </c>
      <c r="L844" s="1">
        <v>100</v>
      </c>
      <c r="M844" s="1" t="str">
        <f t="shared" si="228"/>
        <v>مخازن قير اصفهان</v>
      </c>
      <c r="N844" s="1">
        <v>1661</v>
      </c>
      <c r="O844" s="1">
        <v>50031524</v>
      </c>
      <c r="P844" s="1" t="str">
        <f>"  ساختماني او-يول"</f>
        <v xml:space="preserve">  ساختماني او-يول</v>
      </c>
      <c r="Q844" s="1">
        <v>18</v>
      </c>
      <c r="R844" s="1" t="str">
        <f>"فروش داخلي تهران - وزارت راه - شرکت ساخت و توسعه راهها"</f>
        <v>فروش داخلي تهران - وزارت راه - شرکت ساخت و توسعه راهها</v>
      </c>
      <c r="S844" s="1" t="str">
        <f t="shared" si="226"/>
        <v>قرارداد فروش</v>
      </c>
      <c r="T844" s="1" t="str">
        <f t="shared" si="227"/>
        <v>ندارد</v>
      </c>
      <c r="U844" s="1" t="str">
        <f>"درودي رضا(1841030)"</f>
        <v>درودي رضا(1841030)</v>
      </c>
      <c r="V844" s="1">
        <v>951800051</v>
      </c>
      <c r="W844" s="1">
        <v>951800051</v>
      </c>
      <c r="X844" s="1" t="str">
        <f>"1395423466"</f>
        <v>1395423466</v>
      </c>
      <c r="Y844" s="1" t="str">
        <f>"95/05/24"</f>
        <v>95/05/24</v>
      </c>
      <c r="Z844" s="1" t="str">
        <f>"21620/510"</f>
        <v>21620/510</v>
      </c>
      <c r="AA844" s="1" t="str">
        <f>"شركت  ساخت وتوسعه راهها"</f>
        <v>شركت  ساخت وتوسعه راهها</v>
      </c>
      <c r="AB844" s="1" t="str">
        <f>"95/05/16"</f>
        <v>95/05/16</v>
      </c>
      <c r="AC844" s="1" t="str">
        <f>"خراسان جنوبي"</f>
        <v>خراسان جنوبي</v>
      </c>
      <c r="AD844" s="1" t="str">
        <f>"95/05/23"</f>
        <v>95/05/23</v>
      </c>
      <c r="AE844" s="1" t="str">
        <f t="shared" si="224"/>
        <v>اختتام</v>
      </c>
      <c r="AF844" s="1" t="str">
        <f>""</f>
        <v/>
      </c>
      <c r="AG844" s="1" t="str">
        <f>""</f>
        <v/>
      </c>
      <c r="AH844" s="1" t="str">
        <f>""</f>
        <v/>
      </c>
      <c r="AI844" s="1" t="str">
        <f>""</f>
        <v/>
      </c>
      <c r="AJ844" s="1" t="str">
        <f>""</f>
        <v/>
      </c>
      <c r="AK844" s="1" t="str">
        <f>""</f>
        <v/>
      </c>
    </row>
    <row r="845" spans="1:37" x14ac:dyDescent="0.2">
      <c r="A845" s="1">
        <v>1700000</v>
      </c>
      <c r="B845" s="1">
        <v>951900125</v>
      </c>
      <c r="C845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845" s="1">
        <v>6726</v>
      </c>
      <c r="E845" s="1">
        <v>1699200</v>
      </c>
      <c r="F845" s="1">
        <v>95</v>
      </c>
      <c r="G845" s="1">
        <v>800</v>
      </c>
      <c r="H845" s="1" t="str">
        <f>"95/05/26"</f>
        <v>95/05/26</v>
      </c>
      <c r="I845" s="1" t="str">
        <f t="shared" si="225"/>
        <v>كيلوگرم</v>
      </c>
      <c r="J845" s="1" t="str">
        <f>"0000000092"</f>
        <v>0000000092</v>
      </c>
      <c r="K845" s="1" t="str">
        <f>"قير  PG64-16"</f>
        <v>قير  PG64-16</v>
      </c>
      <c r="L845" s="1">
        <v>100</v>
      </c>
      <c r="M845" s="1" t="str">
        <f t="shared" si="228"/>
        <v>مخازن قير اصفهان</v>
      </c>
      <c r="N845" s="1">
        <v>7160</v>
      </c>
      <c r="O845" s="1">
        <v>50031558</v>
      </c>
      <c r="P845" s="1" t="str">
        <f>"  سد ساز سيرجان"</f>
        <v xml:space="preserve">  سد ساز سيرجان</v>
      </c>
      <c r="Q845" s="1">
        <v>19</v>
      </c>
      <c r="R84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5" s="1" t="str">
        <f t="shared" si="226"/>
        <v>قرارداد فروش</v>
      </c>
      <c r="T845" s="1" t="str">
        <f t="shared" si="227"/>
        <v>ندارد</v>
      </c>
      <c r="U845" s="1" t="str">
        <f>"حاصليان ترابرجنوب مرتضي حاصلي (4844006)"</f>
        <v>حاصليان ترابرجنوب مرتضي حاصلي (4844006)</v>
      </c>
      <c r="V845" s="1">
        <v>951900125</v>
      </c>
      <c r="W845" s="1">
        <v>951900125</v>
      </c>
      <c r="X845" s="1" t="str">
        <f>"1395423755"</f>
        <v>1395423755</v>
      </c>
      <c r="Y845" s="1" t="str">
        <f>"95/05/26"</f>
        <v>95/05/26</v>
      </c>
      <c r="Z845" s="1" t="str">
        <f>"23002/510"</f>
        <v>23002/510</v>
      </c>
      <c r="AA845" s="1" t="str">
        <f>"سازمان راهداري وحمل نقل جاده اي"</f>
        <v>سازمان راهداري وحمل نقل جاده اي</v>
      </c>
      <c r="AB845" s="1" t="str">
        <f>"95/05/23"</f>
        <v>95/05/23</v>
      </c>
      <c r="AC845" s="1" t="str">
        <f>"جنوب کرمان"</f>
        <v>جنوب کرمان</v>
      </c>
      <c r="AD845" s="1" t="str">
        <f>"95/05/25"</f>
        <v>95/05/25</v>
      </c>
      <c r="AE845" s="1" t="str">
        <f t="shared" si="224"/>
        <v>اختتام</v>
      </c>
      <c r="AF845" s="1" t="str">
        <f>""</f>
        <v/>
      </c>
      <c r="AG845" s="1" t="str">
        <f>""</f>
        <v/>
      </c>
      <c r="AH845" s="1" t="str">
        <f>""</f>
        <v/>
      </c>
      <c r="AI845" s="1" t="str">
        <f>""</f>
        <v/>
      </c>
      <c r="AJ845" s="1" t="str">
        <f>""</f>
        <v/>
      </c>
      <c r="AK845" s="1" t="str">
        <f>""</f>
        <v/>
      </c>
    </row>
    <row r="846" spans="1:37" x14ac:dyDescent="0.2">
      <c r="A846" s="1">
        <v>168000</v>
      </c>
      <c r="B846" s="1">
        <v>951700111</v>
      </c>
      <c r="C846" s="1" t="str">
        <f>"تخليه -جاده كرمان بم -كارخانه آسفالت كرمان تسطيح"</f>
        <v>تخليه -جاده كرمان بم -كارخانه آسفالت كرمان تسطيح</v>
      </c>
      <c r="D846" s="1">
        <v>6250</v>
      </c>
      <c r="E846" s="1">
        <v>165900</v>
      </c>
      <c r="F846" s="1">
        <v>95</v>
      </c>
      <c r="G846" s="1">
        <v>2100</v>
      </c>
      <c r="H846" s="1" t="str">
        <f>"95/04/27"</f>
        <v>95/04/27</v>
      </c>
      <c r="I846" s="1" t="str">
        <f t="shared" si="225"/>
        <v>كيلوگرم</v>
      </c>
      <c r="J846" s="1" t="str">
        <f>"0000000092"</f>
        <v>0000000092</v>
      </c>
      <c r="K846" s="1" t="str">
        <f>"قير  PG64-16"</f>
        <v>قير  PG64-16</v>
      </c>
      <c r="L846" s="1">
        <v>100</v>
      </c>
      <c r="M846" s="1" t="str">
        <f t="shared" si="228"/>
        <v>مخازن قير اصفهان</v>
      </c>
      <c r="N846" s="1">
        <v>7161</v>
      </c>
      <c r="O846" s="1">
        <v>50031297</v>
      </c>
      <c r="P846" s="1" t="str">
        <f>"  كرمان تسطيح"</f>
        <v xml:space="preserve">  كرمان تسطيح</v>
      </c>
      <c r="Q846" s="1">
        <v>17</v>
      </c>
      <c r="R846" s="1" t="str">
        <f>"فروش داخلي تهران - وزارت راه - راه روستايي - روکش"</f>
        <v>فروش داخلي تهران - وزارت راه - راه روستايي - روکش</v>
      </c>
      <c r="S846" s="1" t="str">
        <f t="shared" si="226"/>
        <v>قرارداد فروش</v>
      </c>
      <c r="T846" s="1" t="str">
        <f t="shared" si="227"/>
        <v>ندارد</v>
      </c>
      <c r="U846" s="1" t="str">
        <f>"خضرائي فريدون(4844003)"</f>
        <v>خضرائي فريدون(4844003)</v>
      </c>
      <c r="V846" s="1">
        <v>951700111</v>
      </c>
      <c r="W846" s="1">
        <v>951700111</v>
      </c>
      <c r="X846" s="1" t="str">
        <f>"1395415792"</f>
        <v>1395415792</v>
      </c>
      <c r="Y846" s="1" t="str">
        <f>"95/04/27"</f>
        <v>95/04/27</v>
      </c>
      <c r="Z846" s="1" t="str">
        <f>"16887/510"</f>
        <v>16887/510</v>
      </c>
      <c r="AA846" s="1" t="str">
        <f>"راه روستائي -روكش"</f>
        <v>راه روستائي -روكش</v>
      </c>
      <c r="AB846" s="1" t="str">
        <f>"95/04/20"</f>
        <v>95/04/20</v>
      </c>
      <c r="AC846" s="1" t="str">
        <f>"استان كرمان"</f>
        <v>استان كرمان</v>
      </c>
      <c r="AD846" s="1" t="str">
        <f>"95/04/26"</f>
        <v>95/04/26</v>
      </c>
      <c r="AE846" s="1" t="str">
        <f t="shared" si="224"/>
        <v>اختتام</v>
      </c>
      <c r="AF846" s="1" t="str">
        <f>""</f>
        <v/>
      </c>
      <c r="AG846" s="1" t="str">
        <f>""</f>
        <v/>
      </c>
      <c r="AH846" s="1" t="str">
        <f>""</f>
        <v/>
      </c>
      <c r="AI846" s="1" t="str">
        <f>""</f>
        <v/>
      </c>
      <c r="AJ846" s="1" t="str">
        <f>""</f>
        <v/>
      </c>
      <c r="AK846" s="1" t="str">
        <f>""</f>
        <v/>
      </c>
    </row>
    <row r="847" spans="1:37" x14ac:dyDescent="0.2">
      <c r="A847" s="1">
        <v>26920</v>
      </c>
      <c r="B847" s="1">
        <v>951600077</v>
      </c>
      <c r="C847" s="1" t="str">
        <f>"تخليه سيستان وبلوچستان -زاهدان فرودگاه زاهدان"</f>
        <v>تخليه سيستان وبلوچستان -زاهدان فرودگاه زاهدان</v>
      </c>
      <c r="D847" s="1">
        <v>9511</v>
      </c>
      <c r="E847" s="1">
        <v>26280</v>
      </c>
      <c r="F847" s="1">
        <v>95</v>
      </c>
      <c r="G847" s="1">
        <v>640</v>
      </c>
      <c r="H847" s="1" t="str">
        <f>"95/11/03"</f>
        <v>95/11/03</v>
      </c>
      <c r="I847" s="1" t="str">
        <f t="shared" si="225"/>
        <v>كيلوگرم</v>
      </c>
      <c r="J847" s="1" t="str">
        <f t="shared" ref="J847:J852" si="229">"0000000091"</f>
        <v>0000000091</v>
      </c>
      <c r="K847" s="1" t="str">
        <f t="shared" ref="K847:K852" si="230">"قير  PG64-22"</f>
        <v>قير  PG64-22</v>
      </c>
      <c r="L847" s="1">
        <v>100</v>
      </c>
      <c r="M847" s="1" t="str">
        <f t="shared" si="228"/>
        <v>مخازن قير اصفهان</v>
      </c>
      <c r="N847" s="1">
        <v>4077</v>
      </c>
      <c r="O847" s="1">
        <v>50033488</v>
      </c>
      <c r="P847" s="1" t="str">
        <f>"  ساوير"</f>
        <v xml:space="preserve">  ساوير</v>
      </c>
      <c r="Q847" s="1">
        <v>16</v>
      </c>
      <c r="R847" s="1" t="str">
        <f>"فروش داخلي تهران - وزارت راه - معاونت اقتصاد"</f>
        <v>فروش داخلي تهران - وزارت راه - معاونت اقتصاد</v>
      </c>
      <c r="S847" s="1" t="str">
        <f t="shared" si="226"/>
        <v>قرارداد فروش</v>
      </c>
      <c r="T847" s="1" t="str">
        <f t="shared" si="227"/>
        <v>ندارد</v>
      </c>
      <c r="U847" s="1" t="str">
        <f>"شيشه بر كريم(1841016)"</f>
        <v>شيشه بر كريم(1841016)</v>
      </c>
      <c r="V847" s="1">
        <v>951600077</v>
      </c>
      <c r="W847" s="1">
        <v>951600077</v>
      </c>
      <c r="X847" s="1" t="str">
        <f>"1395433638"</f>
        <v>1395433638</v>
      </c>
      <c r="Y847" s="1" t="str">
        <f>"95/11/03"</f>
        <v>95/11/03</v>
      </c>
      <c r="Z847" s="1" t="str">
        <f>"31183/510"</f>
        <v>31183/510</v>
      </c>
      <c r="AA847" s="1" t="str">
        <f>"معاونت اقتصادوزارت راه وشهرسازي"</f>
        <v>معاونت اقتصادوزارت راه وشهرسازي</v>
      </c>
      <c r="AB847" s="1" t="str">
        <f>"95/06/31"</f>
        <v>95/06/31</v>
      </c>
      <c r="AC847" s="1" t="str">
        <f>"استان سيستان بلوچستان"</f>
        <v>استان سيستان بلوچستان</v>
      </c>
      <c r="AD847" s="1" t="str">
        <f>"95/07/04"</f>
        <v>95/07/04</v>
      </c>
      <c r="AE847" s="1" t="str">
        <f t="shared" si="224"/>
        <v>اختتام</v>
      </c>
      <c r="AF847" s="1" t="str">
        <f>""</f>
        <v/>
      </c>
      <c r="AG847" s="1" t="str">
        <f>""</f>
        <v/>
      </c>
      <c r="AH847" s="1" t="str">
        <f>""</f>
        <v/>
      </c>
      <c r="AI847" s="1" t="str">
        <f>""</f>
        <v/>
      </c>
      <c r="AJ847" s="1" t="str">
        <f>""</f>
        <v/>
      </c>
      <c r="AK847" s="1" t="str">
        <f>""</f>
        <v/>
      </c>
    </row>
    <row r="848" spans="1:37" x14ac:dyDescent="0.2">
      <c r="A848" s="1">
        <v>515720</v>
      </c>
      <c r="B848" s="1">
        <v>951700162</v>
      </c>
      <c r="C848" s="1" t="str">
        <f>"تخليه سيستان وبلوچستان -زابل كارخانه آسفالت شهرداري زابل"</f>
        <v>تخليه سيستان وبلوچستان -زابل كارخانه آسفالت شهرداري زابل</v>
      </c>
      <c r="D848" s="1">
        <v>6250</v>
      </c>
      <c r="E848" s="1">
        <v>513880</v>
      </c>
      <c r="F848" s="1">
        <v>95</v>
      </c>
      <c r="G848" s="1">
        <v>1840</v>
      </c>
      <c r="H848" s="1" t="str">
        <f>"95/05/30"</f>
        <v>95/05/30</v>
      </c>
      <c r="I848" s="1" t="str">
        <f t="shared" si="225"/>
        <v>كيلوگرم</v>
      </c>
      <c r="J848" s="1" t="str">
        <f t="shared" si="229"/>
        <v>0000000091</v>
      </c>
      <c r="K848" s="1" t="str">
        <f t="shared" si="230"/>
        <v>قير  PG64-22</v>
      </c>
      <c r="L848" s="1">
        <v>100</v>
      </c>
      <c r="M848" s="1" t="str">
        <f t="shared" si="228"/>
        <v>مخازن قير اصفهان</v>
      </c>
      <c r="N848" s="1">
        <v>4095</v>
      </c>
      <c r="O848" s="1">
        <v>50031588</v>
      </c>
      <c r="P848" s="1" t="str">
        <f>"  اداره كل راه وشهرسازي سيستان وبلوچستان"</f>
        <v xml:space="preserve">  اداره كل راه وشهرسازي سيستان وبلوچستان</v>
      </c>
      <c r="Q848" s="1">
        <v>17</v>
      </c>
      <c r="R848" s="1" t="str">
        <f>"فروش داخلي تهران - وزارت راه - راه روستايي - روکش"</f>
        <v>فروش داخلي تهران - وزارت راه - راه روستايي - روکش</v>
      </c>
      <c r="S848" s="1" t="str">
        <f t="shared" si="226"/>
        <v>قرارداد فروش</v>
      </c>
      <c r="T848" s="1" t="str">
        <f t="shared" si="227"/>
        <v>ندارد</v>
      </c>
      <c r="U848" s="1" t="str">
        <f>"فتحي حميد(1901090)"</f>
        <v>فتحي حميد(1901090)</v>
      </c>
      <c r="V848" s="1">
        <v>951700162</v>
      </c>
      <c r="W848" s="1">
        <v>951700162</v>
      </c>
      <c r="X848" s="1" t="str">
        <f>"1394389451"</f>
        <v>1394389451</v>
      </c>
      <c r="Y848" s="1" t="str">
        <f>"95/05/30"</f>
        <v>95/05/30</v>
      </c>
      <c r="Z848" s="1" t="str">
        <f>"60509/510"</f>
        <v>60509/510</v>
      </c>
      <c r="AA848" s="1" t="str">
        <f>"راه روستائي -روكش"</f>
        <v>راه روستائي -روكش</v>
      </c>
      <c r="AB848" s="1" t="str">
        <f>"94/11/04"</f>
        <v>94/11/04</v>
      </c>
      <c r="AC848" s="1" t="str">
        <f>"استان سيستان بلوچستان"</f>
        <v>استان سيستان بلوچستان</v>
      </c>
      <c r="AD848" s="1" t="str">
        <f>"94/11/06"</f>
        <v>94/11/06</v>
      </c>
      <c r="AE848" s="1" t="str">
        <f t="shared" si="224"/>
        <v>اختتام</v>
      </c>
      <c r="AF848" s="1" t="str">
        <f>""</f>
        <v/>
      </c>
      <c r="AG848" s="1" t="str">
        <f>""</f>
        <v/>
      </c>
      <c r="AH848" s="1" t="str">
        <f>""</f>
        <v/>
      </c>
      <c r="AI848" s="1" t="str">
        <f>""</f>
        <v/>
      </c>
      <c r="AJ848" s="1" t="str">
        <f>""</f>
        <v/>
      </c>
      <c r="AK848" s="1" t="str">
        <f>""</f>
        <v/>
      </c>
    </row>
    <row r="849" spans="1:37" x14ac:dyDescent="0.2">
      <c r="A849" s="1">
        <v>86000</v>
      </c>
      <c r="B849" s="1">
        <v>951400165</v>
      </c>
      <c r="C849" s="1" t="str">
        <f>"تخليه -سيستان وبلوچستان -زابل كارخانه آسفالت عطارديان"</f>
        <v>تخليه -سيستان وبلوچستان -زابل كارخانه آسفالت عطارديان</v>
      </c>
      <c r="D849" s="1">
        <v>9354</v>
      </c>
      <c r="E849" s="1">
        <v>86000</v>
      </c>
      <c r="F849" s="1">
        <v>95</v>
      </c>
      <c r="G849" s="1">
        <v>0</v>
      </c>
      <c r="H849" s="1" t="str">
        <f>"95/11/27"</f>
        <v>95/11/27</v>
      </c>
      <c r="I849" s="1" t="str">
        <f t="shared" si="225"/>
        <v>كيلوگرم</v>
      </c>
      <c r="J849" s="1" t="str">
        <f t="shared" si="229"/>
        <v>0000000091</v>
      </c>
      <c r="K849" s="1" t="str">
        <f t="shared" si="230"/>
        <v>قير  PG64-22</v>
      </c>
      <c r="L849" s="1">
        <v>100</v>
      </c>
      <c r="M849" s="1" t="str">
        <f t="shared" si="228"/>
        <v>مخازن قير اصفهان</v>
      </c>
      <c r="N849" s="1">
        <v>4095</v>
      </c>
      <c r="O849" s="1">
        <v>50034296</v>
      </c>
      <c r="P849" s="1" t="str">
        <f>"  اداره كل راه وشهرسازي سيستان وبلوچستان"</f>
        <v xml:space="preserve">  اداره كل راه وشهرسازي سيستان وبلوچستان</v>
      </c>
      <c r="Q849" s="1">
        <v>14</v>
      </c>
      <c r="R849" s="1" t="str">
        <f>"فروش داخلي - وزارت راه - حوزه راه روستايي ساخت"</f>
        <v>فروش داخلي - وزارت راه - حوزه راه روستايي ساخت</v>
      </c>
      <c r="S849" s="1" t="str">
        <f t="shared" si="226"/>
        <v>قرارداد فروش</v>
      </c>
      <c r="T849" s="1" t="str">
        <f t="shared" si="227"/>
        <v>ندارد</v>
      </c>
      <c r="U849" s="1" t="str">
        <f>"ميرحسيني چاپارحقيقت كرمان(4844008)"</f>
        <v>ميرحسيني چاپارحقيقت كرمان(4844008)</v>
      </c>
      <c r="V849" s="1">
        <v>951400165</v>
      </c>
      <c r="W849" s="1">
        <v>951400165</v>
      </c>
      <c r="X849" s="1" t="str">
        <f>"1395464668"</f>
        <v>1395464668</v>
      </c>
      <c r="Y849" s="1" t="str">
        <f>"95/11/26"</f>
        <v>95/11/26</v>
      </c>
      <c r="Z849" s="1" t="str">
        <f>"56339/710"</f>
        <v>56339/710</v>
      </c>
      <c r="AA849" s="1" t="str">
        <f>"راه وروستايي -ساخت"</f>
        <v>راه وروستايي -ساخت</v>
      </c>
      <c r="AB849" s="1" t="str">
        <f>"95/11/12"</f>
        <v>95/11/12</v>
      </c>
      <c r="AC849" s="1" t="str">
        <f>"استان سيستان بلوچستان"</f>
        <v>استان سيستان بلوچستان</v>
      </c>
      <c r="AD849" s="1" t="str">
        <f>"95/11/25"</f>
        <v>95/11/25</v>
      </c>
      <c r="AE849" s="1" t="str">
        <f t="shared" si="224"/>
        <v>اختتام</v>
      </c>
      <c r="AF849" s="1" t="str">
        <f>""</f>
        <v/>
      </c>
      <c r="AG849" s="1" t="str">
        <f>""</f>
        <v/>
      </c>
      <c r="AH849" s="1" t="str">
        <f>""</f>
        <v/>
      </c>
      <c r="AI849" s="1" t="str">
        <f>""</f>
        <v/>
      </c>
      <c r="AJ849" s="1" t="str">
        <f>""</f>
        <v/>
      </c>
      <c r="AK849" s="1" t="str">
        <f>""</f>
        <v/>
      </c>
    </row>
    <row r="850" spans="1:37" x14ac:dyDescent="0.2">
      <c r="A850" s="1">
        <v>262000</v>
      </c>
      <c r="B850" s="1">
        <v>951700127</v>
      </c>
      <c r="C850" s="1" t="str">
        <f>"تخليه - کرمان کيلومتر اول محور بافت گوغر"</f>
        <v>تخليه - کرمان کيلومتر اول محور بافت گوغر</v>
      </c>
      <c r="D850" s="1">
        <v>6726</v>
      </c>
      <c r="E850" s="1">
        <v>261760</v>
      </c>
      <c r="F850" s="1">
        <v>95</v>
      </c>
      <c r="G850" s="1">
        <v>240</v>
      </c>
      <c r="H850" s="1" t="str">
        <f>"95/05/06"</f>
        <v>95/05/06</v>
      </c>
      <c r="I850" s="1" t="str">
        <f t="shared" si="225"/>
        <v>كيلوگرم</v>
      </c>
      <c r="J850" s="1" t="str">
        <f t="shared" si="229"/>
        <v>0000000091</v>
      </c>
      <c r="K850" s="1" t="str">
        <f t="shared" si="230"/>
        <v>قير  PG64-22</v>
      </c>
      <c r="L850" s="1">
        <v>100</v>
      </c>
      <c r="M850" s="1" t="str">
        <f t="shared" si="228"/>
        <v>مخازن قير اصفهان</v>
      </c>
      <c r="N850" s="1">
        <v>7034</v>
      </c>
      <c r="O850" s="1">
        <v>50031385</v>
      </c>
      <c r="P850" s="1" t="str">
        <f>"  اداره كل راه وشهرسازي كرمان"</f>
        <v xml:space="preserve">  اداره كل راه وشهرسازي كرمان</v>
      </c>
      <c r="Q850" s="1">
        <v>17</v>
      </c>
      <c r="R850" s="1" t="str">
        <f>"فروش داخلي تهران - وزارت راه - راه روستايي - روکش"</f>
        <v>فروش داخلي تهران - وزارت راه - راه روستايي - روکش</v>
      </c>
      <c r="S850" s="1" t="str">
        <f t="shared" si="226"/>
        <v>قرارداد فروش</v>
      </c>
      <c r="T850" s="1" t="str">
        <f t="shared" si="227"/>
        <v>ندارد</v>
      </c>
      <c r="U850" s="1" t="str">
        <f>"خضرائي فريدون(4844003)"</f>
        <v>خضرائي فريدون(4844003)</v>
      </c>
      <c r="V850" s="1">
        <v>951700127</v>
      </c>
      <c r="W850" s="1">
        <v>951700127</v>
      </c>
      <c r="X850" s="1" t="str">
        <f>"1395418064"</f>
        <v>1395418064</v>
      </c>
      <c r="Y850" s="1" t="str">
        <f>"95/05/06"</f>
        <v>95/05/06</v>
      </c>
      <c r="Z850" s="1" t="str">
        <f>"19503/510"</f>
        <v>19503/510</v>
      </c>
      <c r="AA850" s="1" t="str">
        <f>"راه روستائي -روكش"</f>
        <v>راه روستائي -روكش</v>
      </c>
      <c r="AB850" s="1" t="str">
        <f>"95/05/03"</f>
        <v>95/05/03</v>
      </c>
      <c r="AC850" s="1" t="str">
        <f>"استان كرمان"</f>
        <v>استان كرمان</v>
      </c>
      <c r="AD850" s="1" t="str">
        <f>"95/05/05"</f>
        <v>95/05/05</v>
      </c>
      <c r="AE850" s="1" t="str">
        <f t="shared" si="224"/>
        <v>اختتام</v>
      </c>
      <c r="AF850" s="1" t="str">
        <f>""</f>
        <v/>
      </c>
      <c r="AG850" s="1" t="str">
        <f>""</f>
        <v/>
      </c>
      <c r="AH850" s="1" t="str">
        <f>""</f>
        <v/>
      </c>
      <c r="AI850" s="1" t="str">
        <f>""</f>
        <v/>
      </c>
      <c r="AJ850" s="1" t="str">
        <f>""</f>
        <v/>
      </c>
      <c r="AK850" s="1" t="str">
        <f>""</f>
        <v/>
      </c>
    </row>
    <row r="851" spans="1:37" x14ac:dyDescent="0.2">
      <c r="A851" s="1">
        <v>324000</v>
      </c>
      <c r="B851" s="1">
        <v>951700129</v>
      </c>
      <c r="C851" s="1" t="str">
        <f>"تخليه -كرمان كيلومتر10جاده اختيارآبادكوه باداموئيه كارخانه كرمان بيس"</f>
        <v>تخليه -كرمان كيلومتر10جاده اختيارآبادكوه باداموئيه كارخانه كرمان بيس</v>
      </c>
      <c r="D851" s="1">
        <v>6726</v>
      </c>
      <c r="E851" s="1">
        <v>323540</v>
      </c>
      <c r="F851" s="1">
        <v>95</v>
      </c>
      <c r="G851" s="1">
        <v>460</v>
      </c>
      <c r="H851" s="1" t="str">
        <f>"95/05/06"</f>
        <v>95/05/06</v>
      </c>
      <c r="I851" s="1" t="str">
        <f t="shared" si="225"/>
        <v>كيلوگرم</v>
      </c>
      <c r="J851" s="1" t="str">
        <f t="shared" si="229"/>
        <v>0000000091</v>
      </c>
      <c r="K851" s="1" t="str">
        <f t="shared" si="230"/>
        <v>قير  PG64-22</v>
      </c>
      <c r="L851" s="1">
        <v>100</v>
      </c>
      <c r="M851" s="1" t="str">
        <f t="shared" si="228"/>
        <v>مخازن قير اصفهان</v>
      </c>
      <c r="N851" s="1">
        <v>7034</v>
      </c>
      <c r="O851" s="1">
        <v>50031387</v>
      </c>
      <c r="P851" s="1" t="str">
        <f>"  اداره كل راه وشهرسازي كرمان"</f>
        <v xml:space="preserve">  اداره كل راه وشهرسازي كرمان</v>
      </c>
      <c r="Q851" s="1">
        <v>17</v>
      </c>
      <c r="R851" s="1" t="str">
        <f>"فروش داخلي تهران - وزارت راه - راه روستايي - روکش"</f>
        <v>فروش داخلي تهران - وزارت راه - راه روستايي - روکش</v>
      </c>
      <c r="S851" s="1" t="str">
        <f t="shared" si="226"/>
        <v>قرارداد فروش</v>
      </c>
      <c r="T851" s="1" t="str">
        <f t="shared" si="227"/>
        <v>ندارد</v>
      </c>
      <c r="U851" s="1" t="str">
        <f>"پورباقري ترابر (4914036)"</f>
        <v>پورباقري ترابر (4914036)</v>
      </c>
      <c r="V851" s="1">
        <v>951700129</v>
      </c>
      <c r="W851" s="1">
        <v>951700129</v>
      </c>
      <c r="X851" s="1" t="str">
        <f>"1395418064"</f>
        <v>1395418064</v>
      </c>
      <c r="Y851" s="1" t="str">
        <f>"95/05/06"</f>
        <v>95/05/06</v>
      </c>
      <c r="Z851" s="1" t="str">
        <f>"19503/510"</f>
        <v>19503/510</v>
      </c>
      <c r="AA851" s="1" t="str">
        <f>"راه روستائي -روكش"</f>
        <v>راه روستائي -روكش</v>
      </c>
      <c r="AB851" s="1" t="str">
        <f>"95/05/03"</f>
        <v>95/05/03</v>
      </c>
      <c r="AC851" s="1" t="str">
        <f>"استان كرمان"</f>
        <v>استان كرمان</v>
      </c>
      <c r="AD851" s="1" t="str">
        <f>"95/05/05"</f>
        <v>95/05/05</v>
      </c>
      <c r="AE851" s="1" t="str">
        <f t="shared" si="224"/>
        <v>اختتام</v>
      </c>
      <c r="AF851" s="1" t="str">
        <f>""</f>
        <v/>
      </c>
      <c r="AG851" s="1" t="str">
        <f>""</f>
        <v/>
      </c>
      <c r="AH851" s="1" t="str">
        <f>""</f>
        <v/>
      </c>
      <c r="AI851" s="1" t="str">
        <f>""</f>
        <v/>
      </c>
      <c r="AJ851" s="1" t="str">
        <f>""</f>
        <v/>
      </c>
      <c r="AK851" s="1" t="str">
        <f>""</f>
        <v/>
      </c>
    </row>
    <row r="852" spans="1:37" x14ac:dyDescent="0.2">
      <c r="A852" s="1">
        <v>235000</v>
      </c>
      <c r="B852" s="1">
        <v>951700169</v>
      </c>
      <c r="C852" s="1" t="str">
        <f>"تخليه- کيلومتر 15 جاده زرند -کارخانه نژاد حسيني"</f>
        <v>تخليه- کيلومتر 15 جاده زرند -کارخانه نژاد حسيني</v>
      </c>
      <c r="D852" s="1">
        <v>7176</v>
      </c>
      <c r="E852" s="1">
        <v>235000</v>
      </c>
      <c r="F852" s="1">
        <v>95</v>
      </c>
      <c r="G852" s="1">
        <v>0</v>
      </c>
      <c r="H852" s="1" t="str">
        <f>"95/06/04"</f>
        <v>95/06/04</v>
      </c>
      <c r="I852" s="1" t="str">
        <f t="shared" si="225"/>
        <v>كيلوگرم</v>
      </c>
      <c r="J852" s="1" t="str">
        <f t="shared" si="229"/>
        <v>0000000091</v>
      </c>
      <c r="K852" s="1" t="str">
        <f t="shared" si="230"/>
        <v>قير  PG64-22</v>
      </c>
      <c r="L852" s="1">
        <v>100</v>
      </c>
      <c r="M852" s="1" t="str">
        <f t="shared" si="228"/>
        <v>مخازن قير اصفهان</v>
      </c>
      <c r="N852" s="1">
        <v>7034</v>
      </c>
      <c r="O852" s="1">
        <v>50031634</v>
      </c>
      <c r="P852" s="1" t="str">
        <f>"  اداره كل راه وشهرسازي كرمان"</f>
        <v xml:space="preserve">  اداره كل راه وشهرسازي كرمان</v>
      </c>
      <c r="Q852" s="1">
        <v>17</v>
      </c>
      <c r="R852" s="1" t="str">
        <f>"فروش داخلي تهران - وزارت راه - راه روستايي - روکش"</f>
        <v>فروش داخلي تهران - وزارت راه - راه روستايي - روکش</v>
      </c>
      <c r="S852" s="1" t="str">
        <f t="shared" si="226"/>
        <v>قرارداد فروش</v>
      </c>
      <c r="T852" s="1" t="str">
        <f t="shared" si="227"/>
        <v>ندارد</v>
      </c>
      <c r="U852" s="1" t="str">
        <f>"دهقانيان بهرام(4844012)"</f>
        <v>دهقانيان بهرام(4844012)</v>
      </c>
      <c r="V852" s="1">
        <v>951700169</v>
      </c>
      <c r="W852" s="1">
        <v>951700169</v>
      </c>
      <c r="X852" s="1" t="str">
        <f>"1395426703"</f>
        <v>1395426703</v>
      </c>
      <c r="Y852" s="1" t="str">
        <f>"95/06/04"</f>
        <v>95/06/04</v>
      </c>
      <c r="Z852" s="1" t="str">
        <f>"24788/510"</f>
        <v>24788/510</v>
      </c>
      <c r="AA852" s="1" t="str">
        <f>"راه روستائي -روكش"</f>
        <v>راه روستائي -روكش</v>
      </c>
      <c r="AB852" s="1" t="str">
        <f>"95/05/31"</f>
        <v>95/05/31</v>
      </c>
      <c r="AC852" s="1" t="str">
        <f>"استان كرمان"</f>
        <v>استان كرمان</v>
      </c>
      <c r="AD852" s="1" t="str">
        <f>"95/06/03"</f>
        <v>95/06/03</v>
      </c>
      <c r="AE852" s="1" t="str">
        <f t="shared" si="224"/>
        <v>اختتام</v>
      </c>
      <c r="AF852" s="1" t="str">
        <f>""</f>
        <v/>
      </c>
      <c r="AG852" s="1" t="str">
        <f>""</f>
        <v/>
      </c>
      <c r="AH852" s="1" t="str">
        <f>""</f>
        <v/>
      </c>
      <c r="AI852" s="1" t="str">
        <f>""</f>
        <v/>
      </c>
      <c r="AJ852" s="1" t="str">
        <f>""</f>
        <v/>
      </c>
      <c r="AK852" s="1" t="str">
        <f>""</f>
        <v/>
      </c>
    </row>
    <row r="853" spans="1:37" x14ac:dyDescent="0.2">
      <c r="A853" s="1">
        <v>500000</v>
      </c>
      <c r="B853" s="1">
        <v>951800137</v>
      </c>
      <c r="C853" s="1" t="str">
        <f>"تخليه -رشت -محورسراوان به فومن -جنب شهرصنعتي -روبروي كارخانه فولادگيلان"</f>
        <v>تخليه -رشت -محورسراوان به فومن -جنب شهرصنعتي -روبروي كارخانه فولادگيلان</v>
      </c>
      <c r="D853" s="1">
        <v>9354</v>
      </c>
      <c r="E853" s="1">
        <v>490500</v>
      </c>
      <c r="F853" s="1">
        <v>95</v>
      </c>
      <c r="G853" s="1">
        <v>9500</v>
      </c>
      <c r="H853" s="1" t="str">
        <f>"95/11/16"</f>
        <v>95/11/16</v>
      </c>
      <c r="I853" s="1" t="str">
        <f t="shared" si="225"/>
        <v>كيلوگرم</v>
      </c>
      <c r="J853" s="1" t="str">
        <f>"0000000092"</f>
        <v>0000000092</v>
      </c>
      <c r="K853" s="1" t="str">
        <f>"قير  PG64-16"</f>
        <v>قير  PG64-16</v>
      </c>
      <c r="L853" s="1">
        <v>100</v>
      </c>
      <c r="M853" s="1" t="str">
        <f t="shared" si="228"/>
        <v>مخازن قير اصفهان</v>
      </c>
      <c r="N853" s="1">
        <v>8090</v>
      </c>
      <c r="O853" s="1">
        <v>50033599</v>
      </c>
      <c r="P853" s="1" t="str">
        <f>"  راه وساختمان آبرود شمال"</f>
        <v xml:space="preserve">  راه وساختمان آبرود شمال</v>
      </c>
      <c r="Q853" s="1">
        <v>18</v>
      </c>
      <c r="R853" s="1" t="str">
        <f>"فروش داخلي تهران - وزارت راه - شرکت ساخت و توسعه راهها"</f>
        <v>فروش داخلي تهران - وزارت راه - شرکت ساخت و توسعه راهها</v>
      </c>
      <c r="S853" s="1" t="str">
        <f t="shared" si="226"/>
        <v>قرارداد فروش</v>
      </c>
      <c r="T853" s="1" t="str">
        <f t="shared" si="227"/>
        <v>ندارد</v>
      </c>
      <c r="U853" s="1" t="str">
        <f>"درودي رضا(1841030)"</f>
        <v>درودي رضا(1841030)</v>
      </c>
      <c r="V853" s="1">
        <v>951800137</v>
      </c>
      <c r="W853" s="1">
        <v>951800137</v>
      </c>
      <c r="X853" s="1" t="str">
        <f>"1395462694"</f>
        <v>1395462694</v>
      </c>
      <c r="Y853" s="1" t="str">
        <f>"95/11/16"</f>
        <v>95/11/16</v>
      </c>
      <c r="Z853" s="1" t="str">
        <f>"55865/710"</f>
        <v>55865/710</v>
      </c>
      <c r="AA853" s="1" t="str">
        <f>"شركت  ساخت وتوسعه راهها"</f>
        <v>شركت  ساخت وتوسعه راهها</v>
      </c>
      <c r="AB853" s="1" t="str">
        <f>"95/11/10"</f>
        <v>95/11/10</v>
      </c>
      <c r="AC853" s="1" t="str">
        <f>"استان گيلان"</f>
        <v>استان گيلان</v>
      </c>
      <c r="AD853" s="1" t="str">
        <f>"95/11/13"</f>
        <v>95/11/13</v>
      </c>
      <c r="AE853" s="1" t="str">
        <f t="shared" si="224"/>
        <v>اختتام</v>
      </c>
      <c r="AF853" s="1" t="str">
        <f>""</f>
        <v/>
      </c>
      <c r="AG853" s="1" t="str">
        <f>""</f>
        <v/>
      </c>
      <c r="AH853" s="1" t="str">
        <f>""</f>
        <v/>
      </c>
      <c r="AI853" s="1" t="str">
        <f>""</f>
        <v/>
      </c>
      <c r="AJ853" s="1" t="str">
        <f>""</f>
        <v/>
      </c>
      <c r="AK853" s="1" t="str">
        <f>""</f>
        <v/>
      </c>
    </row>
    <row r="854" spans="1:37" x14ac:dyDescent="0.2">
      <c r="A854" s="1">
        <v>250000</v>
      </c>
      <c r="B854" s="1">
        <v>951700037</v>
      </c>
      <c r="C854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854" s="1">
        <v>6050</v>
      </c>
      <c r="E854" s="1">
        <v>250000</v>
      </c>
      <c r="F854" s="1">
        <v>95</v>
      </c>
      <c r="G854" s="1">
        <v>0</v>
      </c>
      <c r="H854" s="1" t="str">
        <f>"95/03/23"</f>
        <v>95/03/23</v>
      </c>
      <c r="I854" s="1" t="str">
        <f t="shared" si="225"/>
        <v>كيلوگرم</v>
      </c>
      <c r="J854" s="1" t="str">
        <f>"0000000092"</f>
        <v>0000000092</v>
      </c>
      <c r="K854" s="1" t="str">
        <f>"قير  PG64-16"</f>
        <v>قير  PG64-16</v>
      </c>
      <c r="L854" s="1">
        <v>100</v>
      </c>
      <c r="M854" s="1" t="str">
        <f t="shared" si="228"/>
        <v>مخازن قير اصفهان</v>
      </c>
      <c r="N854" s="1">
        <v>8091</v>
      </c>
      <c r="O854" s="1">
        <v>50031012</v>
      </c>
      <c r="P854" s="1" t="str">
        <f>"  اداره كل راه وشهرسازي اصفهان"</f>
        <v xml:space="preserve">  اداره كل راه وشهرسازي اصفهان</v>
      </c>
      <c r="Q854" s="1">
        <v>17</v>
      </c>
      <c r="R854" s="1" t="str">
        <f>"فروش داخلي تهران - وزارت راه - راه روستايي - روکش"</f>
        <v>فروش داخلي تهران - وزارت راه - راه روستايي - روکش</v>
      </c>
      <c r="S854" s="1" t="str">
        <f t="shared" si="226"/>
        <v>قرارداد فروش</v>
      </c>
      <c r="T854" s="1" t="str">
        <f t="shared" si="227"/>
        <v>ندارد</v>
      </c>
      <c r="U854" s="1" t="str">
        <f>"اسماعيلي پور امين (1013ج89)"</f>
        <v>اسماعيلي پور امين (1013ج89)</v>
      </c>
      <c r="V854" s="1">
        <v>951700037</v>
      </c>
      <c r="W854" s="1">
        <v>951700037</v>
      </c>
      <c r="X854" s="1" t="str">
        <f>"1395406643"</f>
        <v>1395406643</v>
      </c>
      <c r="Y854" s="1" t="str">
        <f>"95/03/23"</f>
        <v>95/03/23</v>
      </c>
      <c r="Z854" s="1" t="str">
        <f>"9575/510"</f>
        <v>9575/510</v>
      </c>
      <c r="AA854" s="1" t="str">
        <f>"راه روستائي -روكش"</f>
        <v>راه روستائي -روكش</v>
      </c>
      <c r="AB854" s="1" t="str">
        <f>"95/03/08"</f>
        <v>95/03/08</v>
      </c>
      <c r="AC854" s="1" t="str">
        <f>"استان اصفهان"</f>
        <v>استان اصفهان</v>
      </c>
      <c r="AD854" s="1" t="str">
        <f>"95/03/11"</f>
        <v>95/03/11</v>
      </c>
      <c r="AE854" s="1" t="str">
        <f t="shared" si="224"/>
        <v>اختتام</v>
      </c>
      <c r="AF854" s="1" t="str">
        <f>""</f>
        <v/>
      </c>
      <c r="AG854" s="1" t="str">
        <f>""</f>
        <v/>
      </c>
      <c r="AH854" s="1" t="str">
        <f>""</f>
        <v/>
      </c>
      <c r="AI854" s="1" t="str">
        <f>""</f>
        <v/>
      </c>
      <c r="AJ854" s="1" t="str">
        <f>""</f>
        <v/>
      </c>
      <c r="AK854" s="1" t="str">
        <f>""</f>
        <v/>
      </c>
    </row>
    <row r="855" spans="1:37" x14ac:dyDescent="0.2">
      <c r="A855" s="1">
        <v>180000</v>
      </c>
      <c r="B855" s="1">
        <v>951700135</v>
      </c>
      <c r="C855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855" s="1">
        <v>6726</v>
      </c>
      <c r="E855" s="1">
        <v>179260</v>
      </c>
      <c r="F855" s="1">
        <v>95</v>
      </c>
      <c r="G855" s="1">
        <v>740</v>
      </c>
      <c r="H855" s="1" t="str">
        <f>"95/05/13"</f>
        <v>95/05/13</v>
      </c>
      <c r="I855" s="1" t="str">
        <f t="shared" si="225"/>
        <v>كيلوگرم</v>
      </c>
      <c r="J855" s="1" t="str">
        <f>"0000000092"</f>
        <v>0000000092</v>
      </c>
      <c r="K855" s="1" t="str">
        <f>"قير  PG64-16"</f>
        <v>قير  PG64-16</v>
      </c>
      <c r="L855" s="1">
        <v>100</v>
      </c>
      <c r="M855" s="1" t="str">
        <f t="shared" si="228"/>
        <v>مخازن قير اصفهان</v>
      </c>
      <c r="N855" s="1">
        <v>8091</v>
      </c>
      <c r="O855" s="1">
        <v>50031423</v>
      </c>
      <c r="P855" s="1" t="str">
        <f>"  اداره كل راه وشهرسازي اصفهان"</f>
        <v xml:space="preserve">  اداره كل راه وشهرسازي اصفهان</v>
      </c>
      <c r="Q855" s="1">
        <v>17</v>
      </c>
      <c r="R855" s="1" t="str">
        <f>"فروش داخلي تهران - وزارت راه - راه روستايي - روکش"</f>
        <v>فروش داخلي تهران - وزارت راه - راه روستايي - روکش</v>
      </c>
      <c r="S855" s="1" t="str">
        <f t="shared" si="226"/>
        <v>قرارداد فروش</v>
      </c>
      <c r="T855" s="1" t="str">
        <f t="shared" si="227"/>
        <v>ندارد</v>
      </c>
      <c r="U855" s="1" t="str">
        <f>"سيفي پور عبدالمجيد(1009ج89)"</f>
        <v>سيفي پور عبدالمجيد(1009ج89)</v>
      </c>
      <c r="V855" s="1">
        <v>951700135</v>
      </c>
      <c r="W855" s="1">
        <v>951700135</v>
      </c>
      <c r="X855" s="1" t="str">
        <f>"1395421146"</f>
        <v>1395421146</v>
      </c>
      <c r="Y855" s="1" t="str">
        <f>"95/05/13"</f>
        <v>95/05/13</v>
      </c>
      <c r="Z855" s="1" t="str">
        <f>"20070/510"</f>
        <v>20070/510</v>
      </c>
      <c r="AA855" s="1" t="str">
        <f>"راه روستائي -روكش"</f>
        <v>راه روستائي -روكش</v>
      </c>
      <c r="AB855" s="1" t="str">
        <f>"95/05/05"</f>
        <v>95/05/05</v>
      </c>
      <c r="AC855" s="1" t="str">
        <f>"استان اصفهان"</f>
        <v>استان اصفهان</v>
      </c>
      <c r="AD855" s="1" t="str">
        <f>"95/05/13"</f>
        <v>95/05/13</v>
      </c>
      <c r="AE855" s="1" t="str">
        <f t="shared" si="224"/>
        <v>اختتام</v>
      </c>
      <c r="AF855" s="1" t="str">
        <f>""</f>
        <v/>
      </c>
      <c r="AG855" s="1" t="str">
        <f>""</f>
        <v/>
      </c>
      <c r="AH855" s="1" t="str">
        <f>""</f>
        <v/>
      </c>
      <c r="AI855" s="1" t="str">
        <f>""</f>
        <v/>
      </c>
      <c r="AJ855" s="1" t="str">
        <f>""</f>
        <v/>
      </c>
      <c r="AK855" s="1" t="str">
        <f>""</f>
        <v/>
      </c>
    </row>
    <row r="856" spans="1:37" x14ac:dyDescent="0.2">
      <c r="A856" s="1">
        <v>500000</v>
      </c>
      <c r="B856" s="1">
        <v>951900147</v>
      </c>
      <c r="C856" s="1" t="str">
        <f>"تخليه-کاشمر-محور شادمهر-نرسيده به ميدان شهرباني-کيلومتر4سمت راست"</f>
        <v>تخليه-کاشمر-محور شادمهر-نرسيده به ميدان شهرباني-کيلومتر4سمت راست</v>
      </c>
      <c r="D856" s="1">
        <v>7176</v>
      </c>
      <c r="E856" s="1">
        <v>499180</v>
      </c>
      <c r="F856" s="1">
        <v>95</v>
      </c>
      <c r="G856" s="1">
        <v>820</v>
      </c>
      <c r="H856" s="1" t="str">
        <f>"95/06/20"</f>
        <v>95/06/20</v>
      </c>
      <c r="I856" s="1" t="str">
        <f t="shared" si="225"/>
        <v>كيلوگرم</v>
      </c>
      <c r="J856" s="1" t="str">
        <f>"0000000091"</f>
        <v>0000000091</v>
      </c>
      <c r="K856" s="1" t="str">
        <f>"قير  PG64-22"</f>
        <v>قير  PG64-22</v>
      </c>
      <c r="L856" s="1">
        <v>100</v>
      </c>
      <c r="M856" s="1" t="str">
        <f t="shared" si="228"/>
        <v>مخازن قير اصفهان</v>
      </c>
      <c r="N856" s="1">
        <v>10478</v>
      </c>
      <c r="O856" s="1">
        <v>50031832</v>
      </c>
      <c r="P856" s="1" t="str">
        <f>"  نودژراه مطلق"</f>
        <v xml:space="preserve">  نودژراه مطلق</v>
      </c>
      <c r="Q856" s="1">
        <v>19</v>
      </c>
      <c r="R8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6" s="1" t="str">
        <f t="shared" si="226"/>
        <v>قرارداد فروش</v>
      </c>
      <c r="T856" s="1" t="str">
        <f t="shared" si="227"/>
        <v>ندارد</v>
      </c>
      <c r="U856" s="1" t="str">
        <f>"ترك شاهسوندي مهدي(1022ج89)"</f>
        <v>ترك شاهسوندي مهدي(1022ج89)</v>
      </c>
      <c r="V856" s="1">
        <v>951900147</v>
      </c>
      <c r="W856" s="1">
        <v>951900147</v>
      </c>
      <c r="X856" s="1" t="str">
        <f>"1395430320"</f>
        <v>1395430320</v>
      </c>
      <c r="Y856" s="1" t="str">
        <f>"95/06/20"</f>
        <v>95/06/20</v>
      </c>
      <c r="Z856" s="1" t="str">
        <f>"28789/510"</f>
        <v>28789/510</v>
      </c>
      <c r="AA856" s="1" t="str">
        <f>"سازمان راهداري وحمل نقل جاده اي"</f>
        <v>سازمان راهداري وحمل نقل جاده اي</v>
      </c>
      <c r="AB856" s="1" t="str">
        <f>"95/06/16"</f>
        <v>95/06/16</v>
      </c>
      <c r="AC856" s="1" t="str">
        <f>"خراسان رضوي"</f>
        <v>خراسان رضوي</v>
      </c>
      <c r="AD856" s="1" t="str">
        <f>"95/06/17"</f>
        <v>95/06/17</v>
      </c>
      <c r="AE856" s="1" t="str">
        <f t="shared" si="224"/>
        <v>اختتام</v>
      </c>
      <c r="AF856" s="1" t="str">
        <f>""</f>
        <v/>
      </c>
      <c r="AG856" s="1" t="str">
        <f>""</f>
        <v/>
      </c>
      <c r="AH856" s="1" t="str">
        <f>""</f>
        <v/>
      </c>
      <c r="AI856" s="1" t="str">
        <f>""</f>
        <v/>
      </c>
      <c r="AJ856" s="1" t="str">
        <f>""</f>
        <v/>
      </c>
      <c r="AK856" s="1" t="str">
        <f>""</f>
        <v/>
      </c>
    </row>
    <row r="857" spans="1:37" x14ac:dyDescent="0.2">
      <c r="A857" s="1">
        <v>250000</v>
      </c>
      <c r="B857" s="1">
        <v>951700216</v>
      </c>
      <c r="C857" s="1" t="str">
        <f>"تخليه كرمان كوهبنان كارخانه شهرداري كوهبنان"</f>
        <v>تخليه كرمان كوهبنان كارخانه شهرداري كوهبنان</v>
      </c>
      <c r="D857" s="1">
        <v>7276</v>
      </c>
      <c r="E857" s="1">
        <v>138460</v>
      </c>
      <c r="F857" s="1">
        <v>95</v>
      </c>
      <c r="G857" s="1">
        <v>111540</v>
      </c>
      <c r="H857" s="1" t="str">
        <f>"95/07/05"</f>
        <v>95/07/05</v>
      </c>
      <c r="I857" s="1" t="str">
        <f t="shared" si="225"/>
        <v>كيلوگرم</v>
      </c>
      <c r="J857" s="1" t="str">
        <f>"0000000091"</f>
        <v>0000000091</v>
      </c>
      <c r="K857" s="1" t="str">
        <f>"قير  PG64-22"</f>
        <v>قير  PG64-22</v>
      </c>
      <c r="L857" s="1">
        <v>100</v>
      </c>
      <c r="M857" s="1" t="str">
        <f t="shared" si="228"/>
        <v>مخازن قير اصفهان</v>
      </c>
      <c r="N857" s="1">
        <v>7034</v>
      </c>
      <c r="O857" s="1">
        <v>50031966</v>
      </c>
      <c r="P857" s="1" t="str">
        <f>"  اداره كل راه وشهرسازي كرمان"</f>
        <v xml:space="preserve">  اداره كل راه وشهرسازي كرمان</v>
      </c>
      <c r="Q857" s="1">
        <v>17</v>
      </c>
      <c r="R857" s="1" t="str">
        <f>"فروش داخلي تهران - وزارت راه - راه روستايي - روکش"</f>
        <v>فروش داخلي تهران - وزارت راه - راه روستايي - روکش</v>
      </c>
      <c r="S857" s="1" t="str">
        <f t="shared" si="226"/>
        <v>قرارداد فروش</v>
      </c>
      <c r="T857" s="1" t="str">
        <f t="shared" si="227"/>
        <v>ندارد</v>
      </c>
      <c r="U857" s="1" t="str">
        <f>"بابامحمدي عنايت اله(4844000)"</f>
        <v>بابامحمدي عنايت اله(4844000)</v>
      </c>
      <c r="V857" s="1">
        <v>951700216</v>
      </c>
      <c r="W857" s="1">
        <v>951700216</v>
      </c>
      <c r="X857" s="1" t="str">
        <f>"1395433835"</f>
        <v>1395433835</v>
      </c>
      <c r="Y857" s="1" t="str">
        <f>"95/07/05"</f>
        <v>95/07/05</v>
      </c>
      <c r="Z857" s="1" t="str">
        <f>"30683/510"</f>
        <v>30683/510</v>
      </c>
      <c r="AA857" s="1" t="str">
        <f>"راه روستائي -روكش"</f>
        <v>راه روستائي -روكش</v>
      </c>
      <c r="AB857" s="1" t="str">
        <f>"95/06/28"</f>
        <v>95/06/28</v>
      </c>
      <c r="AC857" s="1" t="str">
        <f>"استان كرمان"</f>
        <v>استان كرمان</v>
      </c>
      <c r="AD857" s="1" t="str">
        <f>"95/07/05"</f>
        <v>95/07/05</v>
      </c>
      <c r="AE857" s="1" t="str">
        <f t="shared" si="224"/>
        <v>اختتام</v>
      </c>
      <c r="AF857" s="1" t="str">
        <f>""</f>
        <v/>
      </c>
      <c r="AG857" s="1" t="str">
        <f>""</f>
        <v/>
      </c>
      <c r="AH857" s="1" t="str">
        <f>""</f>
        <v/>
      </c>
      <c r="AI857" s="1" t="str">
        <f>""</f>
        <v/>
      </c>
      <c r="AJ857" s="1" t="str">
        <f>""</f>
        <v/>
      </c>
      <c r="AK857" s="1" t="str">
        <f>""</f>
        <v/>
      </c>
    </row>
    <row r="858" spans="1:37" x14ac:dyDescent="0.2">
      <c r="A858" s="1">
        <v>400000</v>
      </c>
      <c r="B858" s="1">
        <v>951700230</v>
      </c>
      <c r="C858" s="1" t="str">
        <f>"تخليه -كرمان كيلومتر13جاده بم -كرمان سمت چپ كارخانه كرمان تسطيح"</f>
        <v>تخليه -كرمان كيلومتر13جاده بم -كرمان سمت چپ كارخانه كرمان تسطيح</v>
      </c>
      <c r="D858" s="1">
        <v>7276</v>
      </c>
      <c r="E858" s="1">
        <v>295780</v>
      </c>
      <c r="F858" s="1">
        <v>95</v>
      </c>
      <c r="G858" s="1">
        <v>104220</v>
      </c>
      <c r="H858" s="1" t="str">
        <f>"95/07/10"</f>
        <v>95/07/10</v>
      </c>
      <c r="I858" s="1" t="str">
        <f t="shared" si="225"/>
        <v>كيلوگرم</v>
      </c>
      <c r="J858" s="1" t="str">
        <f>"0000000091"</f>
        <v>0000000091</v>
      </c>
      <c r="K858" s="1" t="str">
        <f>"قير  PG64-22"</f>
        <v>قير  PG64-22</v>
      </c>
      <c r="L858" s="1">
        <v>100</v>
      </c>
      <c r="M858" s="1" t="str">
        <f t="shared" si="228"/>
        <v>مخازن قير اصفهان</v>
      </c>
      <c r="N858" s="1">
        <v>7034</v>
      </c>
      <c r="O858" s="1">
        <v>50032038</v>
      </c>
      <c r="P858" s="1" t="str">
        <f>"  اداره كل راه وشهرسازي كرمان"</f>
        <v xml:space="preserve">  اداره كل راه وشهرسازي كرمان</v>
      </c>
      <c r="Q858" s="1">
        <v>17</v>
      </c>
      <c r="R858" s="1" t="str">
        <f>"فروش داخلي تهران - وزارت راه - راه روستايي - روکش"</f>
        <v>فروش داخلي تهران - وزارت راه - راه روستايي - روکش</v>
      </c>
      <c r="S858" s="1" t="str">
        <f t="shared" si="226"/>
        <v>قرارداد فروش</v>
      </c>
      <c r="T858" s="1" t="str">
        <f t="shared" si="227"/>
        <v>ندارد</v>
      </c>
      <c r="U858" s="1" t="str">
        <f>"خضرائي فريدون(4844003)"</f>
        <v>خضرائي فريدون(4844003)</v>
      </c>
      <c r="V858" s="1">
        <v>951700230</v>
      </c>
      <c r="W858" s="1">
        <v>951700230</v>
      </c>
      <c r="X858" s="1" t="str">
        <f>"1395435144"</f>
        <v>1395435144</v>
      </c>
      <c r="Y858" s="1" t="str">
        <f>"95/07/10"</f>
        <v>95/07/10</v>
      </c>
      <c r="Z858" s="1" t="str">
        <f>"32370/510"</f>
        <v>32370/510</v>
      </c>
      <c r="AA858" s="1" t="str">
        <f>"راه روستائي -روكش"</f>
        <v>راه روستائي -روكش</v>
      </c>
      <c r="AB858" s="1" t="str">
        <f>"95/07/07"</f>
        <v>95/07/07</v>
      </c>
      <c r="AC858" s="1" t="str">
        <f>"استان كرمان"</f>
        <v>استان كرمان</v>
      </c>
      <c r="AD858" s="1" t="str">
        <f>"95/07/10"</f>
        <v>95/07/10</v>
      </c>
      <c r="AE858" s="1" t="str">
        <f t="shared" si="224"/>
        <v>اختتام</v>
      </c>
      <c r="AF858" s="1" t="str">
        <f>""</f>
        <v/>
      </c>
      <c r="AG858" s="1" t="str">
        <f>""</f>
        <v/>
      </c>
      <c r="AH858" s="1" t="str">
        <f>""</f>
        <v/>
      </c>
      <c r="AI858" s="1" t="str">
        <f>""</f>
        <v/>
      </c>
      <c r="AJ858" s="1" t="str">
        <f>""</f>
        <v/>
      </c>
      <c r="AK858" s="1" t="str">
        <f>""</f>
        <v/>
      </c>
    </row>
    <row r="859" spans="1:37" x14ac:dyDescent="0.2">
      <c r="A859" s="1">
        <v>119680</v>
      </c>
      <c r="B859" s="1">
        <v>951700309</v>
      </c>
      <c r="C859" s="1" t="str">
        <f>"تخليه -كرمان جاده جوبارجاده گلومك كارخانه راه وباندكويركرمان"</f>
        <v>تخليه -كرمان جاده جوبارجاده گلومك كارخانه راه وباندكويركرمان</v>
      </c>
      <c r="D859" s="1">
        <v>8998</v>
      </c>
      <c r="E859" s="1">
        <v>118560</v>
      </c>
      <c r="F859" s="1">
        <v>95</v>
      </c>
      <c r="G859" s="1">
        <v>1120</v>
      </c>
      <c r="H859" s="1" t="str">
        <f>"95/11/03"</f>
        <v>95/11/03</v>
      </c>
      <c r="I859" s="1" t="str">
        <f t="shared" si="225"/>
        <v>كيلوگرم</v>
      </c>
      <c r="J859" s="1" t="str">
        <f>"0000000091"</f>
        <v>0000000091</v>
      </c>
      <c r="K859" s="1" t="str">
        <f>"قير  PG64-22"</f>
        <v>قير  PG64-22</v>
      </c>
      <c r="L859" s="1">
        <v>100</v>
      </c>
      <c r="M859" s="1" t="str">
        <f t="shared" si="228"/>
        <v>مخازن قير اصفهان</v>
      </c>
      <c r="N859" s="1">
        <v>7034</v>
      </c>
      <c r="O859" s="1">
        <v>50033428</v>
      </c>
      <c r="P859" s="1" t="str">
        <f>"  اداره كل راه وشهرسازي كرمان"</f>
        <v xml:space="preserve">  اداره كل راه وشهرسازي كرمان</v>
      </c>
      <c r="Q859" s="1">
        <v>17</v>
      </c>
      <c r="R859" s="1" t="str">
        <f>"فروش داخلي تهران - وزارت راه - راه روستايي - روکش"</f>
        <v>فروش داخلي تهران - وزارت راه - راه روستايي - روکش</v>
      </c>
      <c r="S859" s="1" t="str">
        <f t="shared" si="226"/>
        <v>قرارداد فروش</v>
      </c>
      <c r="T859" s="1" t="str">
        <f t="shared" si="227"/>
        <v>ندارد</v>
      </c>
      <c r="U859" s="1" t="str">
        <f>"قانعي محمدرضا(1011ج89)"</f>
        <v>قانعي محمدرضا(1011ج89)</v>
      </c>
      <c r="V859" s="1">
        <v>951700309</v>
      </c>
      <c r="W859" s="1">
        <v>951700309</v>
      </c>
      <c r="X859" s="1" t="str">
        <f>"1395436740"</f>
        <v>1395436740</v>
      </c>
      <c r="Y859" s="1" t="str">
        <f>"95/11/03"</f>
        <v>95/11/03</v>
      </c>
      <c r="Z859" s="1" t="str">
        <f>"33743/510"</f>
        <v>33743/510</v>
      </c>
      <c r="AA859" s="1" t="str">
        <f>"راه روستائي -روكش"</f>
        <v>راه روستائي -روكش</v>
      </c>
      <c r="AB859" s="1" t="str">
        <f>"95/07/13"</f>
        <v>95/07/13</v>
      </c>
      <c r="AC859" s="1" t="str">
        <f>"استان كرمان"</f>
        <v>استان كرمان</v>
      </c>
      <c r="AD859" s="1" t="str">
        <f>"95/07/17"</f>
        <v>95/07/17</v>
      </c>
      <c r="AE859" s="1" t="str">
        <f t="shared" si="224"/>
        <v>اختتام</v>
      </c>
      <c r="AF859" s="1" t="str">
        <f>""</f>
        <v/>
      </c>
      <c r="AG859" s="1" t="str">
        <f>""</f>
        <v/>
      </c>
      <c r="AH859" s="1" t="str">
        <f>""</f>
        <v/>
      </c>
      <c r="AI859" s="1" t="str">
        <f>""</f>
        <v/>
      </c>
      <c r="AJ859" s="1" t="str">
        <f>""</f>
        <v/>
      </c>
      <c r="AK859" s="1" t="str">
        <f>""</f>
        <v/>
      </c>
    </row>
    <row r="860" spans="1:37" x14ac:dyDescent="0.2">
      <c r="A860" s="1">
        <v>1000000</v>
      </c>
      <c r="B860" s="1">
        <v>951900105</v>
      </c>
      <c r="C860" s="1" t="str">
        <f>"تخليه -خراسان رضوي -مشهدكيلومتر20مشهدبه باغچه بعدازپادگان جديدارتش -كارخانه آسفالت مسكن وعمران قدس رضوي"</f>
        <v>تخليه -خراسان رضوي -مشهدكيلومتر20مشهدبه باغچه بعدازپادگان جديدارتش -كارخانه آسفالت مسكن وعمران قدس رضوي</v>
      </c>
      <c r="D860" s="1">
        <v>6726</v>
      </c>
      <c r="E860" s="1">
        <v>998220</v>
      </c>
      <c r="F860" s="1">
        <v>95</v>
      </c>
      <c r="G860" s="1">
        <v>1780</v>
      </c>
      <c r="H860" s="1" t="str">
        <f>"95/05/18"</f>
        <v>95/05/18</v>
      </c>
      <c r="I860" s="1" t="str">
        <f t="shared" si="225"/>
        <v>كيلوگرم</v>
      </c>
      <c r="J860" s="1" t="str">
        <f>"0000000091"</f>
        <v>0000000091</v>
      </c>
      <c r="K860" s="1" t="str">
        <f>"قير  PG64-22"</f>
        <v>قير  PG64-22</v>
      </c>
      <c r="L860" s="1">
        <v>100</v>
      </c>
      <c r="M860" s="1" t="str">
        <f t="shared" si="228"/>
        <v>مخازن قير اصفهان</v>
      </c>
      <c r="N860" s="1">
        <v>7091</v>
      </c>
      <c r="O860" s="1">
        <v>50031482</v>
      </c>
      <c r="P860" s="1" t="str">
        <f>"  مسكن وعمران قدس رضوي"</f>
        <v xml:space="preserve">  مسكن وعمران قدس رضوي</v>
      </c>
      <c r="Q860" s="1">
        <v>19</v>
      </c>
      <c r="R86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60" s="1" t="str">
        <f t="shared" si="226"/>
        <v>قرارداد فروش</v>
      </c>
      <c r="T860" s="1" t="str">
        <f t="shared" si="227"/>
        <v>ندارد</v>
      </c>
      <c r="U860" s="1" t="str">
        <f>"عابدي محمود(1018ج89)"</f>
        <v>عابدي محمود(1018ج89)</v>
      </c>
      <c r="V860" s="1">
        <v>951900105</v>
      </c>
      <c r="W860" s="1">
        <v>951900105</v>
      </c>
      <c r="X860" s="1" t="str">
        <f>"1395421987"</f>
        <v>1395421987</v>
      </c>
      <c r="Y860" s="1" t="str">
        <f>"95/05/18"</f>
        <v>95/05/18</v>
      </c>
      <c r="Z860" s="1" t="str">
        <f>"21874/510"</f>
        <v>21874/510</v>
      </c>
      <c r="AA860" s="1" t="str">
        <f>"سازمان راهداري وحمل نقل جاده اي"</f>
        <v>سازمان راهداري وحمل نقل جاده اي</v>
      </c>
      <c r="AB860" s="1" t="str">
        <f>"95/05/16"</f>
        <v>95/05/16</v>
      </c>
      <c r="AC860" s="1" t="str">
        <f>"خراسان رضوي"</f>
        <v>خراسان رضوي</v>
      </c>
      <c r="AD860" s="1" t="str">
        <f>"95/05/18"</f>
        <v>95/05/18</v>
      </c>
      <c r="AE860" s="1" t="str">
        <f t="shared" si="224"/>
        <v>اختتام</v>
      </c>
      <c r="AF860" s="1" t="str">
        <f>""</f>
        <v/>
      </c>
      <c r="AG860" s="1" t="str">
        <f>""</f>
        <v/>
      </c>
      <c r="AH860" s="1" t="str">
        <f>""</f>
        <v/>
      </c>
      <c r="AI860" s="1" t="str">
        <f>""</f>
        <v/>
      </c>
      <c r="AJ860" s="1" t="str">
        <f>""</f>
        <v/>
      </c>
      <c r="AK860" s="1" t="str">
        <f>""</f>
        <v/>
      </c>
    </row>
    <row r="861" spans="1:37" x14ac:dyDescent="0.2">
      <c r="A861" s="1">
        <v>405000</v>
      </c>
      <c r="B861" s="1">
        <v>951700145</v>
      </c>
      <c r="C861" s="1" t="str">
        <f>"تخليه - اصفهان-سه راهي اردستان نايين کارخانه بستر سازان کوير"</f>
        <v>تخليه - اصفهان-سه راهي اردستان نايين کارخانه بستر سازان کوير</v>
      </c>
      <c r="D861" s="1">
        <v>6726</v>
      </c>
      <c r="E861" s="1">
        <v>45640</v>
      </c>
      <c r="F861" s="1">
        <v>95</v>
      </c>
      <c r="G861" s="1">
        <v>359360</v>
      </c>
      <c r="H861" s="1" t="str">
        <f>"95/05/18"</f>
        <v>95/05/18</v>
      </c>
      <c r="I861" s="1" t="str">
        <f t="shared" si="225"/>
        <v>كيلوگرم</v>
      </c>
      <c r="J861" s="1" t="str">
        <f>"0000000092"</f>
        <v>0000000092</v>
      </c>
      <c r="K861" s="1" t="str">
        <f>"قير  PG64-16"</f>
        <v>قير  PG64-16</v>
      </c>
      <c r="L861" s="1">
        <v>100</v>
      </c>
      <c r="M861" s="1" t="str">
        <f t="shared" si="228"/>
        <v>مخازن قير اصفهان</v>
      </c>
      <c r="N861" s="1">
        <v>8091</v>
      </c>
      <c r="O861" s="1">
        <v>50031456</v>
      </c>
      <c r="P861" s="1" t="str">
        <f>"  اداره كل راه وشهرسازي اصفهان"</f>
        <v xml:space="preserve">  اداره كل راه وشهرسازي اصفهان</v>
      </c>
      <c r="Q861" s="1">
        <v>17</v>
      </c>
      <c r="R861" s="1" t="str">
        <f>"فروش داخلي تهران - وزارت راه - راه روستايي - روکش"</f>
        <v>فروش داخلي تهران - وزارت راه - راه روستايي - روکش</v>
      </c>
      <c r="S861" s="1" t="str">
        <f t="shared" si="226"/>
        <v>قرارداد فروش</v>
      </c>
      <c r="T861" s="1" t="str">
        <f t="shared" si="227"/>
        <v>ندارد</v>
      </c>
      <c r="U861" s="1" t="str">
        <f>"سيفي پور عبدالمجيد(1009ج89)"</f>
        <v>سيفي پور عبدالمجيد(1009ج89)</v>
      </c>
      <c r="V861" s="1">
        <v>951700145</v>
      </c>
      <c r="W861" s="1">
        <v>951700145</v>
      </c>
      <c r="X861" s="1" t="str">
        <f>"1395421751"</f>
        <v>1395421751</v>
      </c>
      <c r="Y861" s="1" t="str">
        <f>"95/05/18"</f>
        <v>95/05/18</v>
      </c>
      <c r="Z861" s="1" t="str">
        <f>"20960/510"</f>
        <v>20960/510</v>
      </c>
      <c r="AA861" s="1" t="str">
        <f>"راه روستائي -روكش"</f>
        <v>راه روستائي -روكش</v>
      </c>
      <c r="AB861" s="1" t="str">
        <f>"95/05/11"</f>
        <v>95/05/11</v>
      </c>
      <c r="AC861" s="1" t="str">
        <f>"استان اصفهان"</f>
        <v>استان اصفهان</v>
      </c>
      <c r="AD861" s="1" t="str">
        <f>"95/05/17"</f>
        <v>95/05/17</v>
      </c>
      <c r="AE861" s="1" t="str">
        <f t="shared" si="224"/>
        <v>اختتام</v>
      </c>
      <c r="AF861" s="1" t="str">
        <f>""</f>
        <v/>
      </c>
      <c r="AG861" s="1" t="str">
        <f>""</f>
        <v/>
      </c>
      <c r="AH861" s="1" t="str">
        <f>""</f>
        <v/>
      </c>
      <c r="AI861" s="1" t="str">
        <f>""</f>
        <v/>
      </c>
      <c r="AJ861" s="1" t="str">
        <f>""</f>
        <v/>
      </c>
      <c r="AK861" s="1" t="str">
        <f>""</f>
        <v/>
      </c>
    </row>
    <row r="862" spans="1:37" x14ac:dyDescent="0.2">
      <c r="A862" s="1">
        <v>525000</v>
      </c>
      <c r="B862" s="1">
        <v>951700147</v>
      </c>
      <c r="C862" s="1" t="str">
        <f>"تخليه -اصفهان -فريدونشهر-كارخانه آسفالت فريدونشهر"</f>
        <v>تخليه -اصفهان -فريدونشهر-كارخانه آسفالت فريدونشهر</v>
      </c>
      <c r="D862" s="1">
        <v>6726</v>
      </c>
      <c r="E862" s="1">
        <v>524300</v>
      </c>
      <c r="F862" s="1">
        <v>95</v>
      </c>
      <c r="G862" s="1">
        <v>700</v>
      </c>
      <c r="H862" s="1" t="str">
        <f>"95/05/18"</f>
        <v>95/05/18</v>
      </c>
      <c r="I862" s="1" t="str">
        <f t="shared" si="225"/>
        <v>كيلوگرم</v>
      </c>
      <c r="J862" s="1" t="str">
        <f>"0000000092"</f>
        <v>0000000092</v>
      </c>
      <c r="K862" s="1" t="str">
        <f>"قير  PG64-16"</f>
        <v>قير  PG64-16</v>
      </c>
      <c r="L862" s="1">
        <v>100</v>
      </c>
      <c r="M862" s="1" t="str">
        <f t="shared" si="228"/>
        <v>مخازن قير اصفهان</v>
      </c>
      <c r="N862" s="1">
        <v>8091</v>
      </c>
      <c r="O862" s="1">
        <v>50031458</v>
      </c>
      <c r="P862" s="1" t="str">
        <f>"  اداره كل راه وشهرسازي اصفهان"</f>
        <v xml:space="preserve">  اداره كل راه وشهرسازي اصفهان</v>
      </c>
      <c r="Q862" s="1">
        <v>17</v>
      </c>
      <c r="R862" s="1" t="str">
        <f>"فروش داخلي تهران - وزارت راه - راه روستايي - روکش"</f>
        <v>فروش داخلي تهران - وزارت راه - راه روستايي - روکش</v>
      </c>
      <c r="S862" s="1" t="str">
        <f t="shared" si="226"/>
        <v>قرارداد فروش</v>
      </c>
      <c r="T862" s="1" t="str">
        <f t="shared" si="227"/>
        <v>ندارد</v>
      </c>
      <c r="U862" s="1" t="str">
        <f>"سيفي پور گودرز(1019ج89)"</f>
        <v>سيفي پور گودرز(1019ج89)</v>
      </c>
      <c r="V862" s="1">
        <v>951700147</v>
      </c>
      <c r="W862" s="1">
        <v>951700147</v>
      </c>
      <c r="X862" s="1" t="str">
        <f>"1395421751"</f>
        <v>1395421751</v>
      </c>
      <c r="Y862" s="1" t="str">
        <f>"95/05/18"</f>
        <v>95/05/18</v>
      </c>
      <c r="Z862" s="1" t="str">
        <f>"20960/510"</f>
        <v>20960/510</v>
      </c>
      <c r="AA862" s="1" t="str">
        <f>"راه روستائي -روكش"</f>
        <v>راه روستائي -روكش</v>
      </c>
      <c r="AB862" s="1" t="str">
        <f>"95/05/11"</f>
        <v>95/05/11</v>
      </c>
      <c r="AC862" s="1" t="str">
        <f>"استان اصفهان"</f>
        <v>استان اصفهان</v>
      </c>
      <c r="AD862" s="1" t="str">
        <f>"95/05/17"</f>
        <v>95/05/17</v>
      </c>
      <c r="AE862" s="1" t="str">
        <f t="shared" si="224"/>
        <v>اختتام</v>
      </c>
      <c r="AF862" s="1" t="str">
        <f>""</f>
        <v/>
      </c>
      <c r="AG862" s="1" t="str">
        <f>""</f>
        <v/>
      </c>
      <c r="AH862" s="1" t="str">
        <f>""</f>
        <v/>
      </c>
      <c r="AI862" s="1" t="str">
        <f>""</f>
        <v/>
      </c>
      <c r="AJ862" s="1" t="str">
        <f>""</f>
        <v/>
      </c>
      <c r="AK862" s="1" t="str">
        <f>""</f>
        <v/>
      </c>
    </row>
    <row r="863" spans="1:37" x14ac:dyDescent="0.2">
      <c r="A863" s="1">
        <v>608000</v>
      </c>
      <c r="B863" s="1">
        <v>951700181</v>
      </c>
      <c r="C863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863" s="1">
        <v>7176</v>
      </c>
      <c r="E863" s="1">
        <v>543480</v>
      </c>
      <c r="F863" s="1">
        <v>95</v>
      </c>
      <c r="G863" s="1">
        <v>64520</v>
      </c>
      <c r="H863" s="1" t="str">
        <f>"95/06/07"</f>
        <v>95/06/07</v>
      </c>
      <c r="I863" s="1" t="str">
        <f t="shared" si="225"/>
        <v>كيلوگرم</v>
      </c>
      <c r="J863" s="1" t="str">
        <f>"0000000092"</f>
        <v>0000000092</v>
      </c>
      <c r="K863" s="1" t="str">
        <f>"قير  PG64-16"</f>
        <v>قير  PG64-16</v>
      </c>
      <c r="L863" s="1">
        <v>100</v>
      </c>
      <c r="M863" s="1" t="str">
        <f t="shared" si="228"/>
        <v>مخازن قير اصفهان</v>
      </c>
      <c r="N863" s="1">
        <v>8091</v>
      </c>
      <c r="O863" s="1">
        <v>50031668</v>
      </c>
      <c r="P863" s="1" t="str">
        <f>"  اداره كل راه وشهرسازي اصفهان"</f>
        <v xml:space="preserve">  اداره كل راه وشهرسازي اصفهان</v>
      </c>
      <c r="Q863" s="1">
        <v>17</v>
      </c>
      <c r="R863" s="1" t="str">
        <f>"فروش داخلي تهران - وزارت راه - راه روستايي - روکش"</f>
        <v>فروش داخلي تهران - وزارت راه - راه روستايي - روکش</v>
      </c>
      <c r="S863" s="1" t="str">
        <f t="shared" si="226"/>
        <v>قرارداد فروش</v>
      </c>
      <c r="T863" s="1" t="str">
        <f t="shared" si="227"/>
        <v>ندارد</v>
      </c>
      <c r="U863" s="1" t="str">
        <f>"اسماعيلي پور امين (1013ج89)"</f>
        <v>اسماعيلي پور امين (1013ج89)</v>
      </c>
      <c r="V863" s="1">
        <v>951700181</v>
      </c>
      <c r="W863" s="1">
        <v>951700181</v>
      </c>
      <c r="X863" s="1" t="str">
        <f>"1395426942"</f>
        <v>1395426942</v>
      </c>
      <c r="Y863" s="1" t="str">
        <f>"95/06/07"</f>
        <v>95/06/07</v>
      </c>
      <c r="Z863" s="1" t="str">
        <f>"24452/510"</f>
        <v>24452/510</v>
      </c>
      <c r="AA863" s="1" t="str">
        <f>"راه روستائي -روكش"</f>
        <v>راه روستائي -روكش</v>
      </c>
      <c r="AB863" s="1" t="str">
        <f>"95/05/30"</f>
        <v>95/05/30</v>
      </c>
      <c r="AC863" s="1" t="str">
        <f>"استان اصفهان"</f>
        <v>استان اصفهان</v>
      </c>
      <c r="AD863" s="1" t="str">
        <f>"95/06/06"</f>
        <v>95/06/06</v>
      </c>
      <c r="AE863" s="1" t="str">
        <f t="shared" si="224"/>
        <v>اختتام</v>
      </c>
      <c r="AF863" s="1" t="str">
        <f>""</f>
        <v/>
      </c>
      <c r="AG863" s="1" t="str">
        <f>""</f>
        <v/>
      </c>
      <c r="AH863" s="1" t="str">
        <f>""</f>
        <v/>
      </c>
      <c r="AI863" s="1" t="str">
        <f>""</f>
        <v/>
      </c>
      <c r="AJ863" s="1" t="str">
        <f>""</f>
        <v/>
      </c>
      <c r="AK863" s="1" t="str">
        <f>""</f>
        <v/>
      </c>
    </row>
    <row r="864" spans="1:37" x14ac:dyDescent="0.2">
      <c r="A864" s="1">
        <v>15000</v>
      </c>
      <c r="B864" s="1">
        <v>951700275</v>
      </c>
      <c r="C864" s="1" t="str">
        <f>"تخليه-کيلومتر 17 جاده قمصرشركت بتن آسفالت مهر"</f>
        <v>تخليه-کيلومتر 17 جاده قمصرشركت بتن آسفالت مهر</v>
      </c>
      <c r="D864" s="1">
        <v>8323</v>
      </c>
      <c r="E864" s="1">
        <v>14800</v>
      </c>
      <c r="F864" s="1">
        <v>95</v>
      </c>
      <c r="G864" s="1">
        <v>200</v>
      </c>
      <c r="H864" s="1" t="str">
        <f>"95/08/09"</f>
        <v>95/08/09</v>
      </c>
      <c r="I864" s="1" t="str">
        <f t="shared" si="225"/>
        <v>كيلوگرم</v>
      </c>
      <c r="J864" s="1" t="str">
        <f>"0000000092"</f>
        <v>0000000092</v>
      </c>
      <c r="K864" s="1" t="str">
        <f>"قير  PG64-16"</f>
        <v>قير  PG64-16</v>
      </c>
      <c r="L864" s="1">
        <v>100</v>
      </c>
      <c r="M864" s="1" t="str">
        <f t="shared" si="228"/>
        <v>مخازن قير اصفهان</v>
      </c>
      <c r="N864" s="1">
        <v>8091</v>
      </c>
      <c r="O864" s="1">
        <v>50032412</v>
      </c>
      <c r="P864" s="1" t="str">
        <f>"  اداره كل راه وشهرسازي اصفهان"</f>
        <v xml:space="preserve">  اداره كل راه وشهرسازي اصفهان</v>
      </c>
      <c r="Q864" s="1">
        <v>17</v>
      </c>
      <c r="R864" s="1" t="str">
        <f>"فروش داخلي تهران - وزارت راه - راه روستايي - روکش"</f>
        <v>فروش داخلي تهران - وزارت راه - راه روستايي - روکش</v>
      </c>
      <c r="S864" s="1" t="str">
        <f t="shared" si="226"/>
        <v>قرارداد فروش</v>
      </c>
      <c r="T864" s="1" t="str">
        <f t="shared" si="227"/>
        <v>ندارد</v>
      </c>
      <c r="U864" s="1" t="str">
        <f>"شهبازي محمدرضا(1029ج89)"</f>
        <v>شهبازي محمدرضا(1029ج89)</v>
      </c>
      <c r="V864" s="1">
        <v>951700275</v>
      </c>
      <c r="W864" s="1">
        <v>951700275</v>
      </c>
      <c r="X864" s="1" t="str">
        <f>"1395421751"</f>
        <v>1395421751</v>
      </c>
      <c r="Y864" s="1" t="str">
        <f>"95/08/09"</f>
        <v>95/08/09</v>
      </c>
      <c r="Z864" s="1" t="str">
        <f>"20960/510"</f>
        <v>20960/510</v>
      </c>
      <c r="AA864" s="1" t="str">
        <f>"راه روستائي -روكش"</f>
        <v>راه روستائي -روكش</v>
      </c>
      <c r="AB864" s="1" t="str">
        <f>"95/05/11"</f>
        <v>95/05/11</v>
      </c>
      <c r="AC864" s="1" t="str">
        <f>"استان اصفهان"</f>
        <v>استان اصفهان</v>
      </c>
      <c r="AD864" s="1" t="str">
        <f>"95/05/17"</f>
        <v>95/05/17</v>
      </c>
      <c r="AE864" s="1" t="str">
        <f t="shared" ref="AE864:AE887" si="231">"اختتام"</f>
        <v>اختتام</v>
      </c>
      <c r="AF864" s="1" t="str">
        <f>""</f>
        <v/>
      </c>
      <c r="AG864" s="1" t="str">
        <f>""</f>
        <v/>
      </c>
      <c r="AH864" s="1" t="str">
        <f>""</f>
        <v/>
      </c>
      <c r="AI864" s="1" t="str">
        <f>""</f>
        <v/>
      </c>
      <c r="AJ864" s="1" t="str">
        <f>""</f>
        <v/>
      </c>
      <c r="AK864" s="1" t="str">
        <f>""</f>
        <v/>
      </c>
    </row>
    <row r="865" spans="1:37" x14ac:dyDescent="0.2">
      <c r="A865" s="1">
        <v>432420</v>
      </c>
      <c r="B865" s="1">
        <v>951900164</v>
      </c>
      <c r="C865" s="1" t="str">
        <f>"تخليه يزد-بافق -جهادنصريزد"</f>
        <v>تخليه يزد-بافق -جهادنصريزد</v>
      </c>
      <c r="D865" s="1">
        <v>8323</v>
      </c>
      <c r="E865" s="1">
        <v>429120</v>
      </c>
      <c r="F865" s="1">
        <v>95</v>
      </c>
      <c r="G865" s="1">
        <v>3300</v>
      </c>
      <c r="H865" s="1" t="str">
        <f>"95/08/06"</f>
        <v>95/08/06</v>
      </c>
      <c r="I865" s="1" t="str">
        <f t="shared" si="225"/>
        <v>كيلوگرم</v>
      </c>
      <c r="J865" s="1" t="str">
        <f t="shared" ref="J865:J875" si="232">"0000000091"</f>
        <v>0000000091</v>
      </c>
      <c r="K865" s="1" t="str">
        <f t="shared" ref="K865:K875" si="233">"قير  PG64-22"</f>
        <v>قير  PG64-22</v>
      </c>
      <c r="L865" s="1">
        <v>100</v>
      </c>
      <c r="M865" s="1" t="str">
        <f t="shared" si="228"/>
        <v>مخازن قير اصفهان</v>
      </c>
      <c r="N865" s="1">
        <v>1665</v>
      </c>
      <c r="O865" s="1">
        <v>50032298</v>
      </c>
      <c r="P865" s="1" t="str">
        <f>"  جهاد نصر يزد"</f>
        <v xml:space="preserve">  جهاد نصر يزد</v>
      </c>
      <c r="Q865" s="1">
        <v>19</v>
      </c>
      <c r="R8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65" s="1" t="str">
        <f t="shared" si="226"/>
        <v>قرارداد فروش</v>
      </c>
      <c r="T865" s="1" t="str">
        <f t="shared" si="227"/>
        <v>ندارد</v>
      </c>
      <c r="U865" s="1" t="str">
        <f>"غلام نجفي سيامك‌‌‌‌‌‌(1881082)"</f>
        <v>غلام نجفي سيامك‌‌‌‌‌‌(1881082)</v>
      </c>
      <c r="V865" s="1">
        <v>951900164</v>
      </c>
      <c r="W865" s="1">
        <v>951900164</v>
      </c>
      <c r="X865" s="1" t="str">
        <f>"1395414106"</f>
        <v>1395414106</v>
      </c>
      <c r="Y865" s="1" t="str">
        <f>"95/08/06"</f>
        <v>95/08/06</v>
      </c>
      <c r="Z865" s="1" t="str">
        <f>"15747/510"</f>
        <v>15747/510</v>
      </c>
      <c r="AA865" s="1" t="str">
        <f>"سازمان راهداري وحمل نقل جاده اي"</f>
        <v>سازمان راهداري وحمل نقل جاده اي</v>
      </c>
      <c r="AB865" s="1" t="str">
        <f>"95/04/13"</f>
        <v>95/04/13</v>
      </c>
      <c r="AC865" s="1" t="str">
        <f>"استان يزد"</f>
        <v>استان يزد</v>
      </c>
      <c r="AD865" s="1" t="str">
        <f>"95/04/19"</f>
        <v>95/04/19</v>
      </c>
      <c r="AE865" s="1" t="str">
        <f t="shared" si="231"/>
        <v>اختتام</v>
      </c>
      <c r="AF865" s="1" t="str">
        <f>""</f>
        <v/>
      </c>
      <c r="AG865" s="1" t="str">
        <f>""</f>
        <v/>
      </c>
      <c r="AH865" s="1" t="str">
        <f>""</f>
        <v/>
      </c>
      <c r="AI865" s="1" t="str">
        <f>""</f>
        <v/>
      </c>
      <c r="AJ865" s="1" t="str">
        <f>""</f>
        <v/>
      </c>
      <c r="AK865" s="1" t="str">
        <f>""</f>
        <v/>
      </c>
    </row>
    <row r="866" spans="1:37" x14ac:dyDescent="0.2">
      <c r="A866" s="1">
        <v>68000</v>
      </c>
      <c r="B866" s="1">
        <v>951700041</v>
      </c>
      <c r="C866" s="1" t="str">
        <f>"تخليه-خراسان جنوبي آرين شهرکارخانه آسفالت آرين شهر"</f>
        <v>تخليه-خراسان جنوبي آرين شهرکارخانه آسفالت آرين شهر</v>
      </c>
      <c r="D866" s="1">
        <v>6050</v>
      </c>
      <c r="E866" s="1">
        <v>66700</v>
      </c>
      <c r="F866" s="1">
        <v>95</v>
      </c>
      <c r="G866" s="1">
        <v>1300</v>
      </c>
      <c r="H866" s="1" t="str">
        <f>"95/03/24"</f>
        <v>95/03/24</v>
      </c>
      <c r="I866" s="1" t="str">
        <f t="shared" si="225"/>
        <v>كيلوگرم</v>
      </c>
      <c r="J866" s="1" t="str">
        <f t="shared" si="232"/>
        <v>0000000091</v>
      </c>
      <c r="K866" s="1" t="str">
        <f t="shared" si="233"/>
        <v>قير  PG64-22</v>
      </c>
      <c r="L866" s="1">
        <v>100</v>
      </c>
      <c r="M866" s="1" t="str">
        <f t="shared" si="228"/>
        <v>مخازن قير اصفهان</v>
      </c>
      <c r="N866" s="1">
        <v>4012</v>
      </c>
      <c r="O866" s="1">
        <v>50031033</v>
      </c>
      <c r="P866" s="1" t="str">
        <f t="shared" ref="P866:P871" si="234">"  اداره كل راه و شهرسازي خراسان جنوبي"</f>
        <v xml:space="preserve">  اداره كل راه و شهرسازي خراسان جنوبي</v>
      </c>
      <c r="Q866" s="1">
        <v>17</v>
      </c>
      <c r="R866" s="1" t="str">
        <f>"فروش داخلي تهران - وزارت راه - راه روستايي - روکش"</f>
        <v>فروش داخلي تهران - وزارت راه - راه روستايي - روکش</v>
      </c>
      <c r="S866" s="1" t="str">
        <f t="shared" si="226"/>
        <v>قرارداد فروش</v>
      </c>
      <c r="T866" s="1" t="str">
        <f t="shared" si="227"/>
        <v>ندارد</v>
      </c>
      <c r="U866" s="1" t="str">
        <f>"كاردان اسپادان راه مصطفي  (1911100)"</f>
        <v>كاردان اسپادان راه مصطفي  (1911100)</v>
      </c>
      <c r="V866" s="1">
        <v>951700041</v>
      </c>
      <c r="W866" s="1">
        <v>951700041</v>
      </c>
      <c r="X866" s="1" t="str">
        <f>"1395409032"</f>
        <v>1395409032</v>
      </c>
      <c r="Y866" s="1" t="str">
        <f>"95/03/24"</f>
        <v>95/03/24</v>
      </c>
      <c r="Z866" s="1" t="str">
        <f>"11646/510"</f>
        <v>11646/510</v>
      </c>
      <c r="AA866" s="1" t="str">
        <f>"راه روستائي -روكش"</f>
        <v>راه روستائي -روكش</v>
      </c>
      <c r="AB866" s="1" t="str">
        <f>"95/03/22"</f>
        <v>95/03/22</v>
      </c>
      <c r="AC866" s="1" t="str">
        <f t="shared" ref="AC866:AC871" si="235">"خراسان جنوبي"</f>
        <v>خراسان جنوبي</v>
      </c>
      <c r="AD866" s="1" t="str">
        <f>"95/03/24"</f>
        <v>95/03/24</v>
      </c>
      <c r="AE866" s="1" t="str">
        <f t="shared" si="231"/>
        <v>اختتام</v>
      </c>
      <c r="AF866" s="1" t="str">
        <f>""</f>
        <v/>
      </c>
      <c r="AG866" s="1" t="str">
        <f>""</f>
        <v/>
      </c>
      <c r="AH866" s="1" t="str">
        <f>""</f>
        <v/>
      </c>
      <c r="AI866" s="1" t="str">
        <f>""</f>
        <v/>
      </c>
      <c r="AJ866" s="1" t="str">
        <f>""</f>
        <v/>
      </c>
      <c r="AK866" s="1" t="str">
        <f>""</f>
        <v/>
      </c>
    </row>
    <row r="867" spans="1:37" x14ac:dyDescent="0.2">
      <c r="A867" s="1">
        <v>553000</v>
      </c>
      <c r="B867" s="1">
        <v>951700047</v>
      </c>
      <c r="C867" s="1" t="str">
        <f>"تخليه -خراسان جنوبي -شهرستان طبس -اداره راه وشهرسازي طبس"</f>
        <v>تخليه -خراسان جنوبي -شهرستان طبس -اداره راه وشهرسازي طبس</v>
      </c>
      <c r="D867" s="1">
        <v>6050</v>
      </c>
      <c r="E867" s="1">
        <v>552320</v>
      </c>
      <c r="F867" s="1">
        <v>95</v>
      </c>
      <c r="G867" s="1">
        <v>680</v>
      </c>
      <c r="H867" s="1" t="str">
        <f>"95/03/25"</f>
        <v>95/03/25</v>
      </c>
      <c r="I867" s="1" t="str">
        <f t="shared" si="225"/>
        <v>كيلوگرم</v>
      </c>
      <c r="J867" s="1" t="str">
        <f t="shared" si="232"/>
        <v>0000000091</v>
      </c>
      <c r="K867" s="1" t="str">
        <f t="shared" si="233"/>
        <v>قير  PG64-22</v>
      </c>
      <c r="L867" s="1">
        <v>100</v>
      </c>
      <c r="M867" s="1" t="str">
        <f t="shared" si="228"/>
        <v>مخازن قير اصفهان</v>
      </c>
      <c r="N867" s="1">
        <v>4012</v>
      </c>
      <c r="O867" s="1">
        <v>50031050</v>
      </c>
      <c r="P867" s="1" t="str">
        <f t="shared" si="234"/>
        <v xml:space="preserve">  اداره كل راه و شهرسازي خراسان جنوبي</v>
      </c>
      <c r="Q867" s="1">
        <v>17</v>
      </c>
      <c r="R867" s="1" t="str">
        <f>"فروش داخلي تهران - وزارت راه - راه روستايي - روکش"</f>
        <v>فروش داخلي تهران - وزارت راه - راه روستايي - روکش</v>
      </c>
      <c r="S867" s="1" t="str">
        <f t="shared" si="226"/>
        <v>قرارداد فروش</v>
      </c>
      <c r="T867" s="1" t="str">
        <f t="shared" si="227"/>
        <v>ندارد</v>
      </c>
      <c r="U867" s="1" t="str">
        <f>"بابامحمدي عنايت اله(4844000)"</f>
        <v>بابامحمدي عنايت اله(4844000)</v>
      </c>
      <c r="V867" s="1">
        <v>951700047</v>
      </c>
      <c r="W867" s="1">
        <v>951700047</v>
      </c>
      <c r="X867" s="1" t="str">
        <f>"1395409195"</f>
        <v>1395409195</v>
      </c>
      <c r="Y867" s="1" t="str">
        <f>"95/03/25"</f>
        <v>95/03/25</v>
      </c>
      <c r="Z867" s="1" t="str">
        <f>"11954/510"</f>
        <v>11954/510</v>
      </c>
      <c r="AA867" s="1" t="str">
        <f>"راه روستائي -روكش"</f>
        <v>راه روستائي -روكش</v>
      </c>
      <c r="AB867" s="1" t="str">
        <f>"95/03/23"</f>
        <v>95/03/23</v>
      </c>
      <c r="AC867" s="1" t="str">
        <f t="shared" si="235"/>
        <v>خراسان جنوبي</v>
      </c>
      <c r="AD867" s="1" t="str">
        <f>"95/03/25"</f>
        <v>95/03/25</v>
      </c>
      <c r="AE867" s="1" t="str">
        <f t="shared" si="231"/>
        <v>اختتام</v>
      </c>
      <c r="AF867" s="1" t="str">
        <f>""</f>
        <v/>
      </c>
      <c r="AG867" s="1" t="str">
        <f>""</f>
        <v/>
      </c>
      <c r="AH867" s="1" t="str">
        <f>""</f>
        <v/>
      </c>
      <c r="AI867" s="1" t="str">
        <f>""</f>
        <v/>
      </c>
      <c r="AJ867" s="1" t="str">
        <f>""</f>
        <v/>
      </c>
      <c r="AK867" s="1" t="str">
        <f>""</f>
        <v/>
      </c>
    </row>
    <row r="868" spans="1:37" x14ac:dyDescent="0.2">
      <c r="A868" s="1">
        <v>29580</v>
      </c>
      <c r="B868" s="1">
        <v>951700099</v>
      </c>
      <c r="C868" s="1" t="str">
        <f>"تخليه -خراسان جنوبي قاين كارخانه آسفالت شهرداري قاين"</f>
        <v>تخليه -خراسان جنوبي قاين كارخانه آسفالت شهرداري قاين</v>
      </c>
      <c r="D868" s="1">
        <v>6250</v>
      </c>
      <c r="E868" s="1">
        <v>29040</v>
      </c>
      <c r="F868" s="1">
        <v>95</v>
      </c>
      <c r="G868" s="1">
        <v>540</v>
      </c>
      <c r="H868" s="1" t="str">
        <f>"95/04/19"</f>
        <v>95/04/19</v>
      </c>
      <c r="I868" s="1" t="str">
        <f t="shared" si="225"/>
        <v>كيلوگرم</v>
      </c>
      <c r="J868" s="1" t="str">
        <f t="shared" si="232"/>
        <v>0000000091</v>
      </c>
      <c r="K868" s="1" t="str">
        <f t="shared" si="233"/>
        <v>قير  PG64-22</v>
      </c>
      <c r="L868" s="1">
        <v>100</v>
      </c>
      <c r="M868" s="1" t="str">
        <f t="shared" si="228"/>
        <v>مخازن قير اصفهان</v>
      </c>
      <c r="N868" s="1">
        <v>4012</v>
      </c>
      <c r="O868" s="1">
        <v>50031241</v>
      </c>
      <c r="P868" s="1" t="str">
        <f t="shared" si="234"/>
        <v xml:space="preserve">  اداره كل راه و شهرسازي خراسان جنوبي</v>
      </c>
      <c r="Q868" s="1">
        <v>17</v>
      </c>
      <c r="R868" s="1" t="str">
        <f>"فروش داخلي تهران - وزارت راه - راه روستايي - روکش"</f>
        <v>فروش داخلي تهران - وزارت راه - راه روستايي - روکش</v>
      </c>
      <c r="S868" s="1" t="str">
        <f t="shared" si="226"/>
        <v>قرارداد فروش</v>
      </c>
      <c r="T868" s="1" t="str">
        <f t="shared" si="227"/>
        <v>ندارد</v>
      </c>
      <c r="U868" s="1" t="str">
        <f>"آقا علي منوچهر(1016ج89)"</f>
        <v>آقا علي منوچهر(1016ج89)</v>
      </c>
      <c r="V868" s="1">
        <v>951700099</v>
      </c>
      <c r="W868" s="1">
        <v>951700099</v>
      </c>
      <c r="X868" s="1" t="str">
        <f>"1394392493"</f>
        <v>1394392493</v>
      </c>
      <c r="Y868" s="1" t="str">
        <f>"95/04/19"</f>
        <v>95/04/19</v>
      </c>
      <c r="Z868" s="1" t="str">
        <f>"65019/510"</f>
        <v>65019/510</v>
      </c>
      <c r="AA868" s="1" t="str">
        <f>"راه روستائي -روكش"</f>
        <v>راه روستائي -روكش</v>
      </c>
      <c r="AB868" s="1" t="str">
        <f>"94/11/25"</f>
        <v>94/11/25</v>
      </c>
      <c r="AC868" s="1" t="str">
        <f t="shared" si="235"/>
        <v>خراسان جنوبي</v>
      </c>
      <c r="AD868" s="1" t="str">
        <f>"94/11/26"</f>
        <v>94/11/26</v>
      </c>
      <c r="AE868" s="1" t="str">
        <f t="shared" si="231"/>
        <v>اختتام</v>
      </c>
      <c r="AF868" s="1" t="str">
        <f>""</f>
        <v/>
      </c>
      <c r="AG868" s="1" t="str">
        <f>""</f>
        <v/>
      </c>
      <c r="AH868" s="1" t="str">
        <f>""</f>
        <v/>
      </c>
      <c r="AI868" s="1" t="str">
        <f>""</f>
        <v/>
      </c>
      <c r="AJ868" s="1" t="str">
        <f>""</f>
        <v/>
      </c>
      <c r="AK868" s="1" t="str">
        <f>""</f>
        <v/>
      </c>
    </row>
    <row r="869" spans="1:37" x14ac:dyDescent="0.2">
      <c r="A869" s="1">
        <v>60000</v>
      </c>
      <c r="B869" s="1">
        <v>951700103</v>
      </c>
      <c r="C869" s="1" t="str">
        <f>"تخليه -بيرجند-ادراه كل راه وشهرسازي خراسان جنوبي"</f>
        <v>تخليه -بيرجند-ادراه كل راه وشهرسازي خراسان جنوبي</v>
      </c>
      <c r="D869" s="1">
        <v>6250</v>
      </c>
      <c r="E869" s="1">
        <v>46620</v>
      </c>
      <c r="F869" s="1">
        <v>95</v>
      </c>
      <c r="G869" s="1">
        <v>13380</v>
      </c>
      <c r="H869" s="1" t="str">
        <f>"95/04/19"</f>
        <v>95/04/19</v>
      </c>
      <c r="I869" s="1" t="str">
        <f t="shared" si="225"/>
        <v>كيلوگرم</v>
      </c>
      <c r="J869" s="1" t="str">
        <f t="shared" si="232"/>
        <v>0000000091</v>
      </c>
      <c r="K869" s="1" t="str">
        <f t="shared" si="233"/>
        <v>قير  PG64-22</v>
      </c>
      <c r="L869" s="1">
        <v>100</v>
      </c>
      <c r="M869" s="1" t="str">
        <f t="shared" si="228"/>
        <v>مخازن قير اصفهان</v>
      </c>
      <c r="N869" s="1">
        <v>4012</v>
      </c>
      <c r="O869" s="1">
        <v>50031246</v>
      </c>
      <c r="P869" s="1" t="str">
        <f t="shared" si="234"/>
        <v xml:space="preserve">  اداره كل راه و شهرسازي خراسان جنوبي</v>
      </c>
      <c r="Q869" s="1">
        <v>17</v>
      </c>
      <c r="R869" s="1" t="str">
        <f>"فروش داخلي تهران - وزارت راه - راه روستايي - روکش"</f>
        <v>فروش داخلي تهران - وزارت راه - راه روستايي - روکش</v>
      </c>
      <c r="S869" s="1" t="str">
        <f t="shared" si="226"/>
        <v>قرارداد فروش</v>
      </c>
      <c r="T869" s="1" t="str">
        <f t="shared" si="227"/>
        <v>ندارد</v>
      </c>
      <c r="U869" s="1" t="str">
        <f>"مظفري مرتضي(4844023)"</f>
        <v>مظفري مرتضي(4844023)</v>
      </c>
      <c r="V869" s="1">
        <v>951700103</v>
      </c>
      <c r="W869" s="1">
        <v>951700103</v>
      </c>
      <c r="X869" s="1" t="str">
        <f>"1394392917"</f>
        <v>1394392917</v>
      </c>
      <c r="Y869" s="1" t="str">
        <f>"95/04/19"</f>
        <v>95/04/19</v>
      </c>
      <c r="Z869" s="1" t="str">
        <f>"65358/510"</f>
        <v>65358/510</v>
      </c>
      <c r="AA869" s="1" t="str">
        <f>"راه روستائي -روكش"</f>
        <v>راه روستائي -روكش</v>
      </c>
      <c r="AB869" s="1" t="str">
        <f>"94/11/26"</f>
        <v>94/11/26</v>
      </c>
      <c r="AC869" s="1" t="str">
        <f t="shared" si="235"/>
        <v>خراسان جنوبي</v>
      </c>
      <c r="AD869" s="1" t="str">
        <f>"94/11/28"</f>
        <v>94/11/28</v>
      </c>
      <c r="AE869" s="1" t="str">
        <f t="shared" si="231"/>
        <v>اختتام</v>
      </c>
      <c r="AF869" s="1" t="str">
        <f>""</f>
        <v/>
      </c>
      <c r="AG869" s="1" t="str">
        <f>""</f>
        <v/>
      </c>
      <c r="AH869" s="1" t="str">
        <f>""</f>
        <v/>
      </c>
      <c r="AI869" s="1" t="str">
        <f>""</f>
        <v/>
      </c>
      <c r="AJ869" s="1" t="str">
        <f>""</f>
        <v/>
      </c>
      <c r="AK869" s="1" t="str">
        <f>""</f>
        <v/>
      </c>
    </row>
    <row r="870" spans="1:37" x14ac:dyDescent="0.2">
      <c r="A870" s="1">
        <v>69000</v>
      </c>
      <c r="B870" s="1">
        <v>951700232</v>
      </c>
      <c r="C870" s="1" t="str">
        <f>"تخليه خراسان جنوبي بيرجندكارخانه قاين خضري"</f>
        <v>تخليه خراسان جنوبي بيرجندكارخانه قاين خضري</v>
      </c>
      <c r="D870" s="1">
        <v>7276</v>
      </c>
      <c r="E870" s="1">
        <v>47240</v>
      </c>
      <c r="F870" s="1">
        <v>95</v>
      </c>
      <c r="G870" s="1">
        <v>21760</v>
      </c>
      <c r="H870" s="1" t="str">
        <f>"95/07/13"</f>
        <v>95/07/13</v>
      </c>
      <c r="I870" s="1" t="str">
        <f t="shared" si="225"/>
        <v>كيلوگرم</v>
      </c>
      <c r="J870" s="1" t="str">
        <f t="shared" si="232"/>
        <v>0000000091</v>
      </c>
      <c r="K870" s="1" t="str">
        <f t="shared" si="233"/>
        <v>قير  PG64-22</v>
      </c>
      <c r="L870" s="1">
        <v>100</v>
      </c>
      <c r="M870" s="1" t="str">
        <f t="shared" si="228"/>
        <v>مخازن قير اصفهان</v>
      </c>
      <c r="N870" s="1">
        <v>4012</v>
      </c>
      <c r="O870" s="1">
        <v>50032081</v>
      </c>
      <c r="P870" s="1" t="str">
        <f t="shared" si="234"/>
        <v xml:space="preserve">  اداره كل راه و شهرسازي خراسان جنوبي</v>
      </c>
      <c r="Q870" s="1">
        <v>17</v>
      </c>
      <c r="R870" s="1" t="str">
        <f>"فروش داخلي تهران - وزارت راه - راه روستايي - روکش"</f>
        <v>فروش داخلي تهران - وزارت راه - راه روستايي - روکش</v>
      </c>
      <c r="S870" s="1" t="str">
        <f t="shared" si="226"/>
        <v>قرارداد فروش</v>
      </c>
      <c r="T870" s="1" t="str">
        <f t="shared" si="227"/>
        <v>ندارد</v>
      </c>
      <c r="U870" s="1" t="str">
        <f>"كاردان اسپادان راه مصطفي  (1911100)"</f>
        <v>كاردان اسپادان راه مصطفي  (1911100)</v>
      </c>
      <c r="V870" s="1">
        <v>951700232</v>
      </c>
      <c r="W870" s="1">
        <v>951700232</v>
      </c>
      <c r="X870" s="1" t="str">
        <f>"1395435599"</f>
        <v>1395435599</v>
      </c>
      <c r="Y870" s="1" t="str">
        <f>"95/07/13"</f>
        <v>95/07/13</v>
      </c>
      <c r="Z870" s="1" t="str">
        <f>"32933/510"</f>
        <v>32933/510</v>
      </c>
      <c r="AA870" s="1" t="str">
        <f>"راه روستائي -روكش"</f>
        <v>راه روستائي -روكش</v>
      </c>
      <c r="AB870" s="1" t="str">
        <f>"95/07/11"</f>
        <v>95/07/11</v>
      </c>
      <c r="AC870" s="1" t="str">
        <f t="shared" si="235"/>
        <v>خراسان جنوبي</v>
      </c>
      <c r="AD870" s="1" t="str">
        <f>"95/07/13"</f>
        <v>95/07/13</v>
      </c>
      <c r="AE870" s="1" t="str">
        <f t="shared" si="231"/>
        <v>اختتام</v>
      </c>
      <c r="AF870" s="1" t="str">
        <f>""</f>
        <v/>
      </c>
      <c r="AG870" s="1" t="str">
        <f>""</f>
        <v/>
      </c>
      <c r="AH870" s="1" t="str">
        <f>""</f>
        <v/>
      </c>
      <c r="AI870" s="1" t="str">
        <f>""</f>
        <v/>
      </c>
      <c r="AJ870" s="1" t="str">
        <f>""</f>
        <v/>
      </c>
      <c r="AK870" s="1" t="str">
        <f>""</f>
        <v/>
      </c>
    </row>
    <row r="871" spans="1:37" x14ac:dyDescent="0.2">
      <c r="A871" s="1">
        <v>480000</v>
      </c>
      <c r="B871" s="1">
        <v>951400137</v>
      </c>
      <c r="C871" s="1" t="str">
        <f>"تخليه خراسان جنوبي پروژه بهسازي وآسفالت خاواز علي آبادشركت جهان راه"</f>
        <v>تخليه خراسان جنوبي پروژه بهسازي وآسفالت خاواز علي آبادشركت جهان راه</v>
      </c>
      <c r="D871" s="1">
        <v>8854</v>
      </c>
      <c r="E871" s="1">
        <v>471840</v>
      </c>
      <c r="F871" s="1">
        <v>95</v>
      </c>
      <c r="G871" s="1">
        <v>8160</v>
      </c>
      <c r="H871" s="1" t="str">
        <f>"95/11/03"</f>
        <v>95/11/03</v>
      </c>
      <c r="I871" s="1" t="str">
        <f t="shared" si="225"/>
        <v>كيلوگرم</v>
      </c>
      <c r="J871" s="1" t="str">
        <f t="shared" si="232"/>
        <v>0000000091</v>
      </c>
      <c r="K871" s="1" t="str">
        <f t="shared" si="233"/>
        <v>قير  PG64-22</v>
      </c>
      <c r="L871" s="1">
        <v>100</v>
      </c>
      <c r="M871" s="1" t="str">
        <f t="shared" si="228"/>
        <v>مخازن قير اصفهان</v>
      </c>
      <c r="N871" s="1">
        <v>4012</v>
      </c>
      <c r="O871" s="1">
        <v>50033481</v>
      </c>
      <c r="P871" s="1" t="str">
        <f t="shared" si="234"/>
        <v xml:space="preserve">  اداره كل راه و شهرسازي خراسان جنوبي</v>
      </c>
      <c r="Q871" s="1">
        <v>14</v>
      </c>
      <c r="R871" s="1" t="str">
        <f>"فروش داخلي - وزارت راه - حوزه راه روستايي ساخت"</f>
        <v>فروش داخلي - وزارت راه - حوزه راه روستايي ساخت</v>
      </c>
      <c r="S871" s="1" t="str">
        <f t="shared" si="226"/>
        <v>قرارداد فروش</v>
      </c>
      <c r="T871" s="1" t="str">
        <f t="shared" si="227"/>
        <v>ندارد</v>
      </c>
      <c r="U871" s="1" t="str">
        <f>"بابامحمدي عنايت اله(4844000)"</f>
        <v>بابامحمدي عنايت اله(4844000)</v>
      </c>
      <c r="V871" s="1">
        <v>951400137</v>
      </c>
      <c r="W871" s="1">
        <v>951400137</v>
      </c>
      <c r="X871" s="1" t="str">
        <f>"1395456363"</f>
        <v>1395456363</v>
      </c>
      <c r="Y871" s="1" t="str">
        <f>"95/11/03"</f>
        <v>95/11/03</v>
      </c>
      <c r="Z871" s="1" t="str">
        <f>"49492/710"</f>
        <v>49492/710</v>
      </c>
      <c r="AA871" s="1" t="str">
        <f>"راه وروستايي -ساخت"</f>
        <v>راه وروستايي -ساخت</v>
      </c>
      <c r="AB871" s="1" t="str">
        <f>"95/10/08"</f>
        <v>95/10/08</v>
      </c>
      <c r="AC871" s="1" t="str">
        <f t="shared" si="235"/>
        <v>خراسان جنوبي</v>
      </c>
      <c r="AD871" s="1" t="str">
        <f>"95/10/13"</f>
        <v>95/10/13</v>
      </c>
      <c r="AE871" s="1" t="str">
        <f t="shared" si="231"/>
        <v>اختتام</v>
      </c>
      <c r="AF871" s="1" t="str">
        <f>""</f>
        <v/>
      </c>
      <c r="AG871" s="1" t="str">
        <f>""</f>
        <v/>
      </c>
      <c r="AH871" s="1" t="str">
        <f>""</f>
        <v/>
      </c>
      <c r="AI871" s="1" t="str">
        <f>""</f>
        <v/>
      </c>
      <c r="AJ871" s="1" t="str">
        <f>""</f>
        <v/>
      </c>
      <c r="AK871" s="1" t="str">
        <f>""</f>
        <v/>
      </c>
    </row>
    <row r="872" spans="1:37" x14ac:dyDescent="0.2">
      <c r="A872" s="1">
        <v>400000</v>
      </c>
      <c r="B872" s="1">
        <v>951900040</v>
      </c>
      <c r="C872" s="1" t="str">
        <f>"تخليه -يزد-كيلومتر75جاده تفت -ابركوه -كارخانه آسفالت شركت ناوديس"</f>
        <v>تخليه -يزد-كيلومتر75جاده تفت -ابركوه -كارخانه آسفالت شركت ناوديس</v>
      </c>
      <c r="D872" s="1">
        <v>6250</v>
      </c>
      <c r="E872" s="1">
        <v>397900</v>
      </c>
      <c r="F872" s="1">
        <v>95</v>
      </c>
      <c r="G872" s="1">
        <v>2100</v>
      </c>
      <c r="H872" s="1" t="str">
        <f>"95/04/21"</f>
        <v>95/04/21</v>
      </c>
      <c r="I872" s="1" t="str">
        <f t="shared" si="225"/>
        <v>كيلوگرم</v>
      </c>
      <c r="J872" s="1" t="str">
        <f t="shared" si="232"/>
        <v>0000000091</v>
      </c>
      <c r="K872" s="1" t="str">
        <f t="shared" si="233"/>
        <v>قير  PG64-22</v>
      </c>
      <c r="L872" s="1">
        <v>100</v>
      </c>
      <c r="M872" s="1" t="str">
        <f t="shared" si="228"/>
        <v>مخازن قير اصفهان</v>
      </c>
      <c r="N872" s="1">
        <v>8083</v>
      </c>
      <c r="O872" s="1">
        <v>50031256</v>
      </c>
      <c r="P872" s="1" t="str">
        <f>"  ناوديس راه"</f>
        <v xml:space="preserve">  ناوديس راه</v>
      </c>
      <c r="Q872" s="1">
        <v>19</v>
      </c>
      <c r="R87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72" s="1" t="str">
        <f t="shared" si="226"/>
        <v>قرارداد فروش</v>
      </c>
      <c r="T872" s="1" t="str">
        <f t="shared" si="227"/>
        <v>ندارد</v>
      </c>
      <c r="U872" s="1" t="str">
        <f>"عابدي محمود(1018ج89)"</f>
        <v>عابدي محمود(1018ج89)</v>
      </c>
      <c r="V872" s="1">
        <v>951900040</v>
      </c>
      <c r="W872" s="1">
        <v>951900040</v>
      </c>
      <c r="X872" s="1" t="str">
        <f>"1395414105"</f>
        <v>1395414105</v>
      </c>
      <c r="Y872" s="1" t="str">
        <f>"95/04/20"</f>
        <v>95/04/20</v>
      </c>
      <c r="Z872" s="1" t="str">
        <f>"14998/510"</f>
        <v>14998/510</v>
      </c>
      <c r="AA872" s="1" t="str">
        <f>"سازمان راهداري وحمل نقل جاده اي"</f>
        <v>سازمان راهداري وحمل نقل جاده اي</v>
      </c>
      <c r="AB872" s="1" t="str">
        <f>"95/04/08"</f>
        <v>95/04/08</v>
      </c>
      <c r="AC872" s="1" t="str">
        <f>"استان يزد"</f>
        <v>استان يزد</v>
      </c>
      <c r="AD872" s="1" t="str">
        <f>"95/04/19"</f>
        <v>95/04/19</v>
      </c>
      <c r="AE872" s="1" t="str">
        <f t="shared" si="231"/>
        <v>اختتام</v>
      </c>
      <c r="AF872" s="1" t="str">
        <f>""</f>
        <v/>
      </c>
      <c r="AG872" s="1" t="str">
        <f>""</f>
        <v/>
      </c>
      <c r="AH872" s="1" t="str">
        <f>""</f>
        <v/>
      </c>
      <c r="AI872" s="1" t="str">
        <f>""</f>
        <v/>
      </c>
      <c r="AJ872" s="1" t="str">
        <f>""</f>
        <v/>
      </c>
      <c r="AK872" s="1" t="str">
        <f>""</f>
        <v/>
      </c>
    </row>
    <row r="873" spans="1:37" x14ac:dyDescent="0.2">
      <c r="A873" s="1">
        <v>409460</v>
      </c>
      <c r="B873" s="1">
        <v>951700094</v>
      </c>
      <c r="C873" s="1" t="str">
        <f>"تخليه -اصفهان -كيلومتر19محورقديم كاشان قم -شركت درم"</f>
        <v>تخليه -اصفهان -كيلومتر19محورقديم كاشان قم -شركت درم</v>
      </c>
      <c r="D873" s="1">
        <v>6250</v>
      </c>
      <c r="E873" s="1">
        <v>404520</v>
      </c>
      <c r="F873" s="1">
        <v>95</v>
      </c>
      <c r="G873" s="1">
        <v>4940</v>
      </c>
      <c r="H873" s="1" t="str">
        <f>"95/04/19"</f>
        <v>95/04/19</v>
      </c>
      <c r="I873" s="1" t="str">
        <f t="shared" si="225"/>
        <v>كيلوگرم</v>
      </c>
      <c r="J873" s="1" t="str">
        <f t="shared" si="232"/>
        <v>0000000091</v>
      </c>
      <c r="K873" s="1" t="str">
        <f t="shared" si="233"/>
        <v>قير  PG64-22</v>
      </c>
      <c r="L873" s="1">
        <v>100</v>
      </c>
      <c r="M873" s="1" t="str">
        <f t="shared" si="228"/>
        <v>مخازن قير اصفهان</v>
      </c>
      <c r="N873" s="1">
        <v>8091</v>
      </c>
      <c r="O873" s="1">
        <v>50031235</v>
      </c>
      <c r="P873" s="1" t="str">
        <f>"  اداره كل راه وشهرسازي اصفهان"</f>
        <v xml:space="preserve">  اداره كل راه وشهرسازي اصفهان</v>
      </c>
      <c r="Q873" s="1">
        <v>17</v>
      </c>
      <c r="R873" s="1" t="str">
        <f>"فروش داخلي تهران - وزارت راه - راه روستايي - روکش"</f>
        <v>فروش داخلي تهران - وزارت راه - راه روستايي - روکش</v>
      </c>
      <c r="S873" s="1" t="str">
        <f t="shared" si="226"/>
        <v>قرارداد فروش</v>
      </c>
      <c r="T873" s="1" t="str">
        <f t="shared" si="227"/>
        <v>ندارد</v>
      </c>
      <c r="U873" s="1" t="str">
        <f>"كبيري رحمت اله(1024ج89)"</f>
        <v>كبيري رحمت اله(1024ج89)</v>
      </c>
      <c r="V873" s="1">
        <v>951700094</v>
      </c>
      <c r="W873" s="1">
        <v>951700094</v>
      </c>
      <c r="X873" s="1" t="str">
        <f>"1394391632"</f>
        <v>1394391632</v>
      </c>
      <c r="Y873" s="1" t="str">
        <f>"95/04/19"</f>
        <v>95/04/19</v>
      </c>
      <c r="Z873" s="1" t="str">
        <f>"63628/510"</f>
        <v>63628/510</v>
      </c>
      <c r="AA873" s="1" t="str">
        <f>"راه روستائي -روكش"</f>
        <v>راه روستائي -روكش</v>
      </c>
      <c r="AB873" s="1" t="str">
        <f>"94/11/18"</f>
        <v>94/11/18</v>
      </c>
      <c r="AC873" s="1" t="str">
        <f>"استان اصفهان"</f>
        <v>استان اصفهان</v>
      </c>
      <c r="AD873" s="1" t="str">
        <f>"95/11/20"</f>
        <v>95/11/20</v>
      </c>
      <c r="AE873" s="1" t="str">
        <f t="shared" si="231"/>
        <v>اختتام</v>
      </c>
      <c r="AF873" s="1" t="str">
        <f>""</f>
        <v/>
      </c>
      <c r="AG873" s="1" t="str">
        <f>""</f>
        <v/>
      </c>
      <c r="AH873" s="1" t="str">
        <f>""</f>
        <v/>
      </c>
      <c r="AI873" s="1" t="str">
        <f>""</f>
        <v/>
      </c>
      <c r="AJ873" s="1" t="str">
        <f>""</f>
        <v/>
      </c>
      <c r="AK873" s="1" t="str">
        <f>""</f>
        <v/>
      </c>
    </row>
    <row r="874" spans="1:37" x14ac:dyDescent="0.2">
      <c r="A874" s="1">
        <v>408000</v>
      </c>
      <c r="B874" s="1">
        <v>951700219</v>
      </c>
      <c r="C874" s="1" t="str">
        <f>"تخليه اصفهان كارگاه ره آفرينان صفاهان محوررحمت آباد"</f>
        <v>تخليه اصفهان كارگاه ره آفرينان صفاهان محوررحمت آباد</v>
      </c>
      <c r="D874" s="1">
        <v>7276</v>
      </c>
      <c r="E874" s="1">
        <v>164080</v>
      </c>
      <c r="F874" s="1">
        <v>95</v>
      </c>
      <c r="G874" s="1">
        <v>243920</v>
      </c>
      <c r="H874" s="1" t="str">
        <f>"95/07/06"</f>
        <v>95/07/06</v>
      </c>
      <c r="I874" s="1" t="str">
        <f t="shared" si="225"/>
        <v>كيلوگرم</v>
      </c>
      <c r="J874" s="1" t="str">
        <f t="shared" si="232"/>
        <v>0000000091</v>
      </c>
      <c r="K874" s="1" t="str">
        <f t="shared" si="233"/>
        <v>قير  PG64-22</v>
      </c>
      <c r="L874" s="1">
        <v>100</v>
      </c>
      <c r="M874" s="1" t="str">
        <f t="shared" si="228"/>
        <v>مخازن قير اصفهان</v>
      </c>
      <c r="N874" s="1">
        <v>8091</v>
      </c>
      <c r="O874" s="1">
        <v>50031983</v>
      </c>
      <c r="P874" s="1" t="str">
        <f>"  اداره كل راه وشهرسازي اصفهان"</f>
        <v xml:space="preserve">  اداره كل راه وشهرسازي اصفهان</v>
      </c>
      <c r="Q874" s="1">
        <v>17</v>
      </c>
      <c r="R874" s="1" t="str">
        <f>"فروش داخلي تهران - وزارت راه - راه روستايي - روکش"</f>
        <v>فروش داخلي تهران - وزارت راه - راه روستايي - روکش</v>
      </c>
      <c r="S874" s="1" t="str">
        <f t="shared" si="226"/>
        <v>قرارداد فروش</v>
      </c>
      <c r="T874" s="1" t="str">
        <f t="shared" si="227"/>
        <v>ندارد</v>
      </c>
      <c r="U874" s="1" t="str">
        <f>"شهبازي محمدرضا(1029ج89)"</f>
        <v>شهبازي محمدرضا(1029ج89)</v>
      </c>
      <c r="V874" s="1">
        <v>951700219</v>
      </c>
      <c r="W874" s="1">
        <v>951700219</v>
      </c>
      <c r="X874" s="1" t="str">
        <f>"1395433830"</f>
        <v>1395433830</v>
      </c>
      <c r="Y874" s="1" t="str">
        <f>"95/07/06"</f>
        <v>95/07/06</v>
      </c>
      <c r="Z874" s="1" t="str">
        <f>"31549/510"</f>
        <v>31549/510</v>
      </c>
      <c r="AA874" s="1" t="str">
        <f>"راه روستائي -روكش"</f>
        <v>راه روستائي -روكش</v>
      </c>
      <c r="AB874" s="1" t="str">
        <f>"95/07/03"</f>
        <v>95/07/03</v>
      </c>
      <c r="AC874" s="1" t="str">
        <f>"استان اصفهان"</f>
        <v>استان اصفهان</v>
      </c>
      <c r="AD874" s="1" t="str">
        <f>"95/07/05"</f>
        <v>95/07/05</v>
      </c>
      <c r="AE874" s="1" t="str">
        <f t="shared" si="231"/>
        <v>اختتام</v>
      </c>
      <c r="AF874" s="1" t="str">
        <f>""</f>
        <v/>
      </c>
      <c r="AG874" s="1" t="str">
        <f>""</f>
        <v/>
      </c>
      <c r="AH874" s="1" t="str">
        <f>""</f>
        <v/>
      </c>
      <c r="AI874" s="1" t="str">
        <f>""</f>
        <v/>
      </c>
      <c r="AJ874" s="1" t="str">
        <f>""</f>
        <v/>
      </c>
      <c r="AK874" s="1" t="str">
        <f>""</f>
        <v/>
      </c>
    </row>
    <row r="875" spans="1:37" x14ac:dyDescent="0.2">
      <c r="A875" s="1">
        <v>200000</v>
      </c>
      <c r="B875" s="1">
        <v>951100088</v>
      </c>
      <c r="C875" s="1" t="str">
        <f>"تخليه -كيلومتر5قبل ازكرندكارخانه آسفالت دالاهووكيلومتر7جاده هرسين روستاي پل چهر-كارخانه آسفالت مرزراه"</f>
        <v>تخليه -كيلومتر5قبل ازكرندكارخانه آسفالت دالاهووكيلومتر7جاده هرسين روستاي پل چهر-كارخانه آسفالت مرزراه</v>
      </c>
      <c r="D875" s="1">
        <v>6250</v>
      </c>
      <c r="E875" s="1">
        <v>200000</v>
      </c>
      <c r="F875" s="1">
        <v>95</v>
      </c>
      <c r="G875" s="1">
        <v>0</v>
      </c>
      <c r="H875" s="1" t="str">
        <f>"95/04/23"</f>
        <v>95/04/23</v>
      </c>
      <c r="I875" s="1" t="str">
        <f t="shared" si="225"/>
        <v>كيلوگرم</v>
      </c>
      <c r="J875" s="1" t="str">
        <f t="shared" si="232"/>
        <v>0000000091</v>
      </c>
      <c r="K875" s="1" t="str">
        <f t="shared" si="233"/>
        <v>قير  PG64-22</v>
      </c>
      <c r="L875" s="1">
        <v>100</v>
      </c>
      <c r="M875" s="1" t="str">
        <f t="shared" si="228"/>
        <v>مخازن قير اصفهان</v>
      </c>
      <c r="N875" s="1">
        <v>8120</v>
      </c>
      <c r="O875" s="1">
        <v>50031283</v>
      </c>
      <c r="P875" s="1" t="str">
        <f>"  مرزراه"</f>
        <v xml:space="preserve">  مرزراه</v>
      </c>
      <c r="Q875" s="1">
        <v>11</v>
      </c>
      <c r="R875" s="1" t="str">
        <f>"فروش داخلي تهران - بورس"</f>
        <v>فروش داخلي تهران - بورس</v>
      </c>
      <c r="S875" s="1" t="str">
        <f t="shared" si="226"/>
        <v>قرارداد فروش</v>
      </c>
      <c r="T875" s="1" t="str">
        <f t="shared" si="227"/>
        <v>ندارد</v>
      </c>
      <c r="U875" s="1" t="str">
        <f>"شمسيان پور حبيب اله(2842034)"</f>
        <v>شمسيان پور حبيب اله(2842034)</v>
      </c>
      <c r="V875" s="1">
        <v>951100088</v>
      </c>
      <c r="W875" s="1">
        <v>951100088</v>
      </c>
      <c r="X875" s="1" t="str">
        <f>"1395415479"</f>
        <v>1395415479</v>
      </c>
      <c r="Y875" s="1" t="str">
        <f>"95/04/23"</f>
        <v>95/04/23</v>
      </c>
      <c r="Z875" s="1" t="str">
        <f>"95-34599"</f>
        <v>95-34599</v>
      </c>
      <c r="AA875" s="1" t="str">
        <f>"آسفالت سازان"</f>
        <v>آسفالت سازان</v>
      </c>
      <c r="AB875" s="1" t="str">
        <f>"95/04/23"</f>
        <v>95/04/23</v>
      </c>
      <c r="AC875" s="1" t="str">
        <f>"استان كرمانشاه"</f>
        <v>استان كرمانشاه</v>
      </c>
      <c r="AD875" s="1" t="str">
        <f>"95/04/23"</f>
        <v>95/04/23</v>
      </c>
      <c r="AE875" s="1" t="str">
        <f t="shared" si="231"/>
        <v>اختتام</v>
      </c>
      <c r="AF875" s="1" t="str">
        <f>""</f>
        <v/>
      </c>
      <c r="AG875" s="1" t="str">
        <f>""</f>
        <v/>
      </c>
      <c r="AH875" s="1" t="str">
        <f>""</f>
        <v/>
      </c>
      <c r="AI875" s="1" t="str">
        <f>""</f>
        <v/>
      </c>
      <c r="AJ875" s="1" t="str">
        <f>""</f>
        <v/>
      </c>
      <c r="AK875" s="1" t="str">
        <f>""</f>
        <v/>
      </c>
    </row>
    <row r="876" spans="1:37" x14ac:dyDescent="0.2">
      <c r="A876" s="1">
        <v>500000</v>
      </c>
      <c r="B876" s="1">
        <v>951900129</v>
      </c>
      <c r="C876" s="1" t="str">
        <f>"تخليه ايلام كيلومتر65جاده اسلام آبادغرب به طرف پلدخترنرسيده به شهرك توحيدكارخانه آسفالت آج راه غرب"</f>
        <v>تخليه ايلام كيلومتر65جاده اسلام آبادغرب به طرف پلدخترنرسيده به شهرك توحيدكارخانه آسفالت آج راه غرب</v>
      </c>
      <c r="D876" s="1">
        <v>7176</v>
      </c>
      <c r="E876" s="1">
        <v>499120</v>
      </c>
      <c r="F876" s="1">
        <v>95</v>
      </c>
      <c r="G876" s="1">
        <v>880</v>
      </c>
      <c r="H876" s="1" t="str">
        <f>"95/06/03"</f>
        <v>95/06/03</v>
      </c>
      <c r="I876" s="1" t="str">
        <f t="shared" si="225"/>
        <v>كيلوگرم</v>
      </c>
      <c r="J876" s="1" t="str">
        <f>"0000000092"</f>
        <v>0000000092</v>
      </c>
      <c r="K876" s="1" t="str">
        <f>"قير  PG64-16"</f>
        <v>قير  PG64-16</v>
      </c>
      <c r="L876" s="1">
        <v>100</v>
      </c>
      <c r="M876" s="1" t="str">
        <f t="shared" si="228"/>
        <v>مخازن قير اصفهان</v>
      </c>
      <c r="N876" s="1">
        <v>8293</v>
      </c>
      <c r="O876" s="1">
        <v>50031617</v>
      </c>
      <c r="P876" s="1" t="str">
        <f>"  آج راه غرب"</f>
        <v xml:space="preserve">  آج راه غرب</v>
      </c>
      <c r="Q876" s="1">
        <v>19</v>
      </c>
      <c r="R87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76" s="1" t="str">
        <f t="shared" si="226"/>
        <v>قرارداد فروش</v>
      </c>
      <c r="T876" s="1" t="str">
        <f t="shared" si="227"/>
        <v>ندارد</v>
      </c>
      <c r="U876" s="1" t="str">
        <f>"قره باغي مجيد(1871065)"</f>
        <v>قره باغي مجيد(1871065)</v>
      </c>
      <c r="V876" s="1">
        <v>951900129</v>
      </c>
      <c r="W876" s="1">
        <v>951900129</v>
      </c>
      <c r="X876" s="1" t="str">
        <f>"1395426705"</f>
        <v>1395426705</v>
      </c>
      <c r="Y876" s="1" t="str">
        <f>"95/06/03"</f>
        <v>95/06/03</v>
      </c>
      <c r="Z876" s="1" t="str">
        <f>"23361/510"</f>
        <v>23361/510</v>
      </c>
      <c r="AA876" s="1" t="str">
        <f>"سازمان راهداري وحمل نقل جاده اي"</f>
        <v>سازمان راهداري وحمل نقل جاده اي</v>
      </c>
      <c r="AB876" s="1" t="str">
        <f>"95/05/24"</f>
        <v>95/05/24</v>
      </c>
      <c r="AC876" s="1" t="str">
        <f>"استان ايلام"</f>
        <v>استان ايلام</v>
      </c>
      <c r="AD876" s="1" t="str">
        <f>"95/06/03"</f>
        <v>95/06/03</v>
      </c>
      <c r="AE876" s="1" t="str">
        <f t="shared" si="231"/>
        <v>اختتام</v>
      </c>
      <c r="AF876" s="1" t="str">
        <f>""</f>
        <v/>
      </c>
      <c r="AG876" s="1" t="str">
        <f>""</f>
        <v/>
      </c>
      <c r="AH876" s="1" t="str">
        <f>""</f>
        <v/>
      </c>
      <c r="AI876" s="1" t="str">
        <f>""</f>
        <v/>
      </c>
      <c r="AJ876" s="1" t="str">
        <f>""</f>
        <v/>
      </c>
      <c r="AK876" s="1" t="str">
        <f>""</f>
        <v/>
      </c>
    </row>
    <row r="877" spans="1:37" x14ac:dyDescent="0.2">
      <c r="A877" s="1">
        <v>300000</v>
      </c>
      <c r="B877" s="1">
        <v>951900235</v>
      </c>
      <c r="C877" s="1" t="str">
        <f>"تخليه -لرستان -كوهدشت هليلان نرسيده به شهرتوحيد-كارخانه آسفالت  آج راه غرب"</f>
        <v>تخليه -لرستان -كوهدشت هليلان نرسيده به شهرتوحيد-كارخانه آسفالت  آج راه غرب</v>
      </c>
      <c r="D877" s="1">
        <v>9061</v>
      </c>
      <c r="E877" s="1">
        <v>298860</v>
      </c>
      <c r="F877" s="1">
        <v>95</v>
      </c>
      <c r="G877" s="1">
        <v>1140</v>
      </c>
      <c r="H877" s="1" t="str">
        <f>"95/10/06"</f>
        <v>95/10/06</v>
      </c>
      <c r="I877" s="1" t="str">
        <f t="shared" si="225"/>
        <v>كيلوگرم</v>
      </c>
      <c r="J877" s="1" t="str">
        <f>"0000000092"</f>
        <v>0000000092</v>
      </c>
      <c r="K877" s="1" t="str">
        <f>"قير  PG64-16"</f>
        <v>قير  PG64-16</v>
      </c>
      <c r="L877" s="1">
        <v>100</v>
      </c>
      <c r="M877" s="1" t="str">
        <f t="shared" si="228"/>
        <v>مخازن قير اصفهان</v>
      </c>
      <c r="N877" s="1">
        <v>8293</v>
      </c>
      <c r="O877" s="1">
        <v>50033172</v>
      </c>
      <c r="P877" s="1" t="str">
        <f>"  آج راه غرب"</f>
        <v xml:space="preserve">  آج راه غرب</v>
      </c>
      <c r="Q877" s="1">
        <v>19</v>
      </c>
      <c r="R87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77" s="1" t="str">
        <f t="shared" si="226"/>
        <v>قرارداد فروش</v>
      </c>
      <c r="T877" s="1" t="str">
        <f t="shared" si="227"/>
        <v>ندارد</v>
      </c>
      <c r="U877" s="1" t="str">
        <f>"قره باغي مجيد(1871065)"</f>
        <v>قره باغي مجيد(1871065)</v>
      </c>
      <c r="V877" s="1">
        <v>951900235</v>
      </c>
      <c r="W877" s="1">
        <v>951900235</v>
      </c>
      <c r="X877" s="1" t="str">
        <f>"1395454454"</f>
        <v>1395454454</v>
      </c>
      <c r="Y877" s="1" t="str">
        <f>"95/10/06"</f>
        <v>95/10/06</v>
      </c>
      <c r="Z877" s="1" t="str">
        <f>"47059/710"</f>
        <v>47059/710</v>
      </c>
      <c r="AA877" s="1" t="str">
        <f>"سازمان راهداري وحمل نقل جاده اي"</f>
        <v>سازمان راهداري وحمل نقل جاده اي</v>
      </c>
      <c r="AB877" s="1" t="str">
        <f>"95/09/28"</f>
        <v>95/09/28</v>
      </c>
      <c r="AC877" s="1" t="str">
        <f>"لرستان"</f>
        <v>لرستان</v>
      </c>
      <c r="AD877" s="1" t="str">
        <f>"95/10/05"</f>
        <v>95/10/05</v>
      </c>
      <c r="AE877" s="1" t="str">
        <f t="shared" si="231"/>
        <v>اختتام</v>
      </c>
      <c r="AF877" s="1" t="str">
        <f>""</f>
        <v/>
      </c>
      <c r="AG877" s="1" t="str">
        <f>""</f>
        <v/>
      </c>
      <c r="AH877" s="1" t="str">
        <f>""</f>
        <v/>
      </c>
      <c r="AI877" s="1" t="str">
        <f>""</f>
        <v/>
      </c>
      <c r="AJ877" s="1" t="str">
        <f>""</f>
        <v/>
      </c>
      <c r="AK877" s="1" t="str">
        <f>""</f>
        <v/>
      </c>
    </row>
    <row r="878" spans="1:37" x14ac:dyDescent="0.2">
      <c r="A878" s="1">
        <v>161000</v>
      </c>
      <c r="B878" s="1">
        <v>951400141</v>
      </c>
      <c r="C878" s="1" t="str">
        <f>"تخليه خراسان جنوبي پروژه بهسازي وآسفالت راه روستايي زهان پايهان كارخانه آسفالت شركت توس راديه"</f>
        <v>تخليه خراسان جنوبي پروژه بهسازي وآسفالت راه روستايي زهان پايهان كارخانه آسفالت شركت توس راديه</v>
      </c>
      <c r="D878" s="1">
        <v>9511</v>
      </c>
      <c r="E878" s="1">
        <v>158720</v>
      </c>
      <c r="F878" s="1">
        <v>95</v>
      </c>
      <c r="G878" s="1">
        <v>2280</v>
      </c>
      <c r="H878" s="1" t="str">
        <f>"95/11/03"</f>
        <v>95/11/03</v>
      </c>
      <c r="I878" s="1" t="str">
        <f t="shared" si="225"/>
        <v>كيلوگرم</v>
      </c>
      <c r="J878" s="1" t="str">
        <f>"0000000091"</f>
        <v>0000000091</v>
      </c>
      <c r="K878" s="1" t="str">
        <f>"قير  PG64-22"</f>
        <v>قير  PG64-22</v>
      </c>
      <c r="L878" s="1">
        <v>100</v>
      </c>
      <c r="M878" s="1" t="str">
        <f t="shared" si="228"/>
        <v>مخازن قير اصفهان</v>
      </c>
      <c r="N878" s="1">
        <v>4012</v>
      </c>
      <c r="O878" s="1">
        <v>50033485</v>
      </c>
      <c r="P878" s="1" t="str">
        <f>"  اداره كل راه و شهرسازي خراسان جنوبي"</f>
        <v xml:space="preserve">  اداره كل راه و شهرسازي خراسان جنوبي</v>
      </c>
      <c r="Q878" s="1">
        <v>14</v>
      </c>
      <c r="R878" s="1" t="str">
        <f>"فروش داخلي - وزارت راه - حوزه راه روستايي ساخت"</f>
        <v>فروش داخلي - وزارت راه - حوزه راه روستايي ساخت</v>
      </c>
      <c r="S878" s="1" t="str">
        <f t="shared" si="226"/>
        <v>قرارداد فروش</v>
      </c>
      <c r="T878" s="1" t="str">
        <f t="shared" si="227"/>
        <v>ندارد</v>
      </c>
      <c r="U878" s="1" t="str">
        <f>"بابامحمدي عنايت اله(4844000)"</f>
        <v>بابامحمدي عنايت اله(4844000)</v>
      </c>
      <c r="V878" s="1">
        <v>951400141</v>
      </c>
      <c r="W878" s="1">
        <v>951400141</v>
      </c>
      <c r="X878" s="1" t="str">
        <f>"1395457935"</f>
        <v>1395457935</v>
      </c>
      <c r="Y878" s="1" t="str">
        <f>"95/11/03"</f>
        <v>95/11/03</v>
      </c>
      <c r="Z878" s="1" t="str">
        <f>"51853/710"</f>
        <v>51853/710</v>
      </c>
      <c r="AA878" s="1" t="str">
        <f>"راه وروستايي -ساخت"</f>
        <v>راه وروستايي -ساخت</v>
      </c>
      <c r="AB878" s="1" t="str">
        <f>"95/10/20"</f>
        <v>95/10/20</v>
      </c>
      <c r="AC878" s="1" t="str">
        <f>"خراسان جنوبي"</f>
        <v>خراسان جنوبي</v>
      </c>
      <c r="AD878" s="1" t="str">
        <f>"95/10/22"</f>
        <v>95/10/22</v>
      </c>
      <c r="AE878" s="1" t="str">
        <f t="shared" si="231"/>
        <v>اختتام</v>
      </c>
      <c r="AF878" s="1" t="str">
        <f>""</f>
        <v/>
      </c>
      <c r="AG878" s="1" t="str">
        <f>""</f>
        <v/>
      </c>
      <c r="AH878" s="1" t="str">
        <f>""</f>
        <v/>
      </c>
      <c r="AI878" s="1" t="str">
        <f>""</f>
        <v/>
      </c>
      <c r="AJ878" s="1" t="str">
        <f>""</f>
        <v/>
      </c>
      <c r="AK878" s="1" t="str">
        <f>""</f>
        <v/>
      </c>
    </row>
    <row r="879" spans="1:37" x14ac:dyDescent="0.2">
      <c r="A879" s="1">
        <v>340000</v>
      </c>
      <c r="B879" s="1">
        <v>951700360</v>
      </c>
      <c r="C879" s="1" t="str">
        <f>"تخليه -خراسان جنوبي -قاين شهرخضري دشت بياض شركت پيوندسازان"</f>
        <v>تخليه -خراسان جنوبي -قاين شهرخضري دشت بياض شركت پيوندسازان</v>
      </c>
      <c r="D879" s="1">
        <v>8998</v>
      </c>
      <c r="E879" s="1">
        <v>339380</v>
      </c>
      <c r="F879" s="1">
        <v>95</v>
      </c>
      <c r="G879" s="1">
        <v>620</v>
      </c>
      <c r="H879" s="1" t="str">
        <f>"95/12/24"</f>
        <v>95/12/24</v>
      </c>
      <c r="I879" s="1" t="str">
        <f t="shared" si="225"/>
        <v>كيلوگرم</v>
      </c>
      <c r="J879" s="1" t="str">
        <f>"0000000091"</f>
        <v>0000000091</v>
      </c>
      <c r="K879" s="1" t="str">
        <f>"قير  PG64-22"</f>
        <v>قير  PG64-22</v>
      </c>
      <c r="L879" s="1">
        <v>100</v>
      </c>
      <c r="M879" s="1" t="str">
        <f t="shared" si="228"/>
        <v>مخازن قير اصفهان</v>
      </c>
      <c r="N879" s="1">
        <v>4012</v>
      </c>
      <c r="O879" s="1">
        <v>50034205</v>
      </c>
      <c r="P879" s="1" t="str">
        <f>"  اداره كل راه و شهرسازي خراسان جنوبي"</f>
        <v xml:space="preserve">  اداره كل راه و شهرسازي خراسان جنوبي</v>
      </c>
      <c r="Q879" s="1">
        <v>17</v>
      </c>
      <c r="R879" s="1" t="str">
        <f>"فروش داخلي تهران - وزارت راه - راه روستايي - روکش"</f>
        <v>فروش داخلي تهران - وزارت راه - راه روستايي - روکش</v>
      </c>
      <c r="S879" s="1" t="str">
        <f t="shared" si="226"/>
        <v>قرارداد فروش</v>
      </c>
      <c r="T879" s="1" t="str">
        <f t="shared" si="227"/>
        <v>ندارد</v>
      </c>
      <c r="U879" s="1" t="str">
        <f>"معماريان سعيد(1004ج89)"</f>
        <v>معماريان سعيد(1004ج89)</v>
      </c>
      <c r="V879" s="1">
        <v>951700360</v>
      </c>
      <c r="W879" s="1">
        <v>951700360</v>
      </c>
      <c r="X879" s="1" t="str">
        <f>"1395470430"</f>
        <v>1395470430</v>
      </c>
      <c r="Y879" s="1" t="str">
        <f>"95/12/24"</f>
        <v>95/12/24</v>
      </c>
      <c r="Z879" s="1" t="str">
        <f>"65159/710"</f>
        <v>65159/710</v>
      </c>
      <c r="AA879" s="1" t="str">
        <f>"راه روستائي -روكش"</f>
        <v>راه روستائي -روكش</v>
      </c>
      <c r="AB879" s="1" t="str">
        <f>"95/12/18"</f>
        <v>95/12/18</v>
      </c>
      <c r="AC879" s="1" t="str">
        <f>"خراسان جنوبي"</f>
        <v>خراسان جنوبي</v>
      </c>
      <c r="AD879" s="1" t="str">
        <f>"95/12/22"</f>
        <v>95/12/22</v>
      </c>
      <c r="AE879" s="1" t="str">
        <f t="shared" si="231"/>
        <v>اختتام</v>
      </c>
      <c r="AF879" s="1" t="str">
        <f>""</f>
        <v/>
      </c>
      <c r="AG879" s="1" t="str">
        <f>""</f>
        <v/>
      </c>
      <c r="AH879" s="1" t="str">
        <f>""</f>
        <v/>
      </c>
      <c r="AI879" s="1" t="str">
        <f>""</f>
        <v/>
      </c>
      <c r="AJ879" s="1" t="str">
        <f>""</f>
        <v/>
      </c>
      <c r="AK879" s="1" t="str">
        <f>""</f>
        <v/>
      </c>
    </row>
    <row r="880" spans="1:37" x14ac:dyDescent="0.2">
      <c r="A880" s="1">
        <v>45000</v>
      </c>
      <c r="B880" s="1">
        <v>951400168</v>
      </c>
      <c r="C880" s="1" t="str">
        <f>"تخليه -خراسان جنوبي -كارخانه آسفالت راه وشهرسازي خراسان جنوبي"</f>
        <v>تخليه -خراسان جنوبي -كارخانه آسفالت راه وشهرسازي خراسان جنوبي</v>
      </c>
      <c r="D880" s="1">
        <v>9354</v>
      </c>
      <c r="E880" s="1">
        <v>44600</v>
      </c>
      <c r="F880" s="1">
        <v>95</v>
      </c>
      <c r="G880" s="1">
        <v>400</v>
      </c>
      <c r="H880" s="1" t="str">
        <f>"95/12/03"</f>
        <v>95/12/03</v>
      </c>
      <c r="I880" s="1" t="str">
        <f t="shared" si="225"/>
        <v>كيلوگرم</v>
      </c>
      <c r="J880" s="1" t="str">
        <f>"0000000091"</f>
        <v>0000000091</v>
      </c>
      <c r="K880" s="1" t="str">
        <f>"قير  PG64-22"</f>
        <v>قير  PG64-22</v>
      </c>
      <c r="L880" s="1">
        <v>100</v>
      </c>
      <c r="M880" s="1" t="str">
        <f t="shared" si="228"/>
        <v>مخازن قير اصفهان</v>
      </c>
      <c r="N880" s="1">
        <v>4012</v>
      </c>
      <c r="O880" s="1">
        <v>50034949</v>
      </c>
      <c r="P880" s="1" t="str">
        <f>"  اداره كل راه و شهرسازي خراسان جنوبي"</f>
        <v xml:space="preserve">  اداره كل راه و شهرسازي خراسان جنوبي</v>
      </c>
      <c r="Q880" s="1">
        <v>14</v>
      </c>
      <c r="R880" s="1" t="str">
        <f>"فروش داخلي - وزارت راه - حوزه راه روستايي ساخت"</f>
        <v>فروش داخلي - وزارت راه - حوزه راه روستايي ساخت</v>
      </c>
      <c r="S880" s="1" t="str">
        <f t="shared" si="226"/>
        <v>قرارداد فروش</v>
      </c>
      <c r="T880" s="1" t="str">
        <f t="shared" si="227"/>
        <v>ندارد</v>
      </c>
      <c r="U880" s="1" t="str">
        <f>"شيخي خيراله (1841012)"</f>
        <v>شيخي خيراله (1841012)</v>
      </c>
      <c r="V880" s="1">
        <v>951400168</v>
      </c>
      <c r="W880" s="1">
        <v>951400168</v>
      </c>
      <c r="X880" s="1" t="str">
        <f>"1395466577"</f>
        <v>1395466577</v>
      </c>
      <c r="Y880" s="1" t="str">
        <f>"95/12/03"</f>
        <v>95/12/03</v>
      </c>
      <c r="Z880" s="1" t="str">
        <f>"59767/710"</f>
        <v>59767/710</v>
      </c>
      <c r="AA880" s="1" t="str">
        <f>"راه وروستايي -ساخت"</f>
        <v>راه وروستايي -ساخت</v>
      </c>
      <c r="AB880" s="1" t="str">
        <f>"95/11/27"</f>
        <v>95/11/27</v>
      </c>
      <c r="AC880" s="1" t="str">
        <f>"خراسان جنوبي"</f>
        <v>خراسان جنوبي</v>
      </c>
      <c r="AD880" s="1" t="str">
        <f>"95/12/03"</f>
        <v>95/12/03</v>
      </c>
      <c r="AE880" s="1" t="str">
        <f t="shared" si="231"/>
        <v>اختتام</v>
      </c>
      <c r="AF880" s="1" t="str">
        <f>""</f>
        <v/>
      </c>
      <c r="AG880" s="1" t="str">
        <f>""</f>
        <v/>
      </c>
      <c r="AH880" s="1" t="str">
        <f>""</f>
        <v/>
      </c>
      <c r="AI880" s="1" t="str">
        <f>""</f>
        <v/>
      </c>
      <c r="AJ880" s="1" t="str">
        <f>""</f>
        <v/>
      </c>
      <c r="AK880" s="1" t="str">
        <f>""</f>
        <v/>
      </c>
    </row>
    <row r="881" spans="1:37" x14ac:dyDescent="0.2">
      <c r="A881" s="1">
        <v>280000</v>
      </c>
      <c r="B881" s="1">
        <v>951900090</v>
      </c>
      <c r="C881" s="1" t="str">
        <f>"تخليه-همدان کيلومتر54 همدان-رزن شرکت سراوک"</f>
        <v>تخليه-همدان کيلومتر54 همدان-رزن شرکت سراوک</v>
      </c>
      <c r="D881" s="1">
        <v>6726</v>
      </c>
      <c r="E881" s="1">
        <v>279120</v>
      </c>
      <c r="F881" s="1">
        <v>95</v>
      </c>
      <c r="G881" s="1">
        <v>880</v>
      </c>
      <c r="H881" s="1" t="str">
        <f>"95/05/16"</f>
        <v>95/05/16</v>
      </c>
      <c r="I881" s="1" t="str">
        <f t="shared" si="225"/>
        <v>كيلوگرم</v>
      </c>
      <c r="J881" s="1" t="str">
        <f>"0000000091"</f>
        <v>0000000091</v>
      </c>
      <c r="K881" s="1" t="str">
        <f>"قير  PG64-22"</f>
        <v>قير  PG64-22</v>
      </c>
      <c r="L881" s="1">
        <v>100</v>
      </c>
      <c r="M881" s="1" t="str">
        <f t="shared" si="228"/>
        <v>مخازن قير اصفهان</v>
      </c>
      <c r="N881" s="1">
        <v>4013</v>
      </c>
      <c r="O881" s="1">
        <v>50031434</v>
      </c>
      <c r="P881" s="1" t="str">
        <f>"  ساختماني و راهسازي سراوك"</f>
        <v xml:space="preserve">  ساختماني و راهسازي سراوك</v>
      </c>
      <c r="Q881" s="1">
        <v>19</v>
      </c>
      <c r="R88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81" s="1" t="str">
        <f t="shared" si="226"/>
        <v>قرارداد فروش</v>
      </c>
      <c r="T881" s="1" t="str">
        <f t="shared" si="227"/>
        <v>ندارد</v>
      </c>
      <c r="U881" s="1" t="str">
        <f>"حاجيلوئي علي اصغر(2842019)"</f>
        <v>حاجيلوئي علي اصغر(2842019)</v>
      </c>
      <c r="V881" s="1">
        <v>951900090</v>
      </c>
      <c r="W881" s="1">
        <v>951900090</v>
      </c>
      <c r="X881" s="1" t="str">
        <f>"1395421154"</f>
        <v>1395421154</v>
      </c>
      <c r="Y881" s="1" t="str">
        <f>"95/05/16"</f>
        <v>95/05/16</v>
      </c>
      <c r="Z881" s="1" t="str">
        <f>"21226/510"</f>
        <v>21226/510</v>
      </c>
      <c r="AA881" s="1" t="str">
        <f>"سازمان راهداري وحمل نقل جاده اي"</f>
        <v>سازمان راهداري وحمل نقل جاده اي</v>
      </c>
      <c r="AB881" s="1" t="str">
        <f>"95/05/12"</f>
        <v>95/05/12</v>
      </c>
      <c r="AC881" s="1" t="str">
        <f>"استان همدان"</f>
        <v>استان همدان</v>
      </c>
      <c r="AD881" s="1" t="str">
        <f>"95/05/13"</f>
        <v>95/05/13</v>
      </c>
      <c r="AE881" s="1" t="str">
        <f t="shared" si="231"/>
        <v>اختتام</v>
      </c>
      <c r="AF881" s="1" t="str">
        <f>""</f>
        <v/>
      </c>
      <c r="AG881" s="1" t="str">
        <f>""</f>
        <v/>
      </c>
      <c r="AH881" s="1" t="str">
        <f>""</f>
        <v/>
      </c>
      <c r="AI881" s="1" t="str">
        <f>""</f>
        <v/>
      </c>
      <c r="AJ881" s="1" t="str">
        <f>""</f>
        <v/>
      </c>
      <c r="AK881" s="1" t="str">
        <f>""</f>
        <v/>
      </c>
    </row>
    <row r="882" spans="1:37" x14ac:dyDescent="0.2">
      <c r="A882" s="1">
        <v>1000000</v>
      </c>
      <c r="B882" s="1">
        <v>951800100</v>
      </c>
      <c r="C882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882" s="1">
        <v>7276</v>
      </c>
      <c r="E882" s="1">
        <v>223700</v>
      </c>
      <c r="F882" s="1">
        <v>95</v>
      </c>
      <c r="G882" s="1">
        <v>776300</v>
      </c>
      <c r="H882" s="1" t="str">
        <f>"95/09/13"</f>
        <v>95/09/13</v>
      </c>
      <c r="I882" s="1" t="str">
        <f t="shared" si="225"/>
        <v>كيلوگرم</v>
      </c>
      <c r="J882" s="1" t="str">
        <f>"0000000092"</f>
        <v>0000000092</v>
      </c>
      <c r="K882" s="1" t="str">
        <f>"قير  PG64-16"</f>
        <v>قير  PG64-16</v>
      </c>
      <c r="L882" s="1">
        <v>100</v>
      </c>
      <c r="M882" s="1" t="str">
        <f t="shared" si="228"/>
        <v>مخازن قير اصفهان</v>
      </c>
      <c r="N882" s="1">
        <v>4089</v>
      </c>
      <c r="O882" s="1">
        <v>50032823</v>
      </c>
      <c r="P882" s="1" t="str">
        <f>"  تعاوني خدمات زيربنائي رفسنجان"</f>
        <v xml:space="preserve">  تعاوني خدمات زيربنائي رفسنجان</v>
      </c>
      <c r="Q882" s="1">
        <v>18</v>
      </c>
      <c r="R882" s="1" t="str">
        <f>"فروش داخلي تهران - وزارت راه - شرکت ساخت و توسعه راهها"</f>
        <v>فروش داخلي تهران - وزارت راه - شرکت ساخت و توسعه راهها</v>
      </c>
      <c r="S882" s="1" t="str">
        <f t="shared" si="226"/>
        <v>قرارداد فروش</v>
      </c>
      <c r="T882" s="1" t="str">
        <f t="shared" si="227"/>
        <v>ندارد</v>
      </c>
      <c r="U882" s="1" t="str">
        <f>"بابامحمدي عنايت اله(4844000)"</f>
        <v>بابامحمدي عنايت اله(4844000)</v>
      </c>
      <c r="V882" s="1">
        <v>951800100</v>
      </c>
      <c r="W882" s="1">
        <v>951800100</v>
      </c>
      <c r="X882" s="1" t="str">
        <f>"1395447891"</f>
        <v>1395447891</v>
      </c>
      <c r="Y882" s="1" t="str">
        <f>"95/09/13"</f>
        <v>95/09/13</v>
      </c>
      <c r="Z882" s="1" t="str">
        <f>"42088/710"</f>
        <v>42088/710</v>
      </c>
      <c r="AA882" s="1" t="str">
        <f>"شركت  ساخت وتوسعه راهها"</f>
        <v>شركت  ساخت وتوسعه راهها</v>
      </c>
      <c r="AB882" s="1" t="str">
        <f>"95/08/29"</f>
        <v>95/08/29</v>
      </c>
      <c r="AC882" s="1" t="str">
        <f>"استان كرمان"</f>
        <v>استان كرمان</v>
      </c>
      <c r="AD882" s="1" t="str">
        <f>"95/09/09"</f>
        <v>95/09/09</v>
      </c>
      <c r="AE882" s="1" t="str">
        <f t="shared" si="231"/>
        <v>اختتام</v>
      </c>
      <c r="AF882" s="1" t="str">
        <f>""</f>
        <v/>
      </c>
      <c r="AG882" s="1" t="str">
        <f>""</f>
        <v/>
      </c>
      <c r="AH882" s="1" t="str">
        <f>""</f>
        <v/>
      </c>
      <c r="AI882" s="1" t="str">
        <f>""</f>
        <v/>
      </c>
      <c r="AJ882" s="1" t="str">
        <f>""</f>
        <v/>
      </c>
      <c r="AK882" s="1" t="str">
        <f>""</f>
        <v/>
      </c>
    </row>
    <row r="883" spans="1:37" x14ac:dyDescent="0.2">
      <c r="A883" s="1">
        <v>776300</v>
      </c>
      <c r="B883" s="1">
        <v>951800105</v>
      </c>
      <c r="C883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883" s="1">
        <v>9061</v>
      </c>
      <c r="E883" s="1">
        <v>724580</v>
      </c>
      <c r="F883" s="1">
        <v>95</v>
      </c>
      <c r="G883" s="1">
        <v>51720</v>
      </c>
      <c r="H883" s="1" t="str">
        <f>"95/10/02"</f>
        <v>95/10/02</v>
      </c>
      <c r="I883" s="1" t="str">
        <f t="shared" si="225"/>
        <v>كيلوگرم</v>
      </c>
      <c r="J883" s="1" t="str">
        <f>"0000000092"</f>
        <v>0000000092</v>
      </c>
      <c r="K883" s="1" t="str">
        <f>"قير  PG64-16"</f>
        <v>قير  PG64-16</v>
      </c>
      <c r="L883" s="1">
        <v>100</v>
      </c>
      <c r="M883" s="1" t="str">
        <f t="shared" si="228"/>
        <v>مخازن قير اصفهان</v>
      </c>
      <c r="N883" s="1">
        <v>4089</v>
      </c>
      <c r="O883" s="1">
        <v>50033110</v>
      </c>
      <c r="P883" s="1" t="str">
        <f>"  تعاوني خدمات زيربنائي رفسنجان"</f>
        <v xml:space="preserve">  تعاوني خدمات زيربنائي رفسنجان</v>
      </c>
      <c r="Q883" s="1">
        <v>18</v>
      </c>
      <c r="R883" s="1" t="str">
        <f>"فروش داخلي تهران - وزارت راه - شرکت ساخت و توسعه راهها"</f>
        <v>فروش داخلي تهران - وزارت راه - شرکت ساخت و توسعه راهها</v>
      </c>
      <c r="S883" s="1" t="str">
        <f t="shared" si="226"/>
        <v>قرارداد فروش</v>
      </c>
      <c r="T883" s="1" t="str">
        <f t="shared" si="227"/>
        <v>ندارد</v>
      </c>
      <c r="U883" s="1" t="str">
        <f>"بابامحمدي عنايت اله(4844000)"</f>
        <v>بابامحمدي عنايت اله(4844000)</v>
      </c>
      <c r="V883" s="1">
        <v>951800105</v>
      </c>
      <c r="W883" s="1">
        <v>951800105</v>
      </c>
      <c r="X883" s="1" t="str">
        <f>"1395447891"</f>
        <v>1395447891</v>
      </c>
      <c r="Y883" s="1" t="str">
        <f>"95/10/02"</f>
        <v>95/10/02</v>
      </c>
      <c r="Z883" s="1" t="str">
        <f>"42088/710"</f>
        <v>42088/710</v>
      </c>
      <c r="AA883" s="1" t="str">
        <f>"شركت  ساخت وتوسعه راهها"</f>
        <v>شركت  ساخت وتوسعه راهها</v>
      </c>
      <c r="AB883" s="1" t="str">
        <f>"95/08/29"</f>
        <v>95/08/29</v>
      </c>
      <c r="AC883" s="1" t="str">
        <f>"استان كرمان"</f>
        <v>استان كرمان</v>
      </c>
      <c r="AD883" s="1" t="str">
        <f>"95/09/09"</f>
        <v>95/09/09</v>
      </c>
      <c r="AE883" s="1" t="str">
        <f t="shared" si="231"/>
        <v>اختتام</v>
      </c>
      <c r="AF883" s="1" t="str">
        <f>""</f>
        <v/>
      </c>
      <c r="AG883" s="1" t="str">
        <f>""</f>
        <v/>
      </c>
      <c r="AH883" s="1" t="str">
        <f>""</f>
        <v/>
      </c>
      <c r="AI883" s="1" t="str">
        <f>""</f>
        <v/>
      </c>
      <c r="AJ883" s="1" t="str">
        <f>""</f>
        <v/>
      </c>
      <c r="AK883" s="1" t="str">
        <f>""</f>
        <v/>
      </c>
    </row>
    <row r="884" spans="1:37" x14ac:dyDescent="0.2">
      <c r="A884" s="1">
        <v>1600000</v>
      </c>
      <c r="B884" s="1">
        <v>951400008</v>
      </c>
      <c r="C884" s="1" t="str">
        <f>"تخليه -سيستان وبلوچستان -زاهدان -شهرك كامبوزيا-كارخانه آسفالت مهام هيرمند"</f>
        <v>تخليه -سيستان وبلوچستان -زاهدان -شهرك كامبوزيا-كارخانه آسفالت مهام هيرمند</v>
      </c>
      <c r="D884" s="1">
        <v>5650</v>
      </c>
      <c r="E884" s="1">
        <v>1593420</v>
      </c>
      <c r="F884" s="1">
        <v>95</v>
      </c>
      <c r="G884" s="1">
        <v>6580</v>
      </c>
      <c r="H884" s="1" t="str">
        <f>"95/02/13"</f>
        <v>95/02/13</v>
      </c>
      <c r="I884" s="1" t="str">
        <f t="shared" si="225"/>
        <v>كيلوگرم</v>
      </c>
      <c r="J884" s="1" t="str">
        <f>"0000000092"</f>
        <v>0000000092</v>
      </c>
      <c r="K884" s="1" t="str">
        <f>"قير  PG64-16"</f>
        <v>قير  PG64-16</v>
      </c>
      <c r="L884" s="1">
        <v>100</v>
      </c>
      <c r="M884" s="1" t="str">
        <f t="shared" si="228"/>
        <v>مخازن قير اصفهان</v>
      </c>
      <c r="N884" s="1">
        <v>4095</v>
      </c>
      <c r="O884" s="1">
        <v>50030696</v>
      </c>
      <c r="P884" s="1" t="str">
        <f>"  اداره كل راه وشهرسازي سيستان وبلوچستان"</f>
        <v xml:space="preserve">  اداره كل راه وشهرسازي سيستان وبلوچستان</v>
      </c>
      <c r="Q884" s="1">
        <v>14</v>
      </c>
      <c r="R884" s="1" t="str">
        <f>"فروش داخلي - وزارت راه - حوزه راه روستايي ساخت"</f>
        <v>فروش داخلي - وزارت راه - حوزه راه روستايي ساخت</v>
      </c>
      <c r="S884" s="1" t="str">
        <f t="shared" si="226"/>
        <v>قرارداد فروش</v>
      </c>
      <c r="T884" s="1" t="str">
        <f t="shared" si="227"/>
        <v>ندارد</v>
      </c>
      <c r="U884" s="1" t="str">
        <f>"ميرحسيني چاپارحقيقت كرمان(4844008)"</f>
        <v>ميرحسيني چاپارحقيقت كرمان(4844008)</v>
      </c>
      <c r="V884" s="1">
        <v>951400008</v>
      </c>
      <c r="W884" s="1">
        <v>951400008</v>
      </c>
      <c r="X884" s="1" t="str">
        <f>"1395401948"</f>
        <v>1395401948</v>
      </c>
      <c r="Y884" s="1" t="str">
        <f>"95/02/12"</f>
        <v>95/02/12</v>
      </c>
      <c r="Z884" s="1" t="str">
        <f>"65713/510"</f>
        <v>65713/510</v>
      </c>
      <c r="AA884" s="1" t="str">
        <f>"راه وروستايي -ساخت"</f>
        <v>راه وروستايي -ساخت</v>
      </c>
      <c r="AB884" s="1" t="str">
        <f>"94/11/28"</f>
        <v>94/11/28</v>
      </c>
      <c r="AC884" s="1" t="str">
        <f>"استان سيستان بلوچستان"</f>
        <v>استان سيستان بلوچستان</v>
      </c>
      <c r="AD884" s="1" t="str">
        <f>"95/02/11"</f>
        <v>95/02/11</v>
      </c>
      <c r="AE884" s="1" t="str">
        <f t="shared" si="231"/>
        <v>اختتام</v>
      </c>
      <c r="AF884" s="1" t="str">
        <f>""</f>
        <v/>
      </c>
      <c r="AG884" s="1" t="str">
        <f>""</f>
        <v/>
      </c>
      <c r="AH884" s="1" t="str">
        <f>""</f>
        <v/>
      </c>
      <c r="AI884" s="1" t="str">
        <f>""</f>
        <v/>
      </c>
      <c r="AJ884" s="1" t="str">
        <f>""</f>
        <v/>
      </c>
      <c r="AK884" s="1" t="str">
        <f>""</f>
        <v/>
      </c>
    </row>
    <row r="885" spans="1:37" x14ac:dyDescent="0.2">
      <c r="A885" s="1">
        <v>77000</v>
      </c>
      <c r="B885" s="1">
        <v>951700028</v>
      </c>
      <c r="C885" s="1" t="str">
        <f>"تخليه كرمان بعدازكارخانه بارزشركت راه باندكويركرمان"</f>
        <v>تخليه كرمان بعدازكارخانه بارزشركت راه باندكويركرمان</v>
      </c>
      <c r="D885" s="1">
        <v>5650</v>
      </c>
      <c r="E885" s="1">
        <v>75020</v>
      </c>
      <c r="F885" s="1">
        <v>95</v>
      </c>
      <c r="G885" s="1">
        <v>1980</v>
      </c>
      <c r="H885" s="1" t="str">
        <f>"95/02/15"</f>
        <v>95/02/15</v>
      </c>
      <c r="I885" s="1" t="str">
        <f t="shared" si="225"/>
        <v>كيلوگرم</v>
      </c>
      <c r="J885" s="1" t="str">
        <f>"0000000092"</f>
        <v>0000000092</v>
      </c>
      <c r="K885" s="1" t="str">
        <f>"قير  PG64-16"</f>
        <v>قير  PG64-16</v>
      </c>
      <c r="L885" s="1">
        <v>100</v>
      </c>
      <c r="M885" s="1" t="str">
        <f t="shared" si="228"/>
        <v>مخازن قير اصفهان</v>
      </c>
      <c r="N885" s="1">
        <v>7034</v>
      </c>
      <c r="O885" s="1">
        <v>50030780</v>
      </c>
      <c r="P885" s="1" t="str">
        <f>"  اداره كل راه وشهرسازي كرمان"</f>
        <v xml:space="preserve">  اداره كل راه وشهرسازي كرمان</v>
      </c>
      <c r="Q885" s="1">
        <v>17</v>
      </c>
      <c r="R885" s="1" t="str">
        <f>"فروش داخلي تهران - وزارت راه - راه روستايي - روکش"</f>
        <v>فروش داخلي تهران - وزارت راه - راه روستايي - روکش</v>
      </c>
      <c r="S885" s="1" t="str">
        <f t="shared" si="226"/>
        <v>قرارداد فروش</v>
      </c>
      <c r="T885" s="1" t="str">
        <f t="shared" si="227"/>
        <v>ندارد</v>
      </c>
      <c r="U885" s="1" t="str">
        <f>"قانعي محمدرضا(1011ج89)"</f>
        <v>قانعي محمدرضا(1011ج89)</v>
      </c>
      <c r="V885" s="1">
        <v>951700028</v>
      </c>
      <c r="W885" s="1">
        <v>951700028</v>
      </c>
      <c r="X885" s="1" t="str">
        <f>"1395401964"</f>
        <v>1395401964</v>
      </c>
      <c r="Y885" s="1" t="str">
        <f>"95/02/15"</f>
        <v>95/02/15</v>
      </c>
      <c r="Z885" s="1" t="str">
        <f>"67369/510"</f>
        <v>67369/510</v>
      </c>
      <c r="AA885" s="1" t="str">
        <f>"راه روستائي -روكش"</f>
        <v>راه روستائي -روكش</v>
      </c>
      <c r="AB885" s="1" t="str">
        <f>"94/12/09"</f>
        <v>94/12/09</v>
      </c>
      <c r="AC885" s="1" t="str">
        <f>"استان كرمان"</f>
        <v>استان كرمان</v>
      </c>
      <c r="AD885" s="1" t="str">
        <f>"95/02/11"</f>
        <v>95/02/11</v>
      </c>
      <c r="AE885" s="1" t="str">
        <f t="shared" si="231"/>
        <v>اختتام</v>
      </c>
      <c r="AF885" s="1" t="str">
        <f>""</f>
        <v/>
      </c>
      <c r="AG885" s="1" t="str">
        <f>""</f>
        <v/>
      </c>
      <c r="AH885" s="1" t="str">
        <f>""</f>
        <v/>
      </c>
      <c r="AI885" s="1" t="str">
        <f>""</f>
        <v/>
      </c>
      <c r="AJ885" s="1" t="str">
        <f>""</f>
        <v/>
      </c>
      <c r="AK885" s="1" t="str">
        <f>""</f>
        <v/>
      </c>
    </row>
    <row r="886" spans="1:37" x14ac:dyDescent="0.2">
      <c r="A886" s="1">
        <v>500000</v>
      </c>
      <c r="B886" s="1">
        <v>951800013</v>
      </c>
      <c r="C886" s="1" t="str">
        <f>"تخليه -مشهد-كارخانه آسفالت پروژه آزادراه مشهد-باغچه"</f>
        <v>تخليه -مشهد-كارخانه آسفالت پروژه آزادراه مشهد-باغچه</v>
      </c>
      <c r="D886" s="1">
        <v>6050</v>
      </c>
      <c r="E886" s="1">
        <v>499820</v>
      </c>
      <c r="F886" s="1">
        <v>95</v>
      </c>
      <c r="G886" s="1">
        <v>180</v>
      </c>
      <c r="H886" s="1" t="str">
        <f>"95/03/23"</f>
        <v>95/03/23</v>
      </c>
      <c r="I886" s="1" t="str">
        <f t="shared" si="225"/>
        <v>كيلوگرم</v>
      </c>
      <c r="J886" s="1" t="str">
        <f>"0000000092"</f>
        <v>0000000092</v>
      </c>
      <c r="K886" s="1" t="str">
        <f>"قير  PG64-16"</f>
        <v>قير  PG64-16</v>
      </c>
      <c r="L886" s="1">
        <v>100</v>
      </c>
      <c r="M886" s="1" t="str">
        <f t="shared" si="228"/>
        <v>مخازن قير اصفهان</v>
      </c>
      <c r="N886" s="1">
        <v>7091</v>
      </c>
      <c r="O886" s="1">
        <v>50031010</v>
      </c>
      <c r="P886" s="1" t="str">
        <f>"  مسكن وعمران قدس رضوي"</f>
        <v xml:space="preserve">  مسكن وعمران قدس رضوي</v>
      </c>
      <c r="Q886" s="1">
        <v>18</v>
      </c>
      <c r="R886" s="1" t="str">
        <f>"فروش داخلي تهران - وزارت راه - شرکت ساخت و توسعه راهها"</f>
        <v>فروش داخلي تهران - وزارت راه - شرکت ساخت و توسعه راهها</v>
      </c>
      <c r="S886" s="1" t="str">
        <f t="shared" si="226"/>
        <v>قرارداد فروش</v>
      </c>
      <c r="T886" s="1" t="str">
        <f t="shared" si="227"/>
        <v>ندارد</v>
      </c>
      <c r="U886" s="1" t="str">
        <f>"عابدي محمود(1018ج89)"</f>
        <v>عابدي محمود(1018ج89)</v>
      </c>
      <c r="V886" s="1">
        <v>951800013</v>
      </c>
      <c r="W886" s="1">
        <v>951800013</v>
      </c>
      <c r="X886" s="1" t="str">
        <f>"1395408787"</f>
        <v>1395408787</v>
      </c>
      <c r="Y886" s="1" t="str">
        <f>"95/03/23"</f>
        <v>95/03/23</v>
      </c>
      <c r="Z886" s="1" t="str">
        <f>"10883/510"</f>
        <v>10883/510</v>
      </c>
      <c r="AA886" s="1" t="str">
        <f>"شركت  ساخت وتوسعه راهها"</f>
        <v>شركت  ساخت وتوسعه راهها</v>
      </c>
      <c r="AB886" s="1" t="str">
        <f>"95/03/17"</f>
        <v>95/03/17</v>
      </c>
      <c r="AC886" s="1" t="str">
        <f>"خراسان رضوي"</f>
        <v>خراسان رضوي</v>
      </c>
      <c r="AD886" s="1" t="str">
        <f>"95/03/22"</f>
        <v>95/03/22</v>
      </c>
      <c r="AE886" s="1" t="str">
        <f t="shared" si="231"/>
        <v>اختتام</v>
      </c>
      <c r="AF886" s="1" t="str">
        <f>""</f>
        <v/>
      </c>
      <c r="AG886" s="1" t="str">
        <f>""</f>
        <v/>
      </c>
      <c r="AH886" s="1" t="str">
        <f>""</f>
        <v/>
      </c>
      <c r="AI886" s="1" t="str">
        <f>""</f>
        <v/>
      </c>
      <c r="AJ886" s="1" t="str">
        <f>""</f>
        <v/>
      </c>
      <c r="AK886" s="1" t="str">
        <f>""</f>
        <v/>
      </c>
    </row>
    <row r="887" spans="1:37" x14ac:dyDescent="0.2">
      <c r="A887" s="1">
        <v>200000</v>
      </c>
      <c r="B887" s="1">
        <v>951100115</v>
      </c>
      <c r="C887" s="1" t="str">
        <f>"تخليه -كيلومتر5قبل ازكرندكارخانه آسفالت دالاهووكيلومتر7جاده هرسين روستاي پل چهر-كارخانه آسفالت مرزراه"</f>
        <v>تخليه -كيلومتر5قبل ازكرندكارخانه آسفالت دالاهووكيلومتر7جاده هرسين روستاي پل چهر-كارخانه آسفالت مرزراه</v>
      </c>
      <c r="D887" s="1">
        <v>7176</v>
      </c>
      <c r="E887" s="1">
        <v>197840</v>
      </c>
      <c r="F887" s="1">
        <v>95</v>
      </c>
      <c r="G887" s="1">
        <v>2160</v>
      </c>
      <c r="H887" s="1" t="str">
        <f>"95/06/24"</f>
        <v>95/06/24</v>
      </c>
      <c r="I887" s="1" t="str">
        <f t="shared" si="225"/>
        <v>كيلوگرم</v>
      </c>
      <c r="J887" s="1" t="str">
        <f>"0000000091"</f>
        <v>0000000091</v>
      </c>
      <c r="K887" s="1" t="str">
        <f>"قير  PG64-22"</f>
        <v>قير  PG64-22</v>
      </c>
      <c r="L887" s="1">
        <v>100</v>
      </c>
      <c r="M887" s="1" t="str">
        <f t="shared" si="228"/>
        <v>مخازن قير اصفهان</v>
      </c>
      <c r="N887" s="1">
        <v>8120</v>
      </c>
      <c r="O887" s="1">
        <v>50031865</v>
      </c>
      <c r="P887" s="1" t="str">
        <f>"  مرزراه"</f>
        <v xml:space="preserve">  مرزراه</v>
      </c>
      <c r="Q887" s="1">
        <v>11</v>
      </c>
      <c r="R887" s="1" t="str">
        <f>"فروش داخلي تهران - بورس"</f>
        <v>فروش داخلي تهران - بورس</v>
      </c>
      <c r="S887" s="1" t="str">
        <f t="shared" si="226"/>
        <v>قرارداد فروش</v>
      </c>
      <c r="T887" s="1" t="str">
        <f t="shared" si="227"/>
        <v>ندارد</v>
      </c>
      <c r="U887" s="1" t="str">
        <f>"شمسيان پور حبيب اله(2842034)"</f>
        <v>شمسيان پور حبيب اله(2842034)</v>
      </c>
      <c r="V887" s="1">
        <v>951100115</v>
      </c>
      <c r="W887" s="1">
        <v>951100115</v>
      </c>
      <c r="X887" s="1" t="str">
        <f>"1395430746"</f>
        <v>1395430746</v>
      </c>
      <c r="Y887" s="1" t="str">
        <f>"95/06/23"</f>
        <v>95/06/23</v>
      </c>
      <c r="Z887" s="1" t="str">
        <f>"95-34590"</f>
        <v>95-34590</v>
      </c>
      <c r="AA887" s="1" t="str">
        <f>"راه سازي"</f>
        <v>راه سازي</v>
      </c>
      <c r="AB887" s="1" t="str">
        <f>"95/06/23"</f>
        <v>95/06/23</v>
      </c>
      <c r="AC887" s="1" t="str">
        <f>"استان كرمانشاه"</f>
        <v>استان كرمانشاه</v>
      </c>
      <c r="AD887" s="1" t="str">
        <f>"95/06/21"</f>
        <v>95/06/21</v>
      </c>
      <c r="AE887" s="1" t="str">
        <f t="shared" si="231"/>
        <v>اختتام</v>
      </c>
      <c r="AF887" s="1" t="str">
        <f>""</f>
        <v/>
      </c>
      <c r="AG887" s="1" t="str">
        <f>""</f>
        <v/>
      </c>
      <c r="AH887" s="1" t="str">
        <f>""</f>
        <v/>
      </c>
      <c r="AI887" s="1" t="str">
        <f>""</f>
        <v/>
      </c>
      <c r="AJ887" s="1" t="str">
        <f>""</f>
        <v/>
      </c>
      <c r="AK887" s="1" t="str">
        <f>""</f>
        <v/>
      </c>
    </row>
    <row r="888" spans="1:37" x14ac:dyDescent="0.2">
      <c r="A888" s="1">
        <v>2500000</v>
      </c>
      <c r="B888" s="1">
        <v>951100138</v>
      </c>
      <c r="C888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888" s="1">
        <v>8973</v>
      </c>
      <c r="E888" s="1">
        <v>2500000</v>
      </c>
      <c r="F888" s="1">
        <v>95</v>
      </c>
      <c r="G888" s="1">
        <v>0</v>
      </c>
      <c r="H888" s="1" t="str">
        <f>"95/08/17"</f>
        <v>95/08/17</v>
      </c>
      <c r="I888" s="1" t="str">
        <f t="shared" si="225"/>
        <v>كيلوگرم</v>
      </c>
      <c r="J888" s="1" t="str">
        <f>"0000000076"</f>
        <v>0000000076</v>
      </c>
      <c r="K888" s="1" t="str">
        <f>"قير 60/70 - فله"</f>
        <v>قير 60/70 - فله</v>
      </c>
      <c r="L888" s="1">
        <v>100</v>
      </c>
      <c r="M888" s="1" t="str">
        <f t="shared" si="228"/>
        <v>مخازن قير اصفهان</v>
      </c>
      <c r="N888" s="1">
        <v>8163</v>
      </c>
      <c r="O888" s="1">
        <v>50032538</v>
      </c>
      <c r="P888" s="1" t="str">
        <f>"  سازمان عمران شهرداري مشهد"</f>
        <v xml:space="preserve">  سازمان عمران شهرداري مشهد</v>
      </c>
      <c r="Q888" s="1">
        <v>11</v>
      </c>
      <c r="R888" s="1" t="str">
        <f>"فروش داخلي تهران - بورس"</f>
        <v>فروش داخلي تهران - بورس</v>
      </c>
      <c r="S888" s="1" t="str">
        <f t="shared" si="226"/>
        <v>قرارداد فروش</v>
      </c>
      <c r="T888" s="1" t="str">
        <f t="shared" si="227"/>
        <v>ندارد</v>
      </c>
      <c r="U888" s="1" t="str">
        <f>"حسيني حسن(1841075)"</f>
        <v>حسيني حسن(1841075)</v>
      </c>
      <c r="V888" s="1">
        <v>951100138</v>
      </c>
      <c r="W888" s="1">
        <v>951100138</v>
      </c>
      <c r="X888" s="1" t="str">
        <f>"1395443384"</f>
        <v>1395443384</v>
      </c>
      <c r="Y888" s="1" t="str">
        <f>"95/08/17"</f>
        <v>95/08/17</v>
      </c>
      <c r="Z888" s="1" t="str">
        <f>"49/95/19737"</f>
        <v>49/95/19737</v>
      </c>
      <c r="AA888" s="1" t="str">
        <f>"شهرداريها"</f>
        <v>شهرداريها</v>
      </c>
      <c r="AB888" s="1" t="str">
        <f>"95/08/13"</f>
        <v>95/08/13</v>
      </c>
      <c r="AC888" s="1" t="str">
        <f>"خراسان رضوي"</f>
        <v>خراسان رضوي</v>
      </c>
      <c r="AD888" s="1" t="str">
        <f>"95/08/17"</f>
        <v>95/08/17</v>
      </c>
      <c r="AE888" s="1" t="str">
        <f>"تاييدشده"</f>
        <v>تاييدشده</v>
      </c>
      <c r="AF888" s="1" t="str">
        <f>""</f>
        <v/>
      </c>
      <c r="AG888" s="1" t="str">
        <f>""</f>
        <v/>
      </c>
      <c r="AH888" s="1" t="str">
        <f>""</f>
        <v/>
      </c>
      <c r="AI888" s="1" t="str">
        <f>""</f>
        <v/>
      </c>
      <c r="AJ888" s="1" t="str">
        <f>""</f>
        <v/>
      </c>
      <c r="AK888" s="1" t="str">
        <f>""</f>
        <v/>
      </c>
    </row>
    <row r="889" spans="1:37" x14ac:dyDescent="0.2">
      <c r="A889" s="1">
        <v>263000</v>
      </c>
      <c r="B889" s="1">
        <v>951100164</v>
      </c>
      <c r="C889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889" s="1">
        <v>7026</v>
      </c>
      <c r="E889" s="1">
        <v>263000</v>
      </c>
      <c r="F889" s="1">
        <v>95</v>
      </c>
      <c r="G889" s="1">
        <v>0</v>
      </c>
      <c r="H889" s="1" t="str">
        <f>"95/09/23"</f>
        <v>95/09/23</v>
      </c>
      <c r="I889" s="1" t="str">
        <f t="shared" si="225"/>
        <v>كيلوگرم</v>
      </c>
      <c r="J889" s="1" t="str">
        <f>"0000000076"</f>
        <v>0000000076</v>
      </c>
      <c r="K889" s="1" t="str">
        <f>"قير 60/70 - فله"</f>
        <v>قير 60/70 - فله</v>
      </c>
      <c r="L889" s="1">
        <v>100</v>
      </c>
      <c r="M889" s="1" t="str">
        <f t="shared" si="228"/>
        <v>مخازن قير اصفهان</v>
      </c>
      <c r="N889" s="1">
        <v>8163</v>
      </c>
      <c r="O889" s="1">
        <v>50033020</v>
      </c>
      <c r="P889" s="1" t="str">
        <f>"  سازمان عمران شهرداري مشهد"</f>
        <v xml:space="preserve">  سازمان عمران شهرداري مشهد</v>
      </c>
      <c r="Q889" s="1">
        <v>11</v>
      </c>
      <c r="R889" s="1" t="str">
        <f>"فروش داخلي تهران - بورس"</f>
        <v>فروش داخلي تهران - بورس</v>
      </c>
      <c r="S889" s="1" t="str">
        <f t="shared" si="226"/>
        <v>قرارداد فروش</v>
      </c>
      <c r="T889" s="1" t="str">
        <f t="shared" si="227"/>
        <v>ندارد</v>
      </c>
      <c r="U889" s="1" t="str">
        <f>"حسيني حسن(1841075)"</f>
        <v>حسيني حسن(1841075)</v>
      </c>
      <c r="V889" s="1">
        <v>951100164</v>
      </c>
      <c r="W889" s="1">
        <v>951100164</v>
      </c>
      <c r="X889" s="1" t="str">
        <f>"1395451388"</f>
        <v>1395451388</v>
      </c>
      <c r="Y889" s="1" t="str">
        <f>"95/09/23"</f>
        <v>95/09/23</v>
      </c>
      <c r="Z889" s="1" t="str">
        <f>"49/95/23120"</f>
        <v>49/95/23120</v>
      </c>
      <c r="AA889" s="1" t="str">
        <f>"شهرداريها"</f>
        <v>شهرداريها</v>
      </c>
      <c r="AB889" s="1" t="str">
        <f>"95/09/20"</f>
        <v>95/09/20</v>
      </c>
      <c r="AC889" s="1" t="str">
        <f>"خراسان رضوي"</f>
        <v>خراسان رضوي</v>
      </c>
      <c r="AD889" s="1" t="str">
        <f>"95/09/22"</f>
        <v>95/09/22</v>
      </c>
      <c r="AE889" s="1" t="str">
        <f>"تاييدشده"</f>
        <v>تاييدشده</v>
      </c>
      <c r="AF889" s="1" t="str">
        <f>""</f>
        <v/>
      </c>
      <c r="AG889" s="1" t="str">
        <f>""</f>
        <v/>
      </c>
      <c r="AH889" s="1" t="str">
        <f>""</f>
        <v/>
      </c>
      <c r="AI889" s="1" t="str">
        <f>""</f>
        <v/>
      </c>
      <c r="AJ889" s="1" t="str">
        <f>""</f>
        <v/>
      </c>
      <c r="AK889" s="1" t="str">
        <f>""</f>
        <v/>
      </c>
    </row>
    <row r="890" spans="1:37" x14ac:dyDescent="0.2">
      <c r="A890" s="1">
        <v>500000</v>
      </c>
      <c r="B890" s="1">
        <v>951900131</v>
      </c>
      <c r="C890" s="1" t="str">
        <f>"تخليه-آزادراه قم- کاشان-مقابل باغ فين-کارخانه تدبير راه صفاهان"</f>
        <v>تخليه-آزادراه قم- کاشان-مقابل باغ فين-کارخانه تدبير راه صفاهان</v>
      </c>
      <c r="D890" s="1">
        <v>7176</v>
      </c>
      <c r="E890" s="1">
        <v>396300</v>
      </c>
      <c r="F890" s="1">
        <v>95</v>
      </c>
      <c r="G890" s="1">
        <v>103700</v>
      </c>
      <c r="H890" s="1" t="str">
        <f>"95/06/04"</f>
        <v>95/06/04</v>
      </c>
      <c r="I890" s="1" t="str">
        <f t="shared" si="225"/>
        <v>كيلوگرم</v>
      </c>
      <c r="J890" s="1" t="str">
        <f t="shared" ref="J890:J897" si="236">"0000000092"</f>
        <v>0000000092</v>
      </c>
      <c r="K890" s="1" t="str">
        <f t="shared" ref="K890:K897" si="237">"قير  PG64-16"</f>
        <v>قير  PG64-16</v>
      </c>
      <c r="L890" s="1">
        <v>100</v>
      </c>
      <c r="M890" s="1" t="str">
        <f t="shared" si="228"/>
        <v>مخازن قير اصفهان</v>
      </c>
      <c r="N890" s="1">
        <v>8508</v>
      </c>
      <c r="O890" s="1">
        <v>50031630</v>
      </c>
      <c r="P890" s="1" t="str">
        <f>"  آزادراه اميركبير"</f>
        <v xml:space="preserve">  آزادراه اميركبير</v>
      </c>
      <c r="Q890" s="1">
        <v>19</v>
      </c>
      <c r="R8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90" s="1" t="str">
        <f t="shared" si="226"/>
        <v>قرارداد فروش</v>
      </c>
      <c r="T890" s="1" t="str">
        <f t="shared" si="227"/>
        <v>ندارد</v>
      </c>
      <c r="U890" s="1" t="str">
        <f>"علي عابدي ابوالقاسم(1003ج89)"</f>
        <v>علي عابدي ابوالقاسم(1003ج89)</v>
      </c>
      <c r="V890" s="1">
        <v>951900131</v>
      </c>
      <c r="W890" s="1">
        <v>951900131</v>
      </c>
      <c r="X890" s="1" t="str">
        <f>"1395426744"</f>
        <v>1395426744</v>
      </c>
      <c r="Y890" s="1" t="str">
        <f>"95/06/04"</f>
        <v>95/06/04</v>
      </c>
      <c r="Z890" s="1" t="str">
        <f>"24791/510"</f>
        <v>24791/510</v>
      </c>
      <c r="AA890" s="1" t="str">
        <f>"سازمان راهداري وحمل نقل جاده اي"</f>
        <v>سازمان راهداري وحمل نقل جاده اي</v>
      </c>
      <c r="AB890" s="1" t="str">
        <f>"95/05/31"</f>
        <v>95/05/31</v>
      </c>
      <c r="AC890" s="1" t="str">
        <f>"استان اصفهان"</f>
        <v>استان اصفهان</v>
      </c>
      <c r="AD890" s="1" t="str">
        <f>"95/06/03"</f>
        <v>95/06/03</v>
      </c>
      <c r="AE890" s="1" t="str">
        <f t="shared" ref="AE890:AE937" si="238">"اختتام"</f>
        <v>اختتام</v>
      </c>
      <c r="AF890" s="1" t="str">
        <f>""</f>
        <v/>
      </c>
      <c r="AG890" s="1" t="str">
        <f>""</f>
        <v/>
      </c>
      <c r="AH890" s="1" t="str">
        <f>""</f>
        <v/>
      </c>
      <c r="AI890" s="1" t="str">
        <f>""</f>
        <v/>
      </c>
      <c r="AJ890" s="1" t="str">
        <f>""</f>
        <v/>
      </c>
      <c r="AK890" s="1" t="str">
        <f>""</f>
        <v/>
      </c>
    </row>
    <row r="891" spans="1:37" x14ac:dyDescent="0.2">
      <c r="A891" s="1">
        <v>478360</v>
      </c>
      <c r="B891" s="1">
        <v>951900038</v>
      </c>
      <c r="C891" s="1" t="str">
        <f>"تخليه 100كيلومترمانده به چابهار-محورجكيگور-چابهار-فني مهندسي راهدارصنعت"</f>
        <v>تخليه 100كيلومترمانده به چابهار-محورجكيگور-چابهار-فني مهندسي راهدارصنعت</v>
      </c>
      <c r="D891" s="1">
        <v>6250</v>
      </c>
      <c r="E891" s="1">
        <v>478360</v>
      </c>
      <c r="F891" s="1">
        <v>95</v>
      </c>
      <c r="G891" s="1">
        <v>0</v>
      </c>
      <c r="H891" s="1" t="str">
        <f>"95/04/19"</f>
        <v>95/04/19</v>
      </c>
      <c r="I891" s="1" t="str">
        <f t="shared" si="225"/>
        <v>كيلوگرم</v>
      </c>
      <c r="J891" s="1" t="str">
        <f t="shared" si="236"/>
        <v>0000000092</v>
      </c>
      <c r="K891" s="1" t="str">
        <f t="shared" si="237"/>
        <v>قير  PG64-16</v>
      </c>
      <c r="L891" s="1">
        <v>100</v>
      </c>
      <c r="M891" s="1" t="str">
        <f t="shared" si="228"/>
        <v>مخازن قير اصفهان</v>
      </c>
      <c r="N891" s="1">
        <v>9406</v>
      </c>
      <c r="O891" s="1">
        <v>50031249</v>
      </c>
      <c r="P891" s="1" t="str">
        <f>"  فني مهندسي راهدارصنعت"</f>
        <v xml:space="preserve">  فني مهندسي راهدارصنعت</v>
      </c>
      <c r="Q891" s="1">
        <v>19</v>
      </c>
      <c r="R8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91" s="1" t="str">
        <f t="shared" si="226"/>
        <v>قرارداد فروش</v>
      </c>
      <c r="T891" s="1" t="str">
        <f t="shared" si="227"/>
        <v>ندارد</v>
      </c>
      <c r="U891" s="1" t="str">
        <f>"شهبازي محمدرضا(1029ج89)"</f>
        <v>شهبازي محمدرضا(1029ج89)</v>
      </c>
      <c r="V891" s="1">
        <v>951900038</v>
      </c>
      <c r="W891" s="1">
        <v>951900038</v>
      </c>
      <c r="X891" s="1" t="str">
        <f>"1394392914"</f>
        <v>1394392914</v>
      </c>
      <c r="Y891" s="1" t="str">
        <f>"95/04/19"</f>
        <v>95/04/19</v>
      </c>
      <c r="Z891" s="1" t="str">
        <f>"65527/510"</f>
        <v>65527/510</v>
      </c>
      <c r="AA891" s="1" t="str">
        <f>"سازمان راهداري وحمل نقل جاده اي"</f>
        <v>سازمان راهداري وحمل نقل جاده اي</v>
      </c>
      <c r="AB891" s="1" t="str">
        <f>"94/11/27"</f>
        <v>94/11/27</v>
      </c>
      <c r="AC891" s="1" t="str">
        <f>"ايرانشهر"</f>
        <v>ايرانشهر</v>
      </c>
      <c r="AD891" s="1" t="str">
        <f>"94/11/28"</f>
        <v>94/11/28</v>
      </c>
      <c r="AE891" s="1" t="str">
        <f t="shared" si="238"/>
        <v>اختتام</v>
      </c>
      <c r="AF891" s="1" t="str">
        <f>""</f>
        <v/>
      </c>
      <c r="AG891" s="1" t="str">
        <f>""</f>
        <v/>
      </c>
      <c r="AH891" s="1" t="str">
        <f>""</f>
        <v/>
      </c>
      <c r="AI891" s="1" t="str">
        <f>""</f>
        <v/>
      </c>
      <c r="AJ891" s="1" t="str">
        <f>""</f>
        <v/>
      </c>
      <c r="AK891" s="1" t="str">
        <f>""</f>
        <v/>
      </c>
    </row>
    <row r="892" spans="1:37" x14ac:dyDescent="0.2">
      <c r="A892" s="1">
        <v>300000</v>
      </c>
      <c r="B892" s="1">
        <v>951400060</v>
      </c>
      <c r="C892" s="1" t="str">
        <f>"تخليه -جنوب كرمان -جيرفت جنب كارخانه سبوس -كارخانه ره يادسازه جنوب"</f>
        <v>تخليه -جنوب كرمان -جيرفت جنب كارخانه سبوس -كارخانه ره يادسازه جنوب</v>
      </c>
      <c r="D892" s="1">
        <v>6726</v>
      </c>
      <c r="E892" s="1">
        <v>300000</v>
      </c>
      <c r="F892" s="1">
        <v>95</v>
      </c>
      <c r="G892" s="1">
        <v>0</v>
      </c>
      <c r="H892" s="1" t="str">
        <f>"95/05/24"</f>
        <v>95/05/24</v>
      </c>
      <c r="I892" s="1" t="str">
        <f t="shared" si="225"/>
        <v>كيلوگرم</v>
      </c>
      <c r="J892" s="1" t="str">
        <f t="shared" si="236"/>
        <v>0000000092</v>
      </c>
      <c r="K892" s="1" t="str">
        <f t="shared" si="237"/>
        <v>قير  PG64-16</v>
      </c>
      <c r="L892" s="1">
        <v>100</v>
      </c>
      <c r="M892" s="1" t="str">
        <f t="shared" si="228"/>
        <v>مخازن قير اصفهان</v>
      </c>
      <c r="N892" s="1">
        <v>9424</v>
      </c>
      <c r="O892" s="1">
        <v>50031527</v>
      </c>
      <c r="P892" s="1" t="str">
        <f>"  راه وساختمان ره يادسازه جنوب"</f>
        <v xml:space="preserve">  راه وساختمان ره يادسازه جنوب</v>
      </c>
      <c r="Q892" s="1">
        <v>14</v>
      </c>
      <c r="R892" s="1" t="str">
        <f>"فروش داخلي - وزارت راه - حوزه راه روستايي ساخت"</f>
        <v>فروش داخلي - وزارت راه - حوزه راه روستايي ساخت</v>
      </c>
      <c r="S892" s="1" t="str">
        <f t="shared" si="226"/>
        <v>قرارداد فروش</v>
      </c>
      <c r="T892" s="1" t="str">
        <f t="shared" si="227"/>
        <v>ندارد</v>
      </c>
      <c r="U892" s="1" t="str">
        <f>"حاصليان ترابرجنوب مرتضي حاصلي (4844006)"</f>
        <v>حاصليان ترابرجنوب مرتضي حاصلي (4844006)</v>
      </c>
      <c r="V892" s="1">
        <v>951400060</v>
      </c>
      <c r="W892" s="1">
        <v>951400060</v>
      </c>
      <c r="X892" s="1" t="str">
        <f>"1395423457"</f>
        <v>1395423457</v>
      </c>
      <c r="Y892" s="1" t="str">
        <f>"95/05/24"</f>
        <v>95/05/24</v>
      </c>
      <c r="Z892" s="1" t="str">
        <f>"62498/510"</f>
        <v>62498/510</v>
      </c>
      <c r="AA892" s="1" t="str">
        <f>"راه وروستايي -ساخت"</f>
        <v>راه وروستايي -ساخت</v>
      </c>
      <c r="AB892" s="1" t="str">
        <f>"94/11/12"</f>
        <v>94/11/12</v>
      </c>
      <c r="AC892" s="1" t="str">
        <f>"جنوب کرمان"</f>
        <v>جنوب کرمان</v>
      </c>
      <c r="AD892" s="1" t="str">
        <f>"95/05/23"</f>
        <v>95/05/23</v>
      </c>
      <c r="AE892" s="1" t="str">
        <f t="shared" si="238"/>
        <v>اختتام</v>
      </c>
      <c r="AF892" s="1" t="str">
        <f>""</f>
        <v/>
      </c>
      <c r="AG892" s="1" t="str">
        <f>""</f>
        <v/>
      </c>
      <c r="AH892" s="1" t="str">
        <f>""</f>
        <v/>
      </c>
      <c r="AI892" s="1" t="str">
        <f>""</f>
        <v/>
      </c>
      <c r="AJ892" s="1" t="str">
        <f>""</f>
        <v/>
      </c>
      <c r="AK892" s="1" t="str">
        <f>""</f>
        <v/>
      </c>
    </row>
    <row r="893" spans="1:37" x14ac:dyDescent="0.2">
      <c r="A893" s="1">
        <v>300000</v>
      </c>
      <c r="B893" s="1">
        <v>951900059</v>
      </c>
      <c r="C893" s="1" t="str">
        <f>"تخليه -خوربيابانك به سمت طبس -24كيلومتربعدازخوركارگاه شركت زرين سپاهان"</f>
        <v>تخليه -خوربيابانك به سمت طبس -24كيلومتربعدازخوركارگاه شركت زرين سپاهان</v>
      </c>
      <c r="D893" s="1">
        <v>6250</v>
      </c>
      <c r="E893" s="1">
        <v>300000</v>
      </c>
      <c r="F893" s="1">
        <v>95</v>
      </c>
      <c r="G893" s="1">
        <v>0</v>
      </c>
      <c r="H893" s="1" t="str">
        <f>"95/04/29"</f>
        <v>95/04/29</v>
      </c>
      <c r="I893" s="1" t="str">
        <f t="shared" si="225"/>
        <v>كيلوگرم</v>
      </c>
      <c r="J893" s="1" t="str">
        <f t="shared" si="236"/>
        <v>0000000092</v>
      </c>
      <c r="K893" s="1" t="str">
        <f t="shared" si="237"/>
        <v>قير  PG64-16</v>
      </c>
      <c r="L893" s="1">
        <v>100</v>
      </c>
      <c r="M893" s="1" t="str">
        <f t="shared" si="228"/>
        <v>مخازن قير اصفهان</v>
      </c>
      <c r="N893" s="1">
        <v>7140</v>
      </c>
      <c r="O893" s="1">
        <v>50031320</v>
      </c>
      <c r="P893" s="1" t="str">
        <f>"  زرين سپاهان"</f>
        <v xml:space="preserve">  زرين سپاهان</v>
      </c>
      <c r="Q893" s="1">
        <v>19</v>
      </c>
      <c r="R8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93" s="1" t="str">
        <f t="shared" si="226"/>
        <v>قرارداد فروش</v>
      </c>
      <c r="T893" s="1" t="str">
        <f t="shared" si="227"/>
        <v>ندارد</v>
      </c>
      <c r="U893" s="1" t="str">
        <f>"مرادي نجاتعلي(1020ج89)"</f>
        <v>مرادي نجاتعلي(1020ج89)</v>
      </c>
      <c r="V893" s="1">
        <v>951900059</v>
      </c>
      <c r="W893" s="1">
        <v>951900059</v>
      </c>
      <c r="X893" s="1" t="str">
        <f>"1395416540"</f>
        <v>1395416540</v>
      </c>
      <c r="Y893" s="1" t="str">
        <f>"95/04/29"</f>
        <v>95/04/29</v>
      </c>
      <c r="Z893" s="1" t="str">
        <f>"18138/510"</f>
        <v>18138/510</v>
      </c>
      <c r="AA893" s="1" t="str">
        <f>"سازمان راهداري وحمل نقل جاده اي"</f>
        <v>سازمان راهداري وحمل نقل جاده اي</v>
      </c>
      <c r="AB893" s="1" t="str">
        <f>"95/04/27"</f>
        <v>95/04/27</v>
      </c>
      <c r="AC893" s="1" t="str">
        <f>"استان اصفهان"</f>
        <v>استان اصفهان</v>
      </c>
      <c r="AD893" s="1" t="str">
        <f>"95/04/29"</f>
        <v>95/04/29</v>
      </c>
      <c r="AE893" s="1" t="str">
        <f t="shared" si="238"/>
        <v>اختتام</v>
      </c>
      <c r="AF893" s="1" t="str">
        <f>""</f>
        <v/>
      </c>
      <c r="AG893" s="1" t="str">
        <f>""</f>
        <v/>
      </c>
      <c r="AH893" s="1" t="str">
        <f>""</f>
        <v/>
      </c>
      <c r="AI893" s="1" t="str">
        <f>""</f>
        <v/>
      </c>
      <c r="AJ893" s="1" t="str">
        <f>""</f>
        <v/>
      </c>
      <c r="AK893" s="1" t="str">
        <f>""</f>
        <v/>
      </c>
    </row>
    <row r="894" spans="1:37" x14ac:dyDescent="0.2">
      <c r="A894" s="1">
        <v>779040</v>
      </c>
      <c r="B894" s="1">
        <v>951900224</v>
      </c>
      <c r="C894" s="1" t="str">
        <f>"تخليه اصفهان سه راهي پليس راه جندق كيلومتر 5خور وبيابانك"</f>
        <v>تخليه اصفهان سه راهي پليس راه جندق كيلومتر 5خور وبيابانك</v>
      </c>
      <c r="D894" s="1">
        <v>9061</v>
      </c>
      <c r="E894" s="1">
        <v>638980</v>
      </c>
      <c r="F894" s="1">
        <v>95</v>
      </c>
      <c r="G894" s="1">
        <v>140060</v>
      </c>
      <c r="H894" s="1" t="str">
        <f>"95/10/02"</f>
        <v>95/10/02</v>
      </c>
      <c r="I894" s="1" t="str">
        <f t="shared" si="225"/>
        <v>كيلوگرم</v>
      </c>
      <c r="J894" s="1" t="str">
        <f t="shared" si="236"/>
        <v>0000000092</v>
      </c>
      <c r="K894" s="1" t="str">
        <f t="shared" si="237"/>
        <v>قير  PG64-16</v>
      </c>
      <c r="L894" s="1">
        <v>100</v>
      </c>
      <c r="M894" s="1" t="str">
        <f t="shared" si="228"/>
        <v>مخازن قير اصفهان</v>
      </c>
      <c r="N894" s="1">
        <v>7140</v>
      </c>
      <c r="O894" s="1">
        <v>50033115</v>
      </c>
      <c r="P894" s="1" t="str">
        <f>"  زرين سپاهان"</f>
        <v xml:space="preserve">  زرين سپاهان</v>
      </c>
      <c r="Q894" s="1">
        <v>19</v>
      </c>
      <c r="R89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94" s="1" t="str">
        <f t="shared" si="226"/>
        <v>قرارداد فروش</v>
      </c>
      <c r="T894" s="1" t="str">
        <f t="shared" si="227"/>
        <v>ندارد</v>
      </c>
      <c r="U894" s="1" t="str">
        <f>"مرادي نجاتعلي(1020ج89)"</f>
        <v>مرادي نجاتعلي(1020ج89)</v>
      </c>
      <c r="V894" s="1">
        <v>951900224</v>
      </c>
      <c r="W894" s="1">
        <v>951900224</v>
      </c>
      <c r="X894" s="1" t="str">
        <f>"1395445248"</f>
        <v>1395445248</v>
      </c>
      <c r="Y894" s="1" t="str">
        <f>"95/10/02"</f>
        <v>95/10/02</v>
      </c>
      <c r="Z894" s="1" t="str">
        <f>"39742/710"</f>
        <v>39742/710</v>
      </c>
      <c r="AA894" s="1" t="str">
        <f>"سازمان راهداري وحمل نقل جاده اي"</f>
        <v>سازمان راهداري وحمل نقل جاده اي</v>
      </c>
      <c r="AB894" s="1" t="str">
        <f>"95/08/15"</f>
        <v>95/08/15</v>
      </c>
      <c r="AC894" s="1" t="str">
        <f>"استان اصفهان"</f>
        <v>استان اصفهان</v>
      </c>
      <c r="AD894" s="1" t="str">
        <f>"95/08/25"</f>
        <v>95/08/25</v>
      </c>
      <c r="AE894" s="1" t="str">
        <f t="shared" si="238"/>
        <v>اختتام</v>
      </c>
      <c r="AF894" s="1" t="str">
        <f>""</f>
        <v/>
      </c>
      <c r="AG894" s="1" t="str">
        <f>""</f>
        <v/>
      </c>
      <c r="AH894" s="1" t="str">
        <f>""</f>
        <v/>
      </c>
      <c r="AI894" s="1" t="str">
        <f>""</f>
        <v/>
      </c>
      <c r="AJ894" s="1" t="str">
        <f>""</f>
        <v/>
      </c>
      <c r="AK894" s="1" t="str">
        <f>""</f>
        <v/>
      </c>
    </row>
    <row r="895" spans="1:37" x14ac:dyDescent="0.2">
      <c r="A895" s="1">
        <v>1000000</v>
      </c>
      <c r="B895" s="1">
        <v>951800063</v>
      </c>
      <c r="C895" s="1" t="str">
        <f>"تخليه -خراسان رضوي -پروژه بانددوم محوربجستان -فردوس -روستاي آهنگ -آرادان"</f>
        <v>تخليه -خراسان رضوي -پروژه بانددوم محوربجستان -فردوس -روستاي آهنگ -آرادان</v>
      </c>
      <c r="D895" s="1">
        <v>7176</v>
      </c>
      <c r="E895" s="1">
        <v>589980</v>
      </c>
      <c r="F895" s="1">
        <v>95</v>
      </c>
      <c r="G895" s="1">
        <v>410020</v>
      </c>
      <c r="H895" s="1" t="str">
        <f>"95/06/09"</f>
        <v>95/06/09</v>
      </c>
      <c r="I895" s="1" t="str">
        <f t="shared" si="225"/>
        <v>كيلوگرم</v>
      </c>
      <c r="J895" s="1" t="str">
        <f t="shared" si="236"/>
        <v>0000000092</v>
      </c>
      <c r="K895" s="1" t="str">
        <f t="shared" si="237"/>
        <v>قير  PG64-16</v>
      </c>
      <c r="L895" s="1">
        <v>100</v>
      </c>
      <c r="M895" s="1" t="str">
        <f t="shared" si="228"/>
        <v>مخازن قير اصفهان</v>
      </c>
      <c r="N895" s="1">
        <v>8049</v>
      </c>
      <c r="O895" s="1">
        <v>50031721</v>
      </c>
      <c r="P895" s="1" t="str">
        <f>"  ساختماني آرادان"</f>
        <v xml:space="preserve">  ساختماني آرادان</v>
      </c>
      <c r="Q895" s="1">
        <v>18</v>
      </c>
      <c r="R895" s="1" t="str">
        <f>"فروش داخلي تهران - وزارت راه - شرکت ساخت و توسعه راهها"</f>
        <v>فروش داخلي تهران - وزارت راه - شرکت ساخت و توسعه راهها</v>
      </c>
      <c r="S895" s="1" t="str">
        <f t="shared" si="226"/>
        <v>قرارداد فروش</v>
      </c>
      <c r="T895" s="1" t="str">
        <f t="shared" si="227"/>
        <v>ندارد</v>
      </c>
      <c r="U895" s="1" t="str">
        <f>"فتاح زاده سيداحمد(3843011)"</f>
        <v>فتاح زاده سيداحمد(3843011)</v>
      </c>
      <c r="V895" s="1">
        <v>951800063</v>
      </c>
      <c r="W895" s="1">
        <v>951800063</v>
      </c>
      <c r="X895" s="1" t="str">
        <f>"1395427782"</f>
        <v>1395427782</v>
      </c>
      <c r="Y895" s="1" t="str">
        <f>"95/06/09"</f>
        <v>95/06/09</v>
      </c>
      <c r="Z895" s="1" t="str">
        <f>"26507/510"</f>
        <v>26507/510</v>
      </c>
      <c r="AA895" s="1" t="str">
        <f>"شركت  ساخت وتوسعه راهها"</f>
        <v>شركت  ساخت وتوسعه راهها</v>
      </c>
      <c r="AB895" s="1" t="str">
        <f>"95/06/07"</f>
        <v>95/06/07</v>
      </c>
      <c r="AC895" s="1" t="str">
        <f>"خراسان رضوي"</f>
        <v>خراسان رضوي</v>
      </c>
      <c r="AD895" s="1" t="str">
        <f>"95/06/09"</f>
        <v>95/06/09</v>
      </c>
      <c r="AE895" s="1" t="str">
        <f t="shared" si="238"/>
        <v>اختتام</v>
      </c>
      <c r="AF895" s="1" t="str">
        <f>""</f>
        <v/>
      </c>
      <c r="AG895" s="1" t="str">
        <f>""</f>
        <v/>
      </c>
      <c r="AH895" s="1" t="str">
        <f>""</f>
        <v/>
      </c>
      <c r="AI895" s="1" t="str">
        <f>""</f>
        <v/>
      </c>
      <c r="AJ895" s="1" t="str">
        <f>""</f>
        <v/>
      </c>
      <c r="AK895" s="1" t="str">
        <f>""</f>
        <v/>
      </c>
    </row>
    <row r="896" spans="1:37" x14ac:dyDescent="0.2">
      <c r="A896" s="1">
        <v>447000</v>
      </c>
      <c r="B896" s="1">
        <v>951400037</v>
      </c>
      <c r="C896" s="1" t="str">
        <f>"تخليه -ايرانشهر-دلكان"</f>
        <v>تخليه -ايرانشهر-دلكان</v>
      </c>
      <c r="D896" s="1">
        <v>6250</v>
      </c>
      <c r="E896" s="1">
        <v>446300</v>
      </c>
      <c r="F896" s="1">
        <v>95</v>
      </c>
      <c r="G896" s="1">
        <v>700</v>
      </c>
      <c r="H896" s="1" t="str">
        <f>"95/04/19"</f>
        <v>95/04/19</v>
      </c>
      <c r="I896" s="1" t="str">
        <f t="shared" si="225"/>
        <v>كيلوگرم</v>
      </c>
      <c r="J896" s="1" t="str">
        <f t="shared" si="236"/>
        <v>0000000092</v>
      </c>
      <c r="K896" s="1" t="str">
        <f t="shared" si="237"/>
        <v>قير  PG64-16</v>
      </c>
      <c r="L896" s="1">
        <v>100</v>
      </c>
      <c r="M896" s="1" t="str">
        <f t="shared" si="228"/>
        <v>مخازن قير اصفهان</v>
      </c>
      <c r="N896" s="1">
        <v>8068</v>
      </c>
      <c r="O896" s="1">
        <v>50031214</v>
      </c>
      <c r="P896" s="1" t="str">
        <f>"  اداره كل راه وشهرسازي ايرانشهر"</f>
        <v xml:space="preserve">  اداره كل راه وشهرسازي ايرانشهر</v>
      </c>
      <c r="Q896" s="1">
        <v>14</v>
      </c>
      <c r="R896" s="1" t="str">
        <f>"فروش داخلي - وزارت راه - حوزه راه روستايي ساخت"</f>
        <v>فروش داخلي - وزارت راه - حوزه راه روستايي ساخت</v>
      </c>
      <c r="S896" s="1" t="str">
        <f t="shared" si="226"/>
        <v>قرارداد فروش</v>
      </c>
      <c r="T896" s="1" t="str">
        <f t="shared" si="227"/>
        <v>ندارد</v>
      </c>
      <c r="U896" s="1" t="str">
        <f>"پورباقري ترابر (4914036)"</f>
        <v>پورباقري ترابر (4914036)</v>
      </c>
      <c r="V896" s="1">
        <v>951400037</v>
      </c>
      <c r="W896" s="1">
        <v>951400037</v>
      </c>
      <c r="X896" s="1" t="str">
        <f>"1394392915"</f>
        <v>1394392915</v>
      </c>
      <c r="Y896" s="1" t="str">
        <f>"95/04/19"</f>
        <v>95/04/19</v>
      </c>
      <c r="Z896" s="1" t="str">
        <f>"65459/510"</f>
        <v>65459/510</v>
      </c>
      <c r="AA896" s="1" t="str">
        <f>"راه وروستايي -ساخت"</f>
        <v>راه وروستايي -ساخت</v>
      </c>
      <c r="AB896" s="1" t="str">
        <f>"94/11/27"</f>
        <v>94/11/27</v>
      </c>
      <c r="AC896" s="1" t="str">
        <f>"ايرانشهر"</f>
        <v>ايرانشهر</v>
      </c>
      <c r="AD896" s="1" t="str">
        <f>"94/11/28"</f>
        <v>94/11/28</v>
      </c>
      <c r="AE896" s="1" t="str">
        <f t="shared" si="238"/>
        <v>اختتام</v>
      </c>
      <c r="AF896" s="1" t="str">
        <f>""</f>
        <v/>
      </c>
      <c r="AG896" s="1" t="str">
        <f>""</f>
        <v/>
      </c>
      <c r="AH896" s="1" t="str">
        <f>""</f>
        <v/>
      </c>
      <c r="AI896" s="1" t="str">
        <f>""</f>
        <v/>
      </c>
      <c r="AJ896" s="1" t="str">
        <f>""</f>
        <v/>
      </c>
      <c r="AK896" s="1" t="str">
        <f>""</f>
        <v/>
      </c>
    </row>
    <row r="897" spans="1:37" x14ac:dyDescent="0.2">
      <c r="A897" s="1">
        <v>600000</v>
      </c>
      <c r="B897" s="1">
        <v>951700350</v>
      </c>
      <c r="C897" s="1" t="str">
        <f>"ايرانشهر-اداره كل راه وشهرسازي  ايرانشهر"</f>
        <v>ايرانشهر-اداره كل راه وشهرسازي  ايرانشهر</v>
      </c>
      <c r="D897" s="1">
        <v>9354</v>
      </c>
      <c r="E897" s="1">
        <v>591300</v>
      </c>
      <c r="F897" s="1">
        <v>95</v>
      </c>
      <c r="G897" s="1">
        <v>8700</v>
      </c>
      <c r="H897" s="1" t="str">
        <f>"95/12/19"</f>
        <v>95/12/19</v>
      </c>
      <c r="I897" s="1" t="str">
        <f t="shared" si="225"/>
        <v>كيلوگرم</v>
      </c>
      <c r="J897" s="1" t="str">
        <f t="shared" si="236"/>
        <v>0000000092</v>
      </c>
      <c r="K897" s="1" t="str">
        <f t="shared" si="237"/>
        <v>قير  PG64-16</v>
      </c>
      <c r="L897" s="1">
        <v>100</v>
      </c>
      <c r="M897" s="1" t="str">
        <f t="shared" si="228"/>
        <v>مخازن قير اصفهان</v>
      </c>
      <c r="N897" s="1">
        <v>8068</v>
      </c>
      <c r="O897" s="1">
        <v>50034080</v>
      </c>
      <c r="P897" s="1" t="str">
        <f>"  اداره كل راه وشهرسازي ايرانشهر"</f>
        <v xml:space="preserve">  اداره كل راه وشهرسازي ايرانشهر</v>
      </c>
      <c r="Q897" s="1">
        <v>17</v>
      </c>
      <c r="R897" s="1" t="str">
        <f>"فروش داخلي تهران - وزارت راه - راه روستايي - روکش"</f>
        <v>فروش داخلي تهران - وزارت راه - راه روستايي - روکش</v>
      </c>
      <c r="S897" s="1" t="str">
        <f t="shared" si="226"/>
        <v>قرارداد فروش</v>
      </c>
      <c r="T897" s="1" t="str">
        <f t="shared" si="227"/>
        <v>ندارد</v>
      </c>
      <c r="U897" s="1" t="str">
        <f>"پورباقري ترابر (4914036)"</f>
        <v>پورباقري ترابر (4914036)</v>
      </c>
      <c r="V897" s="1">
        <v>951700350</v>
      </c>
      <c r="W897" s="1">
        <v>951700350</v>
      </c>
      <c r="X897" s="1" t="str">
        <f>"1395470082"</f>
        <v>1395470082</v>
      </c>
      <c r="Y897" s="1" t="str">
        <f>"95/12/19"</f>
        <v>95/12/19</v>
      </c>
      <c r="Z897" s="1" t="str">
        <f>"64625/710"</f>
        <v>64625/710</v>
      </c>
      <c r="AA897" s="1" t="str">
        <f>"راه روستائي -روكش"</f>
        <v>راه روستائي -روكش</v>
      </c>
      <c r="AB897" s="1" t="str">
        <f>"95/12/17"</f>
        <v>95/12/17</v>
      </c>
      <c r="AC897" s="1" t="str">
        <f>"ايرانشهر"</f>
        <v>ايرانشهر</v>
      </c>
      <c r="AD897" s="1" t="str">
        <f>"95/12/18"</f>
        <v>95/12/18</v>
      </c>
      <c r="AE897" s="1" t="str">
        <f t="shared" si="238"/>
        <v>اختتام</v>
      </c>
      <c r="AF897" s="1" t="str">
        <f>""</f>
        <v/>
      </c>
      <c r="AG897" s="1" t="str">
        <f>""</f>
        <v/>
      </c>
      <c r="AH897" s="1" t="str">
        <f>""</f>
        <v/>
      </c>
      <c r="AI897" s="1" t="str">
        <f>""</f>
        <v/>
      </c>
      <c r="AJ897" s="1" t="str">
        <f>""</f>
        <v/>
      </c>
      <c r="AK897" s="1" t="str">
        <f>""</f>
        <v/>
      </c>
    </row>
    <row r="898" spans="1:37" x14ac:dyDescent="0.2">
      <c r="A898" s="1">
        <v>700000</v>
      </c>
      <c r="B898" s="1">
        <v>951600049</v>
      </c>
      <c r="C898" s="1" t="str">
        <f>"تخليه -بيرجندكارخانه آسفالت  شركت ارتقاء"</f>
        <v>تخليه -بيرجندكارخانه آسفالت  شركت ارتقاء</v>
      </c>
      <c r="D898" s="1">
        <v>8323</v>
      </c>
      <c r="E898" s="1">
        <v>642260</v>
      </c>
      <c r="F898" s="1">
        <v>95</v>
      </c>
      <c r="G898" s="1">
        <v>57740</v>
      </c>
      <c r="H898" s="1" t="str">
        <f>"95/08/11"</f>
        <v>95/08/11</v>
      </c>
      <c r="I898" s="1" t="str">
        <f t="shared" ref="I898:I961" si="239">"كيلوگرم"</f>
        <v>كيلوگرم</v>
      </c>
      <c r="J898" s="1" t="str">
        <f>"0000000091"</f>
        <v>0000000091</v>
      </c>
      <c r="K898" s="1" t="str">
        <f>"قير  PG64-22"</f>
        <v>قير  PG64-22</v>
      </c>
      <c r="L898" s="1">
        <v>100</v>
      </c>
      <c r="M898" s="1" t="str">
        <f t="shared" si="228"/>
        <v>مخازن قير اصفهان</v>
      </c>
      <c r="N898" s="1">
        <v>8289</v>
      </c>
      <c r="O898" s="1">
        <v>50032473</v>
      </c>
      <c r="P898" s="1" t="str">
        <f>"  ارتقاء"</f>
        <v xml:space="preserve">  ارتقاء</v>
      </c>
      <c r="Q898" s="1">
        <v>16</v>
      </c>
      <c r="R898" s="1" t="str">
        <f>"فروش داخلي تهران - وزارت راه - معاونت اقتصاد"</f>
        <v>فروش داخلي تهران - وزارت راه - معاونت اقتصاد</v>
      </c>
      <c r="S898" s="1" t="str">
        <f t="shared" ref="S898:S961" si="240">"قرارداد فروش"</f>
        <v>قرارداد فروش</v>
      </c>
      <c r="T898" s="1" t="str">
        <f t="shared" ref="T898:T961" si="241">"ندارد"</f>
        <v>ندارد</v>
      </c>
      <c r="U898" s="1" t="str">
        <f>"فتحي حميد(1901090)"</f>
        <v>فتحي حميد(1901090)</v>
      </c>
      <c r="V898" s="1">
        <v>951600049</v>
      </c>
      <c r="W898" s="1">
        <v>951600049</v>
      </c>
      <c r="X898" s="1" t="str">
        <f>"1395441874"</f>
        <v>1395441874</v>
      </c>
      <c r="Y898" s="1" t="str">
        <f>"95/08/11"</f>
        <v>95/08/11</v>
      </c>
      <c r="Z898" s="1" t="str">
        <f>"38402/710"</f>
        <v>38402/710</v>
      </c>
      <c r="AA898" s="1" t="str">
        <f>"معاونت اقتصادوزارت راه وشهرسازي"</f>
        <v>معاونت اقتصادوزارت راه وشهرسازي</v>
      </c>
      <c r="AB898" s="1" t="str">
        <f>"95/08/10"</f>
        <v>95/08/10</v>
      </c>
      <c r="AC898" s="1" t="str">
        <f>"خراسان جنوبي"</f>
        <v>خراسان جنوبي</v>
      </c>
      <c r="AD898" s="1" t="str">
        <f>"95/08/11"</f>
        <v>95/08/11</v>
      </c>
      <c r="AE898" s="1" t="str">
        <f t="shared" si="238"/>
        <v>اختتام</v>
      </c>
      <c r="AF898" s="1" t="str">
        <f>""</f>
        <v/>
      </c>
      <c r="AG898" s="1" t="str">
        <f>""</f>
        <v/>
      </c>
      <c r="AH898" s="1" t="str">
        <f>""</f>
        <v/>
      </c>
      <c r="AI898" s="1" t="str">
        <f>""</f>
        <v/>
      </c>
      <c r="AJ898" s="1" t="str">
        <f>""</f>
        <v/>
      </c>
      <c r="AK898" s="1" t="str">
        <f>""</f>
        <v/>
      </c>
    </row>
    <row r="899" spans="1:37" x14ac:dyDescent="0.2">
      <c r="A899" s="1">
        <v>57740</v>
      </c>
      <c r="B899" s="1">
        <v>951600064</v>
      </c>
      <c r="C899" s="1" t="str">
        <f>"تخليه -بيرجندكارخانه آسفالت  شركت ارتقاء"</f>
        <v>تخليه -بيرجندكارخانه آسفالت  شركت ارتقاء</v>
      </c>
      <c r="D899" s="1">
        <v>9061</v>
      </c>
      <c r="E899" s="1">
        <v>44860</v>
      </c>
      <c r="F899" s="1">
        <v>95</v>
      </c>
      <c r="G899" s="1">
        <v>12880</v>
      </c>
      <c r="H899" s="1" t="str">
        <f>"95/10/05"</f>
        <v>95/10/05</v>
      </c>
      <c r="I899" s="1" t="str">
        <f t="shared" si="239"/>
        <v>كيلوگرم</v>
      </c>
      <c r="J899" s="1" t="str">
        <f>"0000000091"</f>
        <v>0000000091</v>
      </c>
      <c r="K899" s="1" t="str">
        <f>"قير  PG64-22"</f>
        <v>قير  PG64-22</v>
      </c>
      <c r="L899" s="1">
        <v>100</v>
      </c>
      <c r="M899" s="1" t="str">
        <f t="shared" si="228"/>
        <v>مخازن قير اصفهان</v>
      </c>
      <c r="N899" s="1">
        <v>8289</v>
      </c>
      <c r="O899" s="1">
        <v>50033129</v>
      </c>
      <c r="P899" s="1" t="str">
        <f>"  ارتقاء"</f>
        <v xml:space="preserve">  ارتقاء</v>
      </c>
      <c r="Q899" s="1">
        <v>16</v>
      </c>
      <c r="R899" s="1" t="str">
        <f>"فروش داخلي تهران - وزارت راه - معاونت اقتصاد"</f>
        <v>فروش داخلي تهران - وزارت راه - معاونت اقتصاد</v>
      </c>
      <c r="S899" s="1" t="str">
        <f t="shared" si="240"/>
        <v>قرارداد فروش</v>
      </c>
      <c r="T899" s="1" t="str">
        <f t="shared" si="241"/>
        <v>ندارد</v>
      </c>
      <c r="U899" s="1" t="str">
        <f>"فتحي حميد(1901090)"</f>
        <v>فتحي حميد(1901090)</v>
      </c>
      <c r="V899" s="1">
        <v>951600064</v>
      </c>
      <c r="W899" s="1">
        <v>951600064</v>
      </c>
      <c r="X899" s="1" t="str">
        <f>"1395441874"</f>
        <v>1395441874</v>
      </c>
      <c r="Y899" s="1" t="str">
        <f>"95/10/04"</f>
        <v>95/10/04</v>
      </c>
      <c r="Z899" s="1" t="str">
        <f>"38402/710"</f>
        <v>38402/710</v>
      </c>
      <c r="AA899" s="1" t="str">
        <f>"معاونت اقتصادوزارت راه وشهرسازي"</f>
        <v>معاونت اقتصادوزارت راه وشهرسازي</v>
      </c>
      <c r="AB899" s="1" t="str">
        <f>"95/08/10"</f>
        <v>95/08/10</v>
      </c>
      <c r="AC899" s="1" t="str">
        <f>"خراسان جنوبي"</f>
        <v>خراسان جنوبي</v>
      </c>
      <c r="AD899" s="1" t="str">
        <f>"95/08/11"</f>
        <v>95/08/11</v>
      </c>
      <c r="AE899" s="1" t="str">
        <f t="shared" si="238"/>
        <v>اختتام</v>
      </c>
      <c r="AF899" s="1" t="str">
        <f>""</f>
        <v/>
      </c>
      <c r="AG899" s="1" t="str">
        <f>""</f>
        <v/>
      </c>
      <c r="AH899" s="1" t="str">
        <f>""</f>
        <v/>
      </c>
      <c r="AI899" s="1" t="str">
        <f>""</f>
        <v/>
      </c>
      <c r="AJ899" s="1" t="str">
        <f>""</f>
        <v/>
      </c>
      <c r="AK899" s="1" t="str">
        <f>""</f>
        <v/>
      </c>
    </row>
    <row r="900" spans="1:37" x14ac:dyDescent="0.2">
      <c r="A900" s="1">
        <v>700000</v>
      </c>
      <c r="B900" s="1">
        <v>951800115</v>
      </c>
      <c r="C900" s="1" t="str">
        <f>"خراسان محور فاروج شيروان كارگاه راهسازي شركت دهاق"</f>
        <v>خراسان محور فاروج شيروان كارگاه راهسازي شركت دهاق</v>
      </c>
      <c r="D900" s="1">
        <v>9061</v>
      </c>
      <c r="E900" s="1">
        <v>682840</v>
      </c>
      <c r="F900" s="1">
        <v>95</v>
      </c>
      <c r="G900" s="1">
        <v>17160</v>
      </c>
      <c r="H900" s="1" t="str">
        <f>"95/10/07"</f>
        <v>95/10/07</v>
      </c>
      <c r="I900" s="1" t="str">
        <f t="shared" si="239"/>
        <v>كيلوگرم</v>
      </c>
      <c r="J900" s="1" t="str">
        <f>"0000000091"</f>
        <v>0000000091</v>
      </c>
      <c r="K900" s="1" t="str">
        <f>"قير  PG64-22"</f>
        <v>قير  PG64-22</v>
      </c>
      <c r="L900" s="1">
        <v>100</v>
      </c>
      <c r="M900" s="1" t="str">
        <f t="shared" si="228"/>
        <v>مخازن قير اصفهان</v>
      </c>
      <c r="N900" s="1">
        <v>8321</v>
      </c>
      <c r="O900" s="1">
        <v>50033183</v>
      </c>
      <c r="P900" s="1" t="str">
        <f>"  راهسازي دهاق"</f>
        <v xml:space="preserve">  راهسازي دهاق</v>
      </c>
      <c r="Q900" s="1">
        <v>18</v>
      </c>
      <c r="R900" s="1" t="str">
        <f>"فروش داخلي تهران - وزارت راه - شرکت ساخت و توسعه راهها"</f>
        <v>فروش داخلي تهران - وزارت راه - شرکت ساخت و توسعه راهها</v>
      </c>
      <c r="S900" s="1" t="str">
        <f t="shared" si="240"/>
        <v>قرارداد فروش</v>
      </c>
      <c r="T900" s="1" t="str">
        <f t="shared" si="241"/>
        <v>ندارد</v>
      </c>
      <c r="U900" s="1" t="str">
        <f>"ميهن دوست عبداله(2842010)"</f>
        <v>ميهن دوست عبداله(2842010)</v>
      </c>
      <c r="V900" s="1">
        <v>951800115</v>
      </c>
      <c r="W900" s="1">
        <v>951800115</v>
      </c>
      <c r="X900" s="1" t="str">
        <f>"1395454461"</f>
        <v>1395454461</v>
      </c>
      <c r="Y900" s="1" t="str">
        <f>"95/10/07"</f>
        <v>95/10/07</v>
      </c>
      <c r="Z900" s="1" t="str">
        <f>"45206/710"</f>
        <v>45206/710</v>
      </c>
      <c r="AA900" s="1" t="str">
        <f>"شركت  ساخت وتوسعه راهها"</f>
        <v>شركت  ساخت وتوسعه راهها</v>
      </c>
      <c r="AB900" s="1" t="str">
        <f>"95/09/17"</f>
        <v>95/09/17</v>
      </c>
      <c r="AC900" s="1" t="str">
        <f>"خراسان شمالي"</f>
        <v>خراسان شمالي</v>
      </c>
      <c r="AD900" s="1" t="str">
        <f>"95/10/05"</f>
        <v>95/10/05</v>
      </c>
      <c r="AE900" s="1" t="str">
        <f t="shared" si="238"/>
        <v>اختتام</v>
      </c>
      <c r="AF900" s="1" t="str">
        <f>""</f>
        <v/>
      </c>
      <c r="AG900" s="1" t="str">
        <f>""</f>
        <v/>
      </c>
      <c r="AH900" s="1" t="str">
        <f>""</f>
        <v/>
      </c>
      <c r="AI900" s="1" t="str">
        <f>""</f>
        <v/>
      </c>
      <c r="AJ900" s="1" t="str">
        <f>""</f>
        <v/>
      </c>
      <c r="AK900" s="1" t="str">
        <f>""</f>
        <v/>
      </c>
    </row>
    <row r="901" spans="1:37" x14ac:dyDescent="0.2">
      <c r="A901" s="1">
        <v>169000</v>
      </c>
      <c r="B901" s="1">
        <v>952000183</v>
      </c>
      <c r="C901" s="1" t="str">
        <f>"تخليه لرستان شهرستان ازناكيلومتر10جاده دره كارخانه آسفالت شهرداري"</f>
        <v>تخليه لرستان شهرستان ازناكيلومتر10جاده دره كارخانه آسفالت شهرداري</v>
      </c>
      <c r="D901" s="1">
        <v>8023</v>
      </c>
      <c r="E901" s="1">
        <v>167380</v>
      </c>
      <c r="F901" s="1">
        <v>95</v>
      </c>
      <c r="G901" s="1">
        <v>1620</v>
      </c>
      <c r="H901" s="1" t="str">
        <f>"95/08/10"</f>
        <v>95/08/10</v>
      </c>
      <c r="I901" s="1" t="str">
        <f t="shared" si="239"/>
        <v>كيلوگرم</v>
      </c>
      <c r="J901" s="1" t="str">
        <f>"0000000076"</f>
        <v>0000000076</v>
      </c>
      <c r="K901" s="1" t="str">
        <f>"قير 60/70 - فله"</f>
        <v>قير 60/70 - فله</v>
      </c>
      <c r="L901" s="1">
        <v>100</v>
      </c>
      <c r="M901" s="1" t="str">
        <f t="shared" si="228"/>
        <v>مخازن قير اصفهان</v>
      </c>
      <c r="N901" s="1">
        <v>8195</v>
      </c>
      <c r="O901" s="1">
        <v>50032451</v>
      </c>
      <c r="P901" s="1" t="str">
        <f>"  شهرداري ازنا"</f>
        <v xml:space="preserve">  شهرداري ازنا</v>
      </c>
      <c r="Q901" s="1">
        <v>20</v>
      </c>
      <c r="R901" s="1" t="str">
        <f>"فروش داخلي - سازمان شهرداري ها و دهياري هاي كشور"</f>
        <v>فروش داخلي - سازمان شهرداري ها و دهياري هاي كشور</v>
      </c>
      <c r="S901" s="1" t="str">
        <f t="shared" si="240"/>
        <v>قرارداد فروش</v>
      </c>
      <c r="T901" s="1" t="str">
        <f t="shared" si="241"/>
        <v>ندارد</v>
      </c>
      <c r="U901" s="1" t="str">
        <f>"شمسيان پور حبيب اله(2842034)"</f>
        <v>شمسيان پور حبيب اله(2842034)</v>
      </c>
      <c r="V901" s="1">
        <v>952000183</v>
      </c>
      <c r="W901" s="1">
        <v>952000183</v>
      </c>
      <c r="X901" s="1" t="str">
        <f>"1395441430"</f>
        <v>1395441430</v>
      </c>
      <c r="Y901" s="1" t="str">
        <f>"95/08/10"</f>
        <v>95/08/10</v>
      </c>
      <c r="Z901" s="1" t="str">
        <f>"38292"</f>
        <v>38292</v>
      </c>
      <c r="AA901" s="1" t="str">
        <f>"شهرداريها"</f>
        <v>شهرداريها</v>
      </c>
      <c r="AB901" s="1" t="str">
        <f>"95/08/05"</f>
        <v>95/08/05</v>
      </c>
      <c r="AC901" s="1" t="str">
        <f>"لرستان"</f>
        <v>لرستان</v>
      </c>
      <c r="AD901" s="1" t="str">
        <f>"95/08/09"</f>
        <v>95/08/09</v>
      </c>
      <c r="AE901" s="1" t="str">
        <f t="shared" si="238"/>
        <v>اختتام</v>
      </c>
      <c r="AF901" s="1" t="str">
        <f>""</f>
        <v/>
      </c>
      <c r="AG901" s="1" t="str">
        <f>""</f>
        <v/>
      </c>
      <c r="AH901" s="1" t="str">
        <f>""</f>
        <v/>
      </c>
      <c r="AI901" s="1" t="str">
        <f>""</f>
        <v/>
      </c>
      <c r="AJ901" s="1" t="str">
        <f>""</f>
        <v/>
      </c>
      <c r="AK901" s="1" t="str">
        <f>""</f>
        <v/>
      </c>
    </row>
    <row r="902" spans="1:37" x14ac:dyDescent="0.2">
      <c r="A902" s="1">
        <v>280000</v>
      </c>
      <c r="B902" s="1">
        <v>951900094</v>
      </c>
      <c r="C902" s="1" t="str">
        <f>"تخليه -همدان -محورهمدان -روعان -اتنهاي حوزه -كارخانه آسفالت جاميشلو"</f>
        <v>تخليه -همدان -محورهمدان -روعان -اتنهاي حوزه -كارخانه آسفالت جاميشلو</v>
      </c>
      <c r="D902" s="1">
        <v>6726</v>
      </c>
      <c r="E902" s="1">
        <v>278740</v>
      </c>
      <c r="F902" s="1">
        <v>95</v>
      </c>
      <c r="G902" s="1">
        <v>1260</v>
      </c>
      <c r="H902" s="1" t="str">
        <f>"95/05/16"</f>
        <v>95/05/16</v>
      </c>
      <c r="I902" s="1" t="str">
        <f t="shared" si="239"/>
        <v>كيلوگرم</v>
      </c>
      <c r="J902" s="1" t="str">
        <f t="shared" ref="J902:J916" si="242">"0000000091"</f>
        <v>0000000091</v>
      </c>
      <c r="K902" s="1" t="str">
        <f t="shared" ref="K902:K916" si="243">"قير  PG64-22"</f>
        <v>قير  PG64-22</v>
      </c>
      <c r="L902" s="1">
        <v>100</v>
      </c>
      <c r="M902" s="1" t="str">
        <f t="shared" si="228"/>
        <v>مخازن قير اصفهان</v>
      </c>
      <c r="N902" s="1">
        <v>10520</v>
      </c>
      <c r="O902" s="1">
        <v>50031444</v>
      </c>
      <c r="P902" s="1" t="str">
        <f>"  پايدارپولادتام"</f>
        <v xml:space="preserve">  پايدارپولادتام</v>
      </c>
      <c r="Q902" s="1">
        <v>19</v>
      </c>
      <c r="R90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02" s="1" t="str">
        <f t="shared" si="240"/>
        <v>قرارداد فروش</v>
      </c>
      <c r="T902" s="1" t="str">
        <f t="shared" si="241"/>
        <v>ندارد</v>
      </c>
      <c r="U902" s="1" t="str">
        <f>"حاجيلوئي علي اصغر(2842019)"</f>
        <v>حاجيلوئي علي اصغر(2842019)</v>
      </c>
      <c r="V902" s="1">
        <v>951900094</v>
      </c>
      <c r="W902" s="1">
        <v>951900094</v>
      </c>
      <c r="X902" s="1" t="str">
        <f>"1395421164"</f>
        <v>1395421164</v>
      </c>
      <c r="Y902" s="1" t="str">
        <f>"95/05/16"</f>
        <v>95/05/16</v>
      </c>
      <c r="Z902" s="1" t="str">
        <f>"20180/510"</f>
        <v>20180/510</v>
      </c>
      <c r="AA902" s="1" t="str">
        <f>"سازمان راهداري وحمل نقل جاده اي"</f>
        <v>سازمان راهداري وحمل نقل جاده اي</v>
      </c>
      <c r="AB902" s="1" t="str">
        <f>"95/05/06"</f>
        <v>95/05/06</v>
      </c>
      <c r="AC902" s="1" t="str">
        <f>"استان همدان"</f>
        <v>استان همدان</v>
      </c>
      <c r="AD902" s="1" t="str">
        <f>"95/05/13"</f>
        <v>95/05/13</v>
      </c>
      <c r="AE902" s="1" t="str">
        <f t="shared" si="238"/>
        <v>اختتام</v>
      </c>
      <c r="AF902" s="1" t="str">
        <f>""</f>
        <v/>
      </c>
      <c r="AG902" s="1" t="str">
        <f>""</f>
        <v/>
      </c>
      <c r="AH902" s="1" t="str">
        <f>""</f>
        <v/>
      </c>
      <c r="AI902" s="1" t="str">
        <f>""</f>
        <v/>
      </c>
      <c r="AJ902" s="1" t="str">
        <f>""</f>
        <v/>
      </c>
      <c r="AK902" s="1" t="str">
        <f>""</f>
        <v/>
      </c>
    </row>
    <row r="903" spans="1:37" x14ac:dyDescent="0.2">
      <c r="A903" s="1">
        <v>300000</v>
      </c>
      <c r="B903" s="1">
        <v>951900211</v>
      </c>
      <c r="C903" s="1" t="str">
        <f>"تخليه -لرستان -كارخانه آسفالت واقع دركيلومتر12جاده دورود-ازناكارخانه آسفالت راه شكاف زاگرس"</f>
        <v>تخليه -لرستان -كارخانه آسفالت واقع دركيلومتر12جاده دورود-ازناكارخانه آسفالت راه شكاف زاگرس</v>
      </c>
      <c r="D903" s="1">
        <v>7276</v>
      </c>
      <c r="E903" s="1">
        <v>297760</v>
      </c>
      <c r="F903" s="1">
        <v>95</v>
      </c>
      <c r="G903" s="1">
        <v>2240</v>
      </c>
      <c r="H903" s="1" t="str">
        <f>"95/09/06"</f>
        <v>95/09/06</v>
      </c>
      <c r="I903" s="1" t="str">
        <f t="shared" si="239"/>
        <v>كيلوگرم</v>
      </c>
      <c r="J903" s="1" t="str">
        <f t="shared" si="242"/>
        <v>0000000091</v>
      </c>
      <c r="K903" s="1" t="str">
        <f t="shared" si="243"/>
        <v>قير  PG64-22</v>
      </c>
      <c r="L903" s="1">
        <v>100</v>
      </c>
      <c r="M903" s="1" t="str">
        <f t="shared" si="228"/>
        <v>مخازن قير اصفهان</v>
      </c>
      <c r="N903" s="1">
        <v>10558</v>
      </c>
      <c r="O903" s="1">
        <v>50032685</v>
      </c>
      <c r="P903" s="1" t="str">
        <f>"  راه شكاف زاگرس"</f>
        <v xml:space="preserve">  راه شكاف زاگرس</v>
      </c>
      <c r="Q903" s="1">
        <v>19</v>
      </c>
      <c r="R90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03" s="1" t="str">
        <f t="shared" si="240"/>
        <v>قرارداد فروش</v>
      </c>
      <c r="T903" s="1" t="str">
        <f t="shared" si="241"/>
        <v>ندارد</v>
      </c>
      <c r="U903" s="1" t="str">
        <f>"رضائي كلهر حسن (1901099)"</f>
        <v>رضائي كلهر حسن (1901099)</v>
      </c>
      <c r="V903" s="1">
        <v>951900211</v>
      </c>
      <c r="W903" s="1">
        <v>951900211</v>
      </c>
      <c r="X903" s="1" t="str">
        <f>"1395447612"</f>
        <v>1395447612</v>
      </c>
      <c r="Y903" s="1" t="str">
        <f>"95/09/06"</f>
        <v>95/09/06</v>
      </c>
      <c r="Z903" s="1" t="str">
        <f>"42071/710"</f>
        <v>42071/710</v>
      </c>
      <c r="AA903" s="1" t="str">
        <f>"سازمان راهداري وحمل نقل جاده اي"</f>
        <v>سازمان راهداري وحمل نقل جاده اي</v>
      </c>
      <c r="AB903" s="1" t="str">
        <f>"95/08/29"</f>
        <v>95/08/29</v>
      </c>
      <c r="AC903" s="1" t="str">
        <f>"لرستان"</f>
        <v>لرستان</v>
      </c>
      <c r="AD903" s="1" t="str">
        <f>"95/09/06"</f>
        <v>95/09/06</v>
      </c>
      <c r="AE903" s="1" t="str">
        <f t="shared" si="238"/>
        <v>اختتام</v>
      </c>
      <c r="AF903" s="1" t="str">
        <f>""</f>
        <v/>
      </c>
      <c r="AG903" s="1" t="str">
        <f>""</f>
        <v/>
      </c>
      <c r="AH903" s="1" t="str">
        <f>""</f>
        <v/>
      </c>
      <c r="AI903" s="1" t="str">
        <f>""</f>
        <v/>
      </c>
      <c r="AJ903" s="1" t="str">
        <f>""</f>
        <v/>
      </c>
      <c r="AK903" s="1" t="str">
        <f>""</f>
        <v/>
      </c>
    </row>
    <row r="904" spans="1:37" x14ac:dyDescent="0.2">
      <c r="A904" s="1">
        <v>1000000</v>
      </c>
      <c r="B904" s="1">
        <v>951800028</v>
      </c>
      <c r="C904" s="1" t="str">
        <f>"تخليه قزوين -اشتهارد-روبروي شهرك صنعتي اشتهارد-كيلومتر5جاده اشتهاردبه نجم آباد"</f>
        <v>تخليه قزوين -اشتهارد-روبروي شهرك صنعتي اشتهارد-كيلومتر5جاده اشتهاردبه نجم آباد</v>
      </c>
      <c r="D904" s="1">
        <v>6250</v>
      </c>
      <c r="E904" s="1">
        <v>998800</v>
      </c>
      <c r="F904" s="1">
        <v>95</v>
      </c>
      <c r="G904" s="1">
        <v>1200</v>
      </c>
      <c r="H904" s="1" t="str">
        <f>"95/04/13"</f>
        <v>95/04/13</v>
      </c>
      <c r="I904" s="1" t="str">
        <f t="shared" si="239"/>
        <v>كيلوگرم</v>
      </c>
      <c r="J904" s="1" t="str">
        <f t="shared" si="242"/>
        <v>0000000091</v>
      </c>
      <c r="K904" s="1" t="str">
        <f t="shared" si="243"/>
        <v>قير  PG64-22</v>
      </c>
      <c r="L904" s="1">
        <v>100</v>
      </c>
      <c r="M904" s="1" t="str">
        <f t="shared" ref="M904:M967" si="244">"مخازن قير اصفهان"</f>
        <v>مخازن قير اصفهان</v>
      </c>
      <c r="N904" s="1">
        <v>10843</v>
      </c>
      <c r="O904" s="1">
        <v>50031184</v>
      </c>
      <c r="P904" s="1" t="str">
        <f>"  مهندسي آب وخاك"</f>
        <v xml:space="preserve">  مهندسي آب وخاك</v>
      </c>
      <c r="Q904" s="1">
        <v>18</v>
      </c>
      <c r="R904" s="1" t="str">
        <f>"فروش داخلي تهران - وزارت راه - شرکت ساخت و توسعه راهها"</f>
        <v>فروش داخلي تهران - وزارت راه - شرکت ساخت و توسعه راهها</v>
      </c>
      <c r="S904" s="1" t="str">
        <f t="shared" si="240"/>
        <v>قرارداد فروش</v>
      </c>
      <c r="T904" s="1" t="str">
        <f t="shared" si="241"/>
        <v>ندارد</v>
      </c>
      <c r="U904" s="1" t="str">
        <f>"قره باغي مجيد(1871065)"</f>
        <v>قره باغي مجيد(1871065)</v>
      </c>
      <c r="V904" s="1">
        <v>951800028</v>
      </c>
      <c r="W904" s="1">
        <v>951800028</v>
      </c>
      <c r="X904" s="1" t="str">
        <f>"1395412860"</f>
        <v>1395412860</v>
      </c>
      <c r="Y904" s="1" t="str">
        <f>"95/04/13"</f>
        <v>95/04/13</v>
      </c>
      <c r="Z904" s="1" t="str">
        <f>"13266/510"</f>
        <v>13266/510</v>
      </c>
      <c r="AA904" s="1" t="str">
        <f>"شركت  ساخت وتوسعه راهها"</f>
        <v>شركت  ساخت وتوسعه راهها</v>
      </c>
      <c r="AB904" s="1" t="str">
        <f>"95/03/30"</f>
        <v>95/03/30</v>
      </c>
      <c r="AC904" s="1" t="str">
        <f>"قزوين"</f>
        <v>قزوين</v>
      </c>
      <c r="AD904" s="1" t="str">
        <f>"95/04/13"</f>
        <v>95/04/13</v>
      </c>
      <c r="AE904" s="1" t="str">
        <f t="shared" si="238"/>
        <v>اختتام</v>
      </c>
      <c r="AF904" s="1" t="str">
        <f>""</f>
        <v/>
      </c>
      <c r="AG904" s="1" t="str">
        <f>""</f>
        <v/>
      </c>
      <c r="AH904" s="1" t="str">
        <f>""</f>
        <v/>
      </c>
      <c r="AI904" s="1" t="str">
        <f>""</f>
        <v/>
      </c>
      <c r="AJ904" s="1" t="str">
        <f>""</f>
        <v/>
      </c>
      <c r="AK904" s="1" t="str">
        <f>""</f>
        <v/>
      </c>
    </row>
    <row r="905" spans="1:37" x14ac:dyDescent="0.2">
      <c r="A905" s="1">
        <v>40680</v>
      </c>
      <c r="B905" s="1">
        <v>951900254</v>
      </c>
      <c r="C905" s="1" t="str">
        <f>"تخليه خراسان رضوي پروژه مرمت رويه وآسفالت حفاظتي گنابادبجستان"</f>
        <v>تخليه خراسان رضوي پروژه مرمت رويه وآسفالت حفاظتي گنابادبجستان</v>
      </c>
      <c r="D905" s="1">
        <v>9511</v>
      </c>
      <c r="E905" s="1">
        <v>40220</v>
      </c>
      <c r="F905" s="1">
        <v>95</v>
      </c>
      <c r="G905" s="1">
        <v>460</v>
      </c>
      <c r="H905" s="1" t="str">
        <f>"95/11/03"</f>
        <v>95/11/03</v>
      </c>
      <c r="I905" s="1" t="str">
        <f t="shared" si="239"/>
        <v>كيلوگرم</v>
      </c>
      <c r="J905" s="1" t="str">
        <f t="shared" si="242"/>
        <v>0000000091</v>
      </c>
      <c r="K905" s="1" t="str">
        <f t="shared" si="243"/>
        <v>قير  PG64-22</v>
      </c>
      <c r="L905" s="1">
        <v>100</v>
      </c>
      <c r="M905" s="1" t="str">
        <f t="shared" si="244"/>
        <v>مخازن قير اصفهان</v>
      </c>
      <c r="N905" s="1">
        <v>10964</v>
      </c>
      <c r="O905" s="1">
        <v>50033468</v>
      </c>
      <c r="P905" s="1" t="str">
        <f>"  ساختماني ماژان راه بيهق"</f>
        <v xml:space="preserve">  ساختماني ماژان راه بيهق</v>
      </c>
      <c r="Q905" s="1">
        <v>19</v>
      </c>
      <c r="R9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05" s="1" t="str">
        <f t="shared" si="240"/>
        <v>قرارداد فروش</v>
      </c>
      <c r="T905" s="1" t="str">
        <f t="shared" si="241"/>
        <v>ندارد</v>
      </c>
      <c r="U905" s="1" t="str">
        <f>"معماريان سعيد(1004ج89)"</f>
        <v>معماريان سعيد(1004ج89)</v>
      </c>
      <c r="V905" s="1">
        <v>951900254</v>
      </c>
      <c r="W905" s="1">
        <v>951900254</v>
      </c>
      <c r="X905" s="1" t="str">
        <f>"1395456222"</f>
        <v>1395456222</v>
      </c>
      <c r="Y905" s="1" t="str">
        <f>"95/11/03"</f>
        <v>95/11/03</v>
      </c>
      <c r="Z905" s="1" t="str">
        <f>"48410/710"</f>
        <v>48410/710</v>
      </c>
      <c r="AA905" s="1" t="str">
        <f>"سازمان راهداري وحمل نقل جاده اي"</f>
        <v>سازمان راهداري وحمل نقل جاده اي</v>
      </c>
      <c r="AB905" s="1" t="str">
        <f>"95/10/04"</f>
        <v>95/10/04</v>
      </c>
      <c r="AC905" s="1" t="str">
        <f>"خراسان رضوي"</f>
        <v>خراسان رضوي</v>
      </c>
      <c r="AD905" s="1" t="str">
        <f>"95/10/12"</f>
        <v>95/10/12</v>
      </c>
      <c r="AE905" s="1" t="str">
        <f t="shared" si="238"/>
        <v>اختتام</v>
      </c>
      <c r="AF905" s="1" t="str">
        <f>""</f>
        <v/>
      </c>
      <c r="AG905" s="1" t="str">
        <f>""</f>
        <v/>
      </c>
      <c r="AH905" s="1" t="str">
        <f>""</f>
        <v/>
      </c>
      <c r="AI905" s="1" t="str">
        <f>""</f>
        <v/>
      </c>
      <c r="AJ905" s="1" t="str">
        <f>""</f>
        <v/>
      </c>
      <c r="AK905" s="1" t="str">
        <f>""</f>
        <v/>
      </c>
    </row>
    <row r="906" spans="1:37" x14ac:dyDescent="0.2">
      <c r="A906" s="1">
        <v>400000</v>
      </c>
      <c r="B906" s="1">
        <v>951900117</v>
      </c>
      <c r="C906" s="1" t="str">
        <f>"تخليه -قم جاده قديم اصفهان بعدازروستاي طايقان كارخانه آسفالت پناه آفرين"</f>
        <v>تخليه -قم جاده قديم اصفهان بعدازروستاي طايقان كارخانه آسفالت پناه آفرين</v>
      </c>
      <c r="D906" s="1">
        <v>6726</v>
      </c>
      <c r="E906" s="1">
        <v>399220</v>
      </c>
      <c r="F906" s="1">
        <v>95</v>
      </c>
      <c r="G906" s="1">
        <v>780</v>
      </c>
      <c r="H906" s="1" t="str">
        <f>"95/05/23"</f>
        <v>95/05/23</v>
      </c>
      <c r="I906" s="1" t="str">
        <f t="shared" si="239"/>
        <v>كيلوگرم</v>
      </c>
      <c r="J906" s="1" t="str">
        <f t="shared" si="242"/>
        <v>0000000091</v>
      </c>
      <c r="K906" s="1" t="str">
        <f t="shared" si="243"/>
        <v>قير  PG64-22</v>
      </c>
      <c r="L906" s="1">
        <v>100</v>
      </c>
      <c r="M906" s="1" t="str">
        <f t="shared" si="244"/>
        <v>مخازن قير اصفهان</v>
      </c>
      <c r="N906" s="1">
        <v>10993</v>
      </c>
      <c r="O906" s="1">
        <v>50031510</v>
      </c>
      <c r="P906" s="1" t="str">
        <f>"  ساختماني پناه آفرين قم"</f>
        <v xml:space="preserve">  ساختماني پناه آفرين قم</v>
      </c>
      <c r="Q906" s="1">
        <v>19</v>
      </c>
      <c r="R90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06" s="1" t="str">
        <f t="shared" si="240"/>
        <v>قرارداد فروش</v>
      </c>
      <c r="T906" s="1" t="str">
        <f t="shared" si="241"/>
        <v>ندارد</v>
      </c>
      <c r="U906" s="1" t="str">
        <f>"محمدي نژاد خداوردي(2842024)"</f>
        <v>محمدي نژاد خداوردي(2842024)</v>
      </c>
      <c r="V906" s="1">
        <v>951900117</v>
      </c>
      <c r="W906" s="1">
        <v>951900117</v>
      </c>
      <c r="X906" s="1" t="str">
        <f>"1395423497"</f>
        <v>1395423497</v>
      </c>
      <c r="Y906" s="1" t="str">
        <f>"95/05/23"</f>
        <v>95/05/23</v>
      </c>
      <c r="Z906" s="1" t="str">
        <f>"21773/510"</f>
        <v>21773/510</v>
      </c>
      <c r="AA906" s="1" t="str">
        <f>"سازمان راهداري وحمل نقل جاده اي"</f>
        <v>سازمان راهداري وحمل نقل جاده اي</v>
      </c>
      <c r="AB906" s="1" t="str">
        <f>"95/05/16"</f>
        <v>95/05/16</v>
      </c>
      <c r="AC906" s="1" t="str">
        <f>"قم"</f>
        <v>قم</v>
      </c>
      <c r="AD906" s="1" t="str">
        <f>"95/05/23"</f>
        <v>95/05/23</v>
      </c>
      <c r="AE906" s="1" t="str">
        <f t="shared" si="238"/>
        <v>اختتام</v>
      </c>
      <c r="AF906" s="1" t="str">
        <f>""</f>
        <v/>
      </c>
      <c r="AG906" s="1" t="str">
        <f>""</f>
        <v/>
      </c>
      <c r="AH906" s="1" t="str">
        <f>""</f>
        <v/>
      </c>
      <c r="AI906" s="1" t="str">
        <f>""</f>
        <v/>
      </c>
      <c r="AJ906" s="1" t="str">
        <f>""</f>
        <v/>
      </c>
      <c r="AK906" s="1" t="str">
        <f>""</f>
        <v/>
      </c>
    </row>
    <row r="907" spans="1:37" x14ac:dyDescent="0.2">
      <c r="A907" s="1">
        <v>398000</v>
      </c>
      <c r="B907" s="1">
        <v>951700021</v>
      </c>
      <c r="C907" s="1" t="str">
        <f>"تخليه-خراسان رضوي -بجستان -کارخانه آسفالت-شهرداري بجستان"</f>
        <v>تخليه-خراسان رضوي -بجستان -کارخانه آسفالت-شهرداري بجستان</v>
      </c>
      <c r="D907" s="1">
        <v>5650</v>
      </c>
      <c r="E907" s="1">
        <v>396600</v>
      </c>
      <c r="F907" s="1">
        <v>95</v>
      </c>
      <c r="G907" s="1">
        <v>1400</v>
      </c>
      <c r="H907" s="1" t="str">
        <f>"95/02/15"</f>
        <v>95/02/15</v>
      </c>
      <c r="I907" s="1" t="str">
        <f t="shared" si="239"/>
        <v>كيلوگرم</v>
      </c>
      <c r="J907" s="1" t="str">
        <f t="shared" si="242"/>
        <v>0000000091</v>
      </c>
      <c r="K907" s="1" t="str">
        <f t="shared" si="243"/>
        <v>قير  PG64-22</v>
      </c>
      <c r="L907" s="1">
        <v>100</v>
      </c>
      <c r="M907" s="1" t="str">
        <f t="shared" si="244"/>
        <v>مخازن قير اصفهان</v>
      </c>
      <c r="N907" s="1">
        <v>4026</v>
      </c>
      <c r="O907" s="1">
        <v>50030770</v>
      </c>
      <c r="P907" s="1" t="str">
        <f t="shared" ref="P907:P916" si="245">"  اداره كل راه و شهرسازي خراسان رضوي"</f>
        <v xml:space="preserve">  اداره كل راه و شهرسازي خراسان رضوي</v>
      </c>
      <c r="Q907" s="1">
        <v>17</v>
      </c>
      <c r="R907" s="1" t="str">
        <f t="shared" ref="R907:R916" si="246">"فروش داخلي تهران - وزارت راه - راه روستايي - روکش"</f>
        <v>فروش داخلي تهران - وزارت راه - راه روستايي - روکش</v>
      </c>
      <c r="S907" s="1" t="str">
        <f t="shared" si="240"/>
        <v>قرارداد فروش</v>
      </c>
      <c r="T907" s="1" t="str">
        <f t="shared" si="241"/>
        <v>ندارد</v>
      </c>
      <c r="U907" s="1" t="str">
        <f>"ترك شاهسوندي مهدي(1022ج89)"</f>
        <v>ترك شاهسوندي مهدي(1022ج89)</v>
      </c>
      <c r="V907" s="1">
        <v>951700021</v>
      </c>
      <c r="W907" s="1">
        <v>951700021</v>
      </c>
      <c r="X907" s="1" t="str">
        <f>"13954011990"</f>
        <v>13954011990</v>
      </c>
      <c r="Y907" s="1" t="str">
        <f>"95/02/15"</f>
        <v>95/02/15</v>
      </c>
      <c r="Z907" s="1" t="str">
        <f>"67887/510"</f>
        <v>67887/510</v>
      </c>
      <c r="AA907" s="1" t="str">
        <f t="shared" ref="AA907:AA916" si="247">"راه روستائي -روكش"</f>
        <v>راه روستائي -روكش</v>
      </c>
      <c r="AB907" s="1" t="str">
        <f>"94/12/11"</f>
        <v>94/12/11</v>
      </c>
      <c r="AC907" s="1" t="str">
        <f t="shared" ref="AC907:AC916" si="248">"خراسان رضوي"</f>
        <v>خراسان رضوي</v>
      </c>
      <c r="AD907" s="1" t="str">
        <f>"95/02/11"</f>
        <v>95/02/11</v>
      </c>
      <c r="AE907" s="1" t="str">
        <f t="shared" si="238"/>
        <v>اختتام</v>
      </c>
      <c r="AF907" s="1" t="str">
        <f>""</f>
        <v/>
      </c>
      <c r="AG907" s="1" t="str">
        <f>""</f>
        <v/>
      </c>
      <c r="AH907" s="1" t="str">
        <f>""</f>
        <v/>
      </c>
      <c r="AI907" s="1" t="str">
        <f>""</f>
        <v/>
      </c>
      <c r="AJ907" s="1" t="str">
        <f>""</f>
        <v/>
      </c>
      <c r="AK907" s="1" t="str">
        <f>""</f>
        <v/>
      </c>
    </row>
    <row r="908" spans="1:37" x14ac:dyDescent="0.2">
      <c r="A908" s="1">
        <v>35000</v>
      </c>
      <c r="B908" s="1">
        <v>951700067</v>
      </c>
      <c r="C908" s="1" t="str">
        <f>"تخليه -خراسان رضوي كيلومتر63كنارگذرشمالي مشهدكارخانه آسفالت آب وخاك آستان قدس رضوي"</f>
        <v>تخليه -خراسان رضوي كيلومتر63كنارگذرشمالي مشهدكارخانه آسفالت آب وخاك آستان قدس رضوي</v>
      </c>
      <c r="D908" s="1">
        <v>6250</v>
      </c>
      <c r="E908" s="1">
        <v>34240</v>
      </c>
      <c r="F908" s="1">
        <v>95</v>
      </c>
      <c r="G908" s="1">
        <v>760</v>
      </c>
      <c r="H908" s="1" t="str">
        <f>"95/04/06"</f>
        <v>95/04/06</v>
      </c>
      <c r="I908" s="1" t="str">
        <f t="shared" si="239"/>
        <v>كيلوگرم</v>
      </c>
      <c r="J908" s="1" t="str">
        <f t="shared" si="242"/>
        <v>0000000091</v>
      </c>
      <c r="K908" s="1" t="str">
        <f t="shared" si="243"/>
        <v>قير  PG64-22</v>
      </c>
      <c r="L908" s="1">
        <v>100</v>
      </c>
      <c r="M908" s="1" t="str">
        <f t="shared" si="244"/>
        <v>مخازن قير اصفهان</v>
      </c>
      <c r="N908" s="1">
        <v>4026</v>
      </c>
      <c r="O908" s="1">
        <v>50031138</v>
      </c>
      <c r="P908" s="1" t="str">
        <f t="shared" si="245"/>
        <v xml:space="preserve">  اداره كل راه و شهرسازي خراسان رضوي</v>
      </c>
      <c r="Q908" s="1">
        <v>17</v>
      </c>
      <c r="R908" s="1" t="str">
        <f t="shared" si="246"/>
        <v>فروش داخلي تهران - وزارت راه - راه روستايي - روکش</v>
      </c>
      <c r="S908" s="1" t="str">
        <f t="shared" si="240"/>
        <v>قرارداد فروش</v>
      </c>
      <c r="T908" s="1" t="str">
        <f t="shared" si="241"/>
        <v>ندارد</v>
      </c>
      <c r="U908" s="1" t="str">
        <f>"نظام دوست امين (1911102)"</f>
        <v>نظام دوست امين (1911102)</v>
      </c>
      <c r="V908" s="1">
        <v>951700067</v>
      </c>
      <c r="W908" s="1">
        <v>951700067</v>
      </c>
      <c r="X908" s="1" t="str">
        <f>"1395411229"</f>
        <v>1395411229</v>
      </c>
      <c r="Y908" s="1" t="str">
        <f>"95/04/06"</f>
        <v>95/04/06</v>
      </c>
      <c r="Z908" s="1" t="str">
        <f>"13326/510"</f>
        <v>13326/510</v>
      </c>
      <c r="AA908" s="1" t="str">
        <f t="shared" si="247"/>
        <v>راه روستائي -روكش</v>
      </c>
      <c r="AB908" s="1" t="str">
        <f>"95/03/30"</f>
        <v>95/03/30</v>
      </c>
      <c r="AC908" s="1" t="str">
        <f t="shared" si="248"/>
        <v>خراسان رضوي</v>
      </c>
      <c r="AD908" s="1" t="str">
        <f>"95/04/05"</f>
        <v>95/04/05</v>
      </c>
      <c r="AE908" s="1" t="str">
        <f t="shared" si="238"/>
        <v>اختتام</v>
      </c>
      <c r="AF908" s="1" t="str">
        <f>""</f>
        <v/>
      </c>
      <c r="AG908" s="1" t="str">
        <f>""</f>
        <v/>
      </c>
      <c r="AH908" s="1" t="str">
        <f>""</f>
        <v/>
      </c>
      <c r="AI908" s="1" t="str">
        <f>""</f>
        <v/>
      </c>
      <c r="AJ908" s="1" t="str">
        <f>""</f>
        <v/>
      </c>
      <c r="AK908" s="1" t="str">
        <f>""</f>
        <v/>
      </c>
    </row>
    <row r="909" spans="1:37" x14ac:dyDescent="0.2">
      <c r="A909" s="1">
        <v>800000</v>
      </c>
      <c r="B909" s="1">
        <v>951700075</v>
      </c>
      <c r="C909" s="1" t="str">
        <f>"تخليه -خراسان رضوي جاده فريمان سنگ بست شركت كيهان راه شرق كارخانه آسفالت شهيدمطهري"</f>
        <v>تخليه -خراسان رضوي جاده فريمان سنگ بست شركت كيهان راه شرق كارخانه آسفالت شهيدمطهري</v>
      </c>
      <c r="D909" s="1">
        <v>6250</v>
      </c>
      <c r="E909" s="1">
        <v>797060</v>
      </c>
      <c r="F909" s="1">
        <v>95</v>
      </c>
      <c r="G909" s="1">
        <v>2940</v>
      </c>
      <c r="H909" s="1" t="str">
        <f>"95/04/08"</f>
        <v>95/04/08</v>
      </c>
      <c r="I909" s="1" t="str">
        <f t="shared" si="239"/>
        <v>كيلوگرم</v>
      </c>
      <c r="J909" s="1" t="str">
        <f t="shared" si="242"/>
        <v>0000000091</v>
      </c>
      <c r="K909" s="1" t="str">
        <f t="shared" si="243"/>
        <v>قير  PG64-22</v>
      </c>
      <c r="L909" s="1">
        <v>100</v>
      </c>
      <c r="M909" s="1" t="str">
        <f t="shared" si="244"/>
        <v>مخازن قير اصفهان</v>
      </c>
      <c r="N909" s="1">
        <v>4026</v>
      </c>
      <c r="O909" s="1">
        <v>50031156</v>
      </c>
      <c r="P909" s="1" t="str">
        <f t="shared" si="245"/>
        <v xml:space="preserve">  اداره كل راه و شهرسازي خراسان رضوي</v>
      </c>
      <c r="Q909" s="1">
        <v>17</v>
      </c>
      <c r="R909" s="1" t="str">
        <f t="shared" si="246"/>
        <v>فروش داخلي تهران - وزارت راه - راه روستايي - روکش</v>
      </c>
      <c r="S909" s="1" t="str">
        <f t="shared" si="240"/>
        <v>قرارداد فروش</v>
      </c>
      <c r="T909" s="1" t="str">
        <f t="shared" si="241"/>
        <v>ندارد</v>
      </c>
      <c r="U909" s="1" t="str">
        <f>"نظام دوست امين (1911102)"</f>
        <v>نظام دوست امين (1911102)</v>
      </c>
      <c r="V909" s="1">
        <v>951700075</v>
      </c>
      <c r="W909" s="1">
        <v>951700075</v>
      </c>
      <c r="X909" s="1" t="str">
        <f>"1395411402"</f>
        <v>1395411402</v>
      </c>
      <c r="Y909" s="1" t="str">
        <f>"95/04/08"</f>
        <v>95/04/08</v>
      </c>
      <c r="Z909" s="1" t="str">
        <f>"13818/510"</f>
        <v>13818/510</v>
      </c>
      <c r="AA909" s="1" t="str">
        <f t="shared" si="247"/>
        <v>راه روستائي -روكش</v>
      </c>
      <c r="AB909" s="1" t="str">
        <f>"95/04/01"</f>
        <v>95/04/01</v>
      </c>
      <c r="AC909" s="1" t="str">
        <f t="shared" si="248"/>
        <v>خراسان رضوي</v>
      </c>
      <c r="AD909" s="1" t="str">
        <f>"95/04/06"</f>
        <v>95/04/06</v>
      </c>
      <c r="AE909" s="1" t="str">
        <f t="shared" si="238"/>
        <v>اختتام</v>
      </c>
      <c r="AF909" s="1" t="str">
        <f>""</f>
        <v/>
      </c>
      <c r="AG909" s="1" t="str">
        <f>""</f>
        <v/>
      </c>
      <c r="AH909" s="1" t="str">
        <f>""</f>
        <v/>
      </c>
      <c r="AI909" s="1" t="str">
        <f>""</f>
        <v/>
      </c>
      <c r="AJ909" s="1" t="str">
        <f>""</f>
        <v/>
      </c>
      <c r="AK909" s="1" t="str">
        <f>""</f>
        <v/>
      </c>
    </row>
    <row r="910" spans="1:37" x14ac:dyDescent="0.2">
      <c r="A910" s="1">
        <v>250000</v>
      </c>
      <c r="B910" s="1">
        <v>951700122</v>
      </c>
      <c r="C910" s="1" t="str">
        <f>"تخليه -خراسان رضوي -مشهدكيلومتر22جاده كلات شركت توليدي آسفالت كلات"</f>
        <v>تخليه -خراسان رضوي -مشهدكيلومتر22جاده كلات شركت توليدي آسفالت كلات</v>
      </c>
      <c r="D910" s="1">
        <v>6726</v>
      </c>
      <c r="E910" s="1">
        <v>247820</v>
      </c>
      <c r="F910" s="1">
        <v>95</v>
      </c>
      <c r="G910" s="1">
        <v>2180</v>
      </c>
      <c r="H910" s="1" t="str">
        <f>"95/05/06"</f>
        <v>95/05/06</v>
      </c>
      <c r="I910" s="1" t="str">
        <f t="shared" si="239"/>
        <v>كيلوگرم</v>
      </c>
      <c r="J910" s="1" t="str">
        <f t="shared" si="242"/>
        <v>0000000091</v>
      </c>
      <c r="K910" s="1" t="str">
        <f t="shared" si="243"/>
        <v>قير  PG64-22</v>
      </c>
      <c r="L910" s="1">
        <v>100</v>
      </c>
      <c r="M910" s="1" t="str">
        <f t="shared" si="244"/>
        <v>مخازن قير اصفهان</v>
      </c>
      <c r="N910" s="1">
        <v>4026</v>
      </c>
      <c r="O910" s="1">
        <v>50031379</v>
      </c>
      <c r="P910" s="1" t="str">
        <f t="shared" si="245"/>
        <v xml:space="preserve">  اداره كل راه و شهرسازي خراسان رضوي</v>
      </c>
      <c r="Q910" s="1">
        <v>17</v>
      </c>
      <c r="R910" s="1" t="str">
        <f t="shared" si="246"/>
        <v>فروش داخلي تهران - وزارت راه - راه روستايي - روکش</v>
      </c>
      <c r="S910" s="1" t="str">
        <f t="shared" si="240"/>
        <v>قرارداد فروش</v>
      </c>
      <c r="T910" s="1" t="str">
        <f t="shared" si="241"/>
        <v>ندارد</v>
      </c>
      <c r="U910" s="1" t="str">
        <f>"بابامحمدي عنايت اله(4844000)"</f>
        <v>بابامحمدي عنايت اله(4844000)</v>
      </c>
      <c r="V910" s="1">
        <v>951700122</v>
      </c>
      <c r="W910" s="1">
        <v>951700122</v>
      </c>
      <c r="X910" s="1" t="str">
        <f>"1395418062"</f>
        <v>1395418062</v>
      </c>
      <c r="Y910" s="1" t="str">
        <f>"95/05/06"</f>
        <v>95/05/06</v>
      </c>
      <c r="Z910" s="1" t="str">
        <f>"18189/510"</f>
        <v>18189/510</v>
      </c>
      <c r="AA910" s="1" t="str">
        <f t="shared" si="247"/>
        <v>راه روستائي -روكش</v>
      </c>
      <c r="AB910" s="1" t="str">
        <f>"95/04/27"</f>
        <v>95/04/27</v>
      </c>
      <c r="AC910" s="1" t="str">
        <f t="shared" si="248"/>
        <v>خراسان رضوي</v>
      </c>
      <c r="AD910" s="1" t="str">
        <f>"95/05/05"</f>
        <v>95/05/05</v>
      </c>
      <c r="AE910" s="1" t="str">
        <f t="shared" si="238"/>
        <v>اختتام</v>
      </c>
      <c r="AF910" s="1" t="str">
        <f>""</f>
        <v/>
      </c>
      <c r="AG910" s="1" t="str">
        <f>""</f>
        <v/>
      </c>
      <c r="AH910" s="1" t="str">
        <f>""</f>
        <v/>
      </c>
      <c r="AI910" s="1" t="str">
        <f>""</f>
        <v/>
      </c>
      <c r="AJ910" s="1" t="str">
        <f>""</f>
        <v/>
      </c>
      <c r="AK910" s="1" t="str">
        <f>""</f>
        <v/>
      </c>
    </row>
    <row r="911" spans="1:37" x14ac:dyDescent="0.2">
      <c r="A911" s="1">
        <v>205000</v>
      </c>
      <c r="B911" s="1">
        <v>951700153</v>
      </c>
      <c r="C911" s="1" t="str">
        <f>"تخليه-خراسان رضوي- شهرستان فيروزه محور فيروزه عبداله گيو کيلومتر11 شرکت دل حفره"</f>
        <v>تخليه-خراسان رضوي- شهرستان فيروزه محور فيروزه عبداله گيو کيلومتر11 شرکت دل حفره</v>
      </c>
      <c r="D911" s="1">
        <v>6726</v>
      </c>
      <c r="E911" s="1">
        <v>200700</v>
      </c>
      <c r="F911" s="1">
        <v>95</v>
      </c>
      <c r="G911" s="1">
        <v>4300</v>
      </c>
      <c r="H911" s="1" t="str">
        <f>"95/05/23"</f>
        <v>95/05/23</v>
      </c>
      <c r="I911" s="1" t="str">
        <f t="shared" si="239"/>
        <v>كيلوگرم</v>
      </c>
      <c r="J911" s="1" t="str">
        <f t="shared" si="242"/>
        <v>0000000091</v>
      </c>
      <c r="K911" s="1" t="str">
        <f t="shared" si="243"/>
        <v>قير  PG64-22</v>
      </c>
      <c r="L911" s="1">
        <v>100</v>
      </c>
      <c r="M911" s="1" t="str">
        <f t="shared" si="244"/>
        <v>مخازن قير اصفهان</v>
      </c>
      <c r="N911" s="1">
        <v>4026</v>
      </c>
      <c r="O911" s="1">
        <v>50031498</v>
      </c>
      <c r="P911" s="1" t="str">
        <f t="shared" si="245"/>
        <v xml:space="preserve">  اداره كل راه و شهرسازي خراسان رضوي</v>
      </c>
      <c r="Q911" s="1">
        <v>17</v>
      </c>
      <c r="R911" s="1" t="str">
        <f t="shared" si="246"/>
        <v>فروش داخلي تهران - وزارت راه - راه روستايي - روکش</v>
      </c>
      <c r="S911" s="1" t="str">
        <f t="shared" si="240"/>
        <v>قرارداد فروش</v>
      </c>
      <c r="T911" s="1" t="str">
        <f t="shared" si="241"/>
        <v>ندارد</v>
      </c>
      <c r="U911" s="1" t="str">
        <f>"بابامحمدي عنايت اله(4844000)"</f>
        <v>بابامحمدي عنايت اله(4844000)</v>
      </c>
      <c r="V911" s="1">
        <v>951700153</v>
      </c>
      <c r="W911" s="1">
        <v>951700153</v>
      </c>
      <c r="X911" s="1" t="str">
        <f>"1395421989"</f>
        <v>1395421989</v>
      </c>
      <c r="Y911" s="1" t="str">
        <f>"95/05/23"</f>
        <v>95/05/23</v>
      </c>
      <c r="Z911" s="1" t="str">
        <f>"21000/510"</f>
        <v>21000/510</v>
      </c>
      <c r="AA911" s="1" t="str">
        <f t="shared" si="247"/>
        <v>راه روستائي -روكش</v>
      </c>
      <c r="AB911" s="1" t="str">
        <f>"95/05/11"</f>
        <v>95/05/11</v>
      </c>
      <c r="AC911" s="1" t="str">
        <f t="shared" si="248"/>
        <v>خراسان رضوي</v>
      </c>
      <c r="AD911" s="1" t="str">
        <f>"95/05/18"</f>
        <v>95/05/18</v>
      </c>
      <c r="AE911" s="1" t="str">
        <f t="shared" si="238"/>
        <v>اختتام</v>
      </c>
      <c r="AF911" s="1" t="str">
        <f>""</f>
        <v/>
      </c>
      <c r="AG911" s="1" t="str">
        <f>""</f>
        <v/>
      </c>
      <c r="AH911" s="1" t="str">
        <f>""</f>
        <v/>
      </c>
      <c r="AI911" s="1" t="str">
        <f>""</f>
        <v/>
      </c>
      <c r="AJ911" s="1" t="str">
        <f>""</f>
        <v/>
      </c>
      <c r="AK911" s="1" t="str">
        <f>""</f>
        <v/>
      </c>
    </row>
    <row r="912" spans="1:37" x14ac:dyDescent="0.2">
      <c r="A912" s="1">
        <v>2320000</v>
      </c>
      <c r="B912" s="1">
        <v>951700175</v>
      </c>
      <c r="C912" s="1" t="str">
        <f>"تخليه -خراسان رضوي كيلومتر47بين شهرفيروزه -عبداله گيوكارخانه كيهان راه شرق"</f>
        <v>تخليه -خراسان رضوي كيلومتر47بين شهرفيروزه -عبداله گيوكارخانه كيهان راه شرق</v>
      </c>
      <c r="D912" s="1">
        <v>7176</v>
      </c>
      <c r="E912" s="1">
        <v>2318880</v>
      </c>
      <c r="F912" s="1">
        <v>95</v>
      </c>
      <c r="G912" s="1">
        <v>1120</v>
      </c>
      <c r="H912" s="1" t="str">
        <f>"95/06/06"</f>
        <v>95/06/06</v>
      </c>
      <c r="I912" s="1" t="str">
        <f t="shared" si="239"/>
        <v>كيلوگرم</v>
      </c>
      <c r="J912" s="1" t="str">
        <f t="shared" si="242"/>
        <v>0000000091</v>
      </c>
      <c r="K912" s="1" t="str">
        <f t="shared" si="243"/>
        <v>قير  PG64-22</v>
      </c>
      <c r="L912" s="1">
        <v>100</v>
      </c>
      <c r="M912" s="1" t="str">
        <f t="shared" si="244"/>
        <v>مخازن قير اصفهان</v>
      </c>
      <c r="N912" s="1">
        <v>4026</v>
      </c>
      <c r="O912" s="1">
        <v>50031658</v>
      </c>
      <c r="P912" s="1" t="str">
        <f t="shared" si="245"/>
        <v xml:space="preserve">  اداره كل راه و شهرسازي خراسان رضوي</v>
      </c>
      <c r="Q912" s="1">
        <v>17</v>
      </c>
      <c r="R912" s="1" t="str">
        <f t="shared" si="246"/>
        <v>فروش داخلي تهران - وزارت راه - راه روستايي - روکش</v>
      </c>
      <c r="S912" s="1" t="str">
        <f t="shared" si="240"/>
        <v>قرارداد فروش</v>
      </c>
      <c r="T912" s="1" t="str">
        <f t="shared" si="241"/>
        <v>ندارد</v>
      </c>
      <c r="U912" s="1" t="str">
        <f>"نظام دوست امين (1911102)"</f>
        <v>نظام دوست امين (1911102)</v>
      </c>
      <c r="V912" s="1">
        <v>951700175</v>
      </c>
      <c r="W912" s="1">
        <v>951700175</v>
      </c>
      <c r="X912" s="1" t="str">
        <f>"1395427009"</f>
        <v>1395427009</v>
      </c>
      <c r="Y912" s="1" t="str">
        <f>"95/06/06"</f>
        <v>95/06/06</v>
      </c>
      <c r="Z912" s="1" t="str">
        <f>"24059/510"</f>
        <v>24059/510</v>
      </c>
      <c r="AA912" s="1" t="str">
        <f t="shared" si="247"/>
        <v>راه روستائي -روكش</v>
      </c>
      <c r="AB912" s="1" t="str">
        <f>"95/05/26"</f>
        <v>95/05/26</v>
      </c>
      <c r="AC912" s="1" t="str">
        <f t="shared" si="248"/>
        <v>خراسان رضوي</v>
      </c>
      <c r="AD912" s="1" t="str">
        <f>"95/06/06"</f>
        <v>95/06/06</v>
      </c>
      <c r="AE912" s="1" t="str">
        <f t="shared" si="238"/>
        <v>اختتام</v>
      </c>
      <c r="AF912" s="1" t="str">
        <f>""</f>
        <v/>
      </c>
      <c r="AG912" s="1" t="str">
        <f>""</f>
        <v/>
      </c>
      <c r="AH912" s="1" t="str">
        <f>""</f>
        <v/>
      </c>
      <c r="AI912" s="1" t="str">
        <f>""</f>
        <v/>
      </c>
      <c r="AJ912" s="1" t="str">
        <f>""</f>
        <v/>
      </c>
      <c r="AK912" s="1" t="str">
        <f>""</f>
        <v/>
      </c>
    </row>
    <row r="913" spans="1:37" x14ac:dyDescent="0.2">
      <c r="A913" s="1">
        <v>103000</v>
      </c>
      <c r="B913" s="1">
        <v>951700188</v>
      </c>
      <c r="C913" s="1" t="str">
        <f>"تخليه -خراسان رضوي -چناران -كنارگذرچناران -شركت توس راديه"</f>
        <v>تخليه -خراسان رضوي -چناران -كنارگذرچناران -شركت توس راديه</v>
      </c>
      <c r="D913" s="1">
        <v>7176</v>
      </c>
      <c r="E913" s="1">
        <v>103000</v>
      </c>
      <c r="F913" s="1">
        <v>95</v>
      </c>
      <c r="G913" s="1">
        <v>0</v>
      </c>
      <c r="H913" s="1" t="str">
        <f>"95/06/07"</f>
        <v>95/06/07</v>
      </c>
      <c r="I913" s="1" t="str">
        <f t="shared" si="239"/>
        <v>كيلوگرم</v>
      </c>
      <c r="J913" s="1" t="str">
        <f t="shared" si="242"/>
        <v>0000000091</v>
      </c>
      <c r="K913" s="1" t="str">
        <f t="shared" si="243"/>
        <v>قير  PG64-22</v>
      </c>
      <c r="L913" s="1">
        <v>100</v>
      </c>
      <c r="M913" s="1" t="str">
        <f t="shared" si="244"/>
        <v>مخازن قير اصفهان</v>
      </c>
      <c r="N913" s="1">
        <v>4026</v>
      </c>
      <c r="O913" s="1">
        <v>50031679</v>
      </c>
      <c r="P913" s="1" t="str">
        <f t="shared" si="245"/>
        <v xml:space="preserve">  اداره كل راه و شهرسازي خراسان رضوي</v>
      </c>
      <c r="Q913" s="1">
        <v>17</v>
      </c>
      <c r="R913" s="1" t="str">
        <f t="shared" si="246"/>
        <v>فروش داخلي تهران - وزارت راه - راه روستايي - روکش</v>
      </c>
      <c r="S913" s="1" t="str">
        <f t="shared" si="240"/>
        <v>قرارداد فروش</v>
      </c>
      <c r="T913" s="1" t="str">
        <f t="shared" si="241"/>
        <v>ندارد</v>
      </c>
      <c r="U913" s="1" t="str">
        <f>"بابامحمدي عنايت اله(4844000)"</f>
        <v>بابامحمدي عنايت اله(4844000)</v>
      </c>
      <c r="V913" s="1">
        <v>951700188</v>
      </c>
      <c r="W913" s="1">
        <v>951700188</v>
      </c>
      <c r="X913" s="1" t="str">
        <f>"1395426941"</f>
        <v>1395426941</v>
      </c>
      <c r="Y913" s="1" t="str">
        <f>"95/06/07"</f>
        <v>95/06/07</v>
      </c>
      <c r="Z913" s="1" t="str">
        <f>"25075/510"</f>
        <v>25075/510</v>
      </c>
      <c r="AA913" s="1" t="str">
        <f t="shared" si="247"/>
        <v>راه روستائي -روكش</v>
      </c>
      <c r="AB913" s="1" t="str">
        <f>"95/05/31"</f>
        <v>95/05/31</v>
      </c>
      <c r="AC913" s="1" t="str">
        <f t="shared" si="248"/>
        <v>خراسان رضوي</v>
      </c>
      <c r="AD913" s="1" t="str">
        <f>"95/06/06"</f>
        <v>95/06/06</v>
      </c>
      <c r="AE913" s="1" t="str">
        <f t="shared" si="238"/>
        <v>اختتام</v>
      </c>
      <c r="AF913" s="1" t="str">
        <f>""</f>
        <v/>
      </c>
      <c r="AG913" s="1" t="str">
        <f>""</f>
        <v/>
      </c>
      <c r="AH913" s="1" t="str">
        <f>""</f>
        <v/>
      </c>
      <c r="AI913" s="1" t="str">
        <f>""</f>
        <v/>
      </c>
      <c r="AJ913" s="1" t="str">
        <f>""</f>
        <v/>
      </c>
      <c r="AK913" s="1" t="str">
        <f>""</f>
        <v/>
      </c>
    </row>
    <row r="914" spans="1:37" x14ac:dyDescent="0.2">
      <c r="A914" s="1">
        <v>500000</v>
      </c>
      <c r="B914" s="1">
        <v>951700201</v>
      </c>
      <c r="C914" s="1" t="str">
        <f>"تخليه خراسان رضوي -بجستان اداره اراه وشهرسازي بجستان"</f>
        <v>تخليه خراسان رضوي -بجستان اداره اراه وشهرسازي بجستان</v>
      </c>
      <c r="D914" s="1">
        <v>7176</v>
      </c>
      <c r="E914" s="1">
        <v>497420</v>
      </c>
      <c r="F914" s="1">
        <v>95</v>
      </c>
      <c r="G914" s="1">
        <v>2580</v>
      </c>
      <c r="H914" s="1" t="str">
        <f>"95/06/15"</f>
        <v>95/06/15</v>
      </c>
      <c r="I914" s="1" t="str">
        <f t="shared" si="239"/>
        <v>كيلوگرم</v>
      </c>
      <c r="J914" s="1" t="str">
        <f t="shared" si="242"/>
        <v>0000000091</v>
      </c>
      <c r="K914" s="1" t="str">
        <f t="shared" si="243"/>
        <v>قير  PG64-22</v>
      </c>
      <c r="L914" s="1">
        <v>100</v>
      </c>
      <c r="M914" s="1" t="str">
        <f t="shared" si="244"/>
        <v>مخازن قير اصفهان</v>
      </c>
      <c r="N914" s="1">
        <v>4026</v>
      </c>
      <c r="O914" s="1">
        <v>50031803</v>
      </c>
      <c r="P914" s="1" t="str">
        <f t="shared" si="245"/>
        <v xml:space="preserve">  اداره كل راه و شهرسازي خراسان رضوي</v>
      </c>
      <c r="Q914" s="1">
        <v>17</v>
      </c>
      <c r="R914" s="1" t="str">
        <f t="shared" si="246"/>
        <v>فروش داخلي تهران - وزارت راه - راه روستايي - روکش</v>
      </c>
      <c r="S914" s="1" t="str">
        <f t="shared" si="240"/>
        <v>قرارداد فروش</v>
      </c>
      <c r="T914" s="1" t="str">
        <f t="shared" si="241"/>
        <v>ندارد</v>
      </c>
      <c r="U914" s="1" t="str">
        <f>"بابامحمدي عنايت اله(4844000)"</f>
        <v>بابامحمدي عنايت اله(4844000)</v>
      </c>
      <c r="V914" s="1">
        <v>951700201</v>
      </c>
      <c r="W914" s="1">
        <v>951700201</v>
      </c>
      <c r="X914" s="1" t="str">
        <f>"1395428996"</f>
        <v>1395428996</v>
      </c>
      <c r="Y914" s="1" t="str">
        <f>"95/06/15"</f>
        <v>95/06/15</v>
      </c>
      <c r="Z914" s="1" t="str">
        <f>"27997/510"</f>
        <v>27997/510</v>
      </c>
      <c r="AA914" s="1" t="str">
        <f t="shared" si="247"/>
        <v>راه روستائي -روكش</v>
      </c>
      <c r="AB914" s="1" t="str">
        <f>"95/06/13"</f>
        <v>95/06/13</v>
      </c>
      <c r="AC914" s="1" t="str">
        <f t="shared" si="248"/>
        <v>خراسان رضوي</v>
      </c>
      <c r="AD914" s="1" t="str">
        <f>"95/06/14"</f>
        <v>95/06/14</v>
      </c>
      <c r="AE914" s="1" t="str">
        <f t="shared" si="238"/>
        <v>اختتام</v>
      </c>
      <c r="AF914" s="1" t="str">
        <f>""</f>
        <v/>
      </c>
      <c r="AG914" s="1" t="str">
        <f>""</f>
        <v/>
      </c>
      <c r="AH914" s="1" t="str">
        <f>""</f>
        <v/>
      </c>
      <c r="AI914" s="1" t="str">
        <f>""</f>
        <v/>
      </c>
      <c r="AJ914" s="1" t="str">
        <f>""</f>
        <v/>
      </c>
      <c r="AK914" s="1" t="str">
        <f>""</f>
        <v/>
      </c>
    </row>
    <row r="915" spans="1:37" x14ac:dyDescent="0.2">
      <c r="A915" s="1">
        <v>190000</v>
      </c>
      <c r="B915" s="1">
        <v>951700221</v>
      </c>
      <c r="C915" s="1" t="str">
        <f>"تخليه -خراسان رضوي نيشابوركارخانه آسفالت شهرداري نيشابور"</f>
        <v>تخليه -خراسان رضوي نيشابوركارخانه آسفالت شهرداري نيشابور</v>
      </c>
      <c r="D915" s="1">
        <v>7276</v>
      </c>
      <c r="E915" s="1">
        <v>188360</v>
      </c>
      <c r="F915" s="1">
        <v>95</v>
      </c>
      <c r="G915" s="1">
        <v>1640</v>
      </c>
      <c r="H915" s="1" t="str">
        <f>"95/07/06"</f>
        <v>95/07/06</v>
      </c>
      <c r="I915" s="1" t="str">
        <f t="shared" si="239"/>
        <v>كيلوگرم</v>
      </c>
      <c r="J915" s="1" t="str">
        <f t="shared" si="242"/>
        <v>0000000091</v>
      </c>
      <c r="K915" s="1" t="str">
        <f t="shared" si="243"/>
        <v>قير  PG64-22</v>
      </c>
      <c r="L915" s="1">
        <v>100</v>
      </c>
      <c r="M915" s="1" t="str">
        <f t="shared" si="244"/>
        <v>مخازن قير اصفهان</v>
      </c>
      <c r="N915" s="1">
        <v>4026</v>
      </c>
      <c r="O915" s="1">
        <v>50031996</v>
      </c>
      <c r="P915" s="1" t="str">
        <f t="shared" si="245"/>
        <v xml:space="preserve">  اداره كل راه و شهرسازي خراسان رضوي</v>
      </c>
      <c r="Q915" s="1">
        <v>17</v>
      </c>
      <c r="R915" s="1" t="str">
        <f t="shared" si="246"/>
        <v>فروش داخلي تهران - وزارت راه - راه روستايي - روکش</v>
      </c>
      <c r="S915" s="1" t="str">
        <f t="shared" si="240"/>
        <v>قرارداد فروش</v>
      </c>
      <c r="T915" s="1" t="str">
        <f t="shared" si="241"/>
        <v>ندارد</v>
      </c>
      <c r="U915" s="1" t="str">
        <f>"بابامحمدي عنايت اله(4844000)"</f>
        <v>بابامحمدي عنايت اله(4844000)</v>
      </c>
      <c r="V915" s="1">
        <v>951700221</v>
      </c>
      <c r="W915" s="1">
        <v>951700221</v>
      </c>
      <c r="X915" s="1" t="str">
        <f>"1395433846"</f>
        <v>1395433846</v>
      </c>
      <c r="Y915" s="1" t="str">
        <f>"95/07/06"</f>
        <v>95/07/06</v>
      </c>
      <c r="Z915" s="1" t="str">
        <f>"30243/510"</f>
        <v>30243/510</v>
      </c>
      <c r="AA915" s="1" t="str">
        <f t="shared" si="247"/>
        <v>راه روستائي -روكش</v>
      </c>
      <c r="AB915" s="1" t="str">
        <f>"95/06/27"</f>
        <v>95/06/27</v>
      </c>
      <c r="AC915" s="1" t="str">
        <f t="shared" si="248"/>
        <v>خراسان رضوي</v>
      </c>
      <c r="AD915" s="1" t="str">
        <f>"95/07/05"</f>
        <v>95/07/05</v>
      </c>
      <c r="AE915" s="1" t="str">
        <f t="shared" si="238"/>
        <v>اختتام</v>
      </c>
      <c r="AF915" s="1" t="str">
        <f>""</f>
        <v/>
      </c>
      <c r="AG915" s="1" t="str">
        <f>""</f>
        <v/>
      </c>
      <c r="AH915" s="1" t="str">
        <f>""</f>
        <v/>
      </c>
      <c r="AI915" s="1" t="str">
        <f>""</f>
        <v/>
      </c>
      <c r="AJ915" s="1" t="str">
        <f>""</f>
        <v/>
      </c>
      <c r="AK915" s="1" t="str">
        <f>""</f>
        <v/>
      </c>
    </row>
    <row r="916" spans="1:37" x14ac:dyDescent="0.2">
      <c r="A916" s="1">
        <v>480000</v>
      </c>
      <c r="B916" s="1">
        <v>951700226</v>
      </c>
      <c r="C916" s="1" t="str">
        <f>"تخليه -خراسان رضوي سبزواركارخانه آسفالت ترازگسترشرق"</f>
        <v>تخليه -خراسان رضوي سبزواركارخانه آسفالت ترازگسترشرق</v>
      </c>
      <c r="D916" s="1">
        <v>7276</v>
      </c>
      <c r="E916" s="1">
        <v>281220</v>
      </c>
      <c r="F916" s="1">
        <v>95</v>
      </c>
      <c r="G916" s="1">
        <v>198780</v>
      </c>
      <c r="H916" s="1" t="str">
        <f>"95/07/06"</f>
        <v>95/07/06</v>
      </c>
      <c r="I916" s="1" t="str">
        <f t="shared" si="239"/>
        <v>كيلوگرم</v>
      </c>
      <c r="J916" s="1" t="str">
        <f t="shared" si="242"/>
        <v>0000000091</v>
      </c>
      <c r="K916" s="1" t="str">
        <f t="shared" si="243"/>
        <v>قير  PG64-22</v>
      </c>
      <c r="L916" s="1">
        <v>100</v>
      </c>
      <c r="M916" s="1" t="str">
        <f t="shared" si="244"/>
        <v>مخازن قير اصفهان</v>
      </c>
      <c r="N916" s="1">
        <v>4026</v>
      </c>
      <c r="O916" s="1">
        <v>50032012</v>
      </c>
      <c r="P916" s="1" t="str">
        <f t="shared" si="245"/>
        <v xml:space="preserve">  اداره كل راه و شهرسازي خراسان رضوي</v>
      </c>
      <c r="Q916" s="1">
        <v>17</v>
      </c>
      <c r="R916" s="1" t="str">
        <f t="shared" si="246"/>
        <v>فروش داخلي تهران - وزارت راه - راه روستايي - روکش</v>
      </c>
      <c r="S916" s="1" t="str">
        <f t="shared" si="240"/>
        <v>قرارداد فروش</v>
      </c>
      <c r="T916" s="1" t="str">
        <f t="shared" si="241"/>
        <v>ندارد</v>
      </c>
      <c r="U916" s="1" t="str">
        <f>"حسيني علي(1841001)"</f>
        <v>حسيني علي(1841001)</v>
      </c>
      <c r="V916" s="1">
        <v>951700226</v>
      </c>
      <c r="W916" s="1">
        <v>951700226</v>
      </c>
      <c r="X916" s="1" t="str">
        <f>"1395433834"</f>
        <v>1395433834</v>
      </c>
      <c r="Y916" s="1" t="str">
        <f>"95/07/06"</f>
        <v>95/07/06</v>
      </c>
      <c r="Z916" s="1" t="str">
        <f>"30261/510"</f>
        <v>30261/510</v>
      </c>
      <c r="AA916" s="1" t="str">
        <f t="shared" si="247"/>
        <v>راه روستائي -روكش</v>
      </c>
      <c r="AB916" s="1" t="str">
        <f>"95/06/27"</f>
        <v>95/06/27</v>
      </c>
      <c r="AC916" s="1" t="str">
        <f t="shared" si="248"/>
        <v>خراسان رضوي</v>
      </c>
      <c r="AD916" s="1" t="str">
        <f>"95/07/05"</f>
        <v>95/07/05</v>
      </c>
      <c r="AE916" s="1" t="str">
        <f t="shared" si="238"/>
        <v>اختتام</v>
      </c>
      <c r="AF916" s="1" t="str">
        <f>""</f>
        <v/>
      </c>
      <c r="AG916" s="1" t="str">
        <f>""</f>
        <v/>
      </c>
      <c r="AH916" s="1" t="str">
        <f>""</f>
        <v/>
      </c>
      <c r="AI916" s="1" t="str">
        <f>""</f>
        <v/>
      </c>
      <c r="AJ916" s="1" t="str">
        <f>""</f>
        <v/>
      </c>
      <c r="AK916" s="1" t="str">
        <f>""</f>
        <v/>
      </c>
    </row>
    <row r="917" spans="1:37" x14ac:dyDescent="0.2">
      <c r="A917" s="1">
        <v>177740</v>
      </c>
      <c r="B917" s="1">
        <v>951900207</v>
      </c>
      <c r="C917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917" s="1">
        <v>8323</v>
      </c>
      <c r="E917" s="1">
        <v>177440</v>
      </c>
      <c r="F917" s="1">
        <v>95</v>
      </c>
      <c r="G917" s="1">
        <v>300</v>
      </c>
      <c r="H917" s="1" t="str">
        <f>"95/09/03"</f>
        <v>95/09/03</v>
      </c>
      <c r="I917" s="1" t="str">
        <f t="shared" si="239"/>
        <v>كيلوگرم</v>
      </c>
      <c r="J917" s="1" t="str">
        <f t="shared" ref="J917:J925" si="249">"0000000092"</f>
        <v>0000000092</v>
      </c>
      <c r="K917" s="1" t="str">
        <f t="shared" ref="K917:K925" si="250">"قير  PG64-16"</f>
        <v>قير  PG64-16</v>
      </c>
      <c r="L917" s="1">
        <v>100</v>
      </c>
      <c r="M917" s="1" t="str">
        <f t="shared" si="244"/>
        <v>مخازن قير اصفهان</v>
      </c>
      <c r="N917" s="1">
        <v>9485</v>
      </c>
      <c r="O917" s="1">
        <v>50032655</v>
      </c>
      <c r="P917" s="1" t="str">
        <f>"  بلوران سازه خرم"</f>
        <v xml:space="preserve">  بلوران سازه خرم</v>
      </c>
      <c r="Q917" s="1">
        <v>19</v>
      </c>
      <c r="R9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17" s="1" t="str">
        <f t="shared" si="240"/>
        <v>قرارداد فروش</v>
      </c>
      <c r="T917" s="1" t="str">
        <f t="shared" si="241"/>
        <v>ندارد</v>
      </c>
      <c r="U917" s="1" t="str">
        <f>"بستاني محسن (2882039)"</f>
        <v>بستاني محسن (2882039)</v>
      </c>
      <c r="V917" s="1">
        <v>951900207</v>
      </c>
      <c r="W917" s="1">
        <v>951900207</v>
      </c>
      <c r="X917" s="1" t="str">
        <f>"1395446081"</f>
        <v>1395446081</v>
      </c>
      <c r="Y917" s="1" t="str">
        <f>"95/09/03"</f>
        <v>95/09/03</v>
      </c>
      <c r="Z917" s="1" t="str">
        <f>"39764/710"</f>
        <v>39764/710</v>
      </c>
      <c r="AA917" s="1" t="str">
        <f>"سازمان راهداري وحمل نقل جاده اي"</f>
        <v>سازمان راهداري وحمل نقل جاده اي</v>
      </c>
      <c r="AB917" s="1" t="str">
        <f>"95/08/15"</f>
        <v>95/08/15</v>
      </c>
      <c r="AC917" s="1" t="str">
        <f>"لرستان"</f>
        <v>لرستان</v>
      </c>
      <c r="AD917" s="1" t="str">
        <f>"95/08/26"</f>
        <v>95/08/26</v>
      </c>
      <c r="AE917" s="1" t="str">
        <f t="shared" si="238"/>
        <v>اختتام</v>
      </c>
      <c r="AF917" s="1" t="str">
        <f>""</f>
        <v/>
      </c>
      <c r="AG917" s="1" t="str">
        <f>""</f>
        <v/>
      </c>
      <c r="AH917" s="1" t="str">
        <f>""</f>
        <v/>
      </c>
      <c r="AI917" s="1" t="str">
        <f>""</f>
        <v/>
      </c>
      <c r="AJ917" s="1" t="str">
        <f>""</f>
        <v/>
      </c>
      <c r="AK917" s="1" t="str">
        <f>""</f>
        <v/>
      </c>
    </row>
    <row r="918" spans="1:37" x14ac:dyDescent="0.2">
      <c r="A918" s="1">
        <v>200000</v>
      </c>
      <c r="B918" s="1">
        <v>951600057</v>
      </c>
      <c r="C918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918" s="1">
        <v>7276</v>
      </c>
      <c r="E918" s="1">
        <v>70120</v>
      </c>
      <c r="F918" s="1">
        <v>95</v>
      </c>
      <c r="G918" s="1">
        <v>129880</v>
      </c>
      <c r="H918" s="1" t="str">
        <f>"95/09/17"</f>
        <v>95/09/17</v>
      </c>
      <c r="I918" s="1" t="str">
        <f t="shared" si="239"/>
        <v>كيلوگرم</v>
      </c>
      <c r="J918" s="1" t="str">
        <f t="shared" si="249"/>
        <v>0000000092</v>
      </c>
      <c r="K918" s="1" t="str">
        <f t="shared" si="250"/>
        <v>قير  PG64-16</v>
      </c>
      <c r="L918" s="1">
        <v>100</v>
      </c>
      <c r="M918" s="1" t="str">
        <f t="shared" si="244"/>
        <v>مخازن قير اصفهان</v>
      </c>
      <c r="N918" s="1">
        <v>9485</v>
      </c>
      <c r="O918" s="1">
        <v>50032948</v>
      </c>
      <c r="P918" s="1" t="str">
        <f>"  بلوران سازه خرم"</f>
        <v xml:space="preserve">  بلوران سازه خرم</v>
      </c>
      <c r="Q918" s="1">
        <v>16</v>
      </c>
      <c r="R918" s="1" t="str">
        <f>"فروش داخلي تهران - وزارت راه - معاونت اقتصاد"</f>
        <v>فروش داخلي تهران - وزارت راه - معاونت اقتصاد</v>
      </c>
      <c r="S918" s="1" t="str">
        <f t="shared" si="240"/>
        <v>قرارداد فروش</v>
      </c>
      <c r="T918" s="1" t="str">
        <f t="shared" si="241"/>
        <v>ندارد</v>
      </c>
      <c r="U918" s="1" t="str">
        <f>"بستاني محسن (2882039)"</f>
        <v>بستاني محسن (2882039)</v>
      </c>
      <c r="V918" s="1">
        <v>951600057</v>
      </c>
      <c r="W918" s="1">
        <v>951600057</v>
      </c>
      <c r="X918" s="1" t="str">
        <f>"1395450852"</f>
        <v>1395450852</v>
      </c>
      <c r="Y918" s="1" t="str">
        <f>"95/09/17"</f>
        <v>95/09/17</v>
      </c>
      <c r="Z918" s="1" t="str">
        <f>"43669/710"</f>
        <v>43669/710</v>
      </c>
      <c r="AA918" s="1" t="str">
        <f>"معاونت اقتصادوزارت راه وشهرسازي"</f>
        <v>معاونت اقتصادوزارت راه وشهرسازي</v>
      </c>
      <c r="AB918" s="1" t="str">
        <f>"95/09/07"</f>
        <v>95/09/07</v>
      </c>
      <c r="AC918" s="1" t="str">
        <f>"لرستان"</f>
        <v>لرستان</v>
      </c>
      <c r="AD918" s="1" t="str">
        <f>"95/09/17"</f>
        <v>95/09/17</v>
      </c>
      <c r="AE918" s="1" t="str">
        <f t="shared" si="238"/>
        <v>اختتام</v>
      </c>
      <c r="AF918" s="1" t="str">
        <f>""</f>
        <v/>
      </c>
      <c r="AG918" s="1" t="str">
        <f>""</f>
        <v/>
      </c>
      <c r="AH918" s="1" t="str">
        <f>""</f>
        <v/>
      </c>
      <c r="AI918" s="1" t="str">
        <f>""</f>
        <v/>
      </c>
      <c r="AJ918" s="1" t="str">
        <f>""</f>
        <v/>
      </c>
      <c r="AK918" s="1" t="str">
        <f>""</f>
        <v/>
      </c>
    </row>
    <row r="919" spans="1:37" x14ac:dyDescent="0.2">
      <c r="A919" s="1">
        <v>500000</v>
      </c>
      <c r="B919" s="1">
        <v>951800033</v>
      </c>
      <c r="C919" s="1" t="str">
        <f>"تخليه -اصفهان -داران -سه راه فريدون شهر-كيلومتريك به سمت بوئين مياندشت"</f>
        <v>تخليه -اصفهان -داران -سه راه فريدون شهر-كيلومتريك به سمت بوئين مياندشت</v>
      </c>
      <c r="D919" s="1">
        <v>6726</v>
      </c>
      <c r="E919" s="1">
        <v>500000</v>
      </c>
      <c r="F919" s="1">
        <v>95</v>
      </c>
      <c r="G919" s="1">
        <v>0</v>
      </c>
      <c r="H919" s="1" t="str">
        <f>"95/05/04"</f>
        <v>95/05/04</v>
      </c>
      <c r="I919" s="1" t="str">
        <f t="shared" si="239"/>
        <v>كيلوگرم</v>
      </c>
      <c r="J919" s="1" t="str">
        <f t="shared" si="249"/>
        <v>0000000092</v>
      </c>
      <c r="K919" s="1" t="str">
        <f t="shared" si="250"/>
        <v>قير  PG64-16</v>
      </c>
      <c r="L919" s="1">
        <v>100</v>
      </c>
      <c r="M919" s="1" t="str">
        <f t="shared" si="244"/>
        <v>مخازن قير اصفهان</v>
      </c>
      <c r="N919" s="1">
        <v>9639</v>
      </c>
      <c r="O919" s="1">
        <v>50031344</v>
      </c>
      <c r="P919" s="1" t="str">
        <f>"  بهاران بتن فراگيران"</f>
        <v xml:space="preserve">  بهاران بتن فراگيران</v>
      </c>
      <c r="Q919" s="1">
        <v>18</v>
      </c>
      <c r="R919" s="1" t="str">
        <f>"فروش داخلي تهران - وزارت راه - شرکت ساخت و توسعه راهها"</f>
        <v>فروش داخلي تهران - وزارت راه - شرکت ساخت و توسعه راهها</v>
      </c>
      <c r="S919" s="1" t="str">
        <f t="shared" si="240"/>
        <v>قرارداد فروش</v>
      </c>
      <c r="T919" s="1" t="str">
        <f t="shared" si="241"/>
        <v>ندارد</v>
      </c>
      <c r="U919" s="1" t="str">
        <f>"مرادي نجاتعلي(1020ج89)"</f>
        <v>مرادي نجاتعلي(1020ج89)</v>
      </c>
      <c r="V919" s="1">
        <v>951800033</v>
      </c>
      <c r="W919" s="1">
        <v>951800033</v>
      </c>
      <c r="X919" s="1" t="str">
        <f>"1395417770"</f>
        <v>1395417770</v>
      </c>
      <c r="Y919" s="1" t="str">
        <f>"95/05/04"</f>
        <v>95/05/04</v>
      </c>
      <c r="Z919" s="1" t="str">
        <f>"18398/510"</f>
        <v>18398/510</v>
      </c>
      <c r="AA919" s="1" t="str">
        <f>"شركت  ساخت وتوسعه راهها"</f>
        <v>شركت  ساخت وتوسعه راهها</v>
      </c>
      <c r="AB919" s="1" t="str">
        <f>"95/04/28"</f>
        <v>95/04/28</v>
      </c>
      <c r="AC919" s="1" t="str">
        <f t="shared" ref="AC919:AC925" si="251">"استان اصفهان"</f>
        <v>استان اصفهان</v>
      </c>
      <c r="AD919" s="1" t="str">
        <f>"95/05/04"</f>
        <v>95/05/04</v>
      </c>
      <c r="AE919" s="1" t="str">
        <f t="shared" si="238"/>
        <v>اختتام</v>
      </c>
      <c r="AF919" s="1" t="str">
        <f>""</f>
        <v/>
      </c>
      <c r="AG919" s="1" t="str">
        <f>""</f>
        <v/>
      </c>
      <c r="AH919" s="1" t="str">
        <f>""</f>
        <v/>
      </c>
      <c r="AI919" s="1" t="str">
        <f>""</f>
        <v/>
      </c>
      <c r="AJ919" s="1" t="str">
        <f>""</f>
        <v/>
      </c>
      <c r="AK919" s="1" t="str">
        <f>""</f>
        <v/>
      </c>
    </row>
    <row r="920" spans="1:37" x14ac:dyDescent="0.2">
      <c r="A920" s="1">
        <v>80000</v>
      </c>
      <c r="B920" s="1">
        <v>951300011</v>
      </c>
      <c r="C920" s="1" t="str">
        <f>"تخليه- 15کيلومتري شهرضا-کارخانه آسفالت شهرداري"</f>
        <v>تخليه- 15کيلومتري شهرضا-کارخانه آسفالت شهرداري</v>
      </c>
      <c r="D920" s="1">
        <v>6250</v>
      </c>
      <c r="E920" s="1">
        <v>79460</v>
      </c>
      <c r="F920" s="1">
        <v>95</v>
      </c>
      <c r="G920" s="1">
        <v>540</v>
      </c>
      <c r="H920" s="1" t="str">
        <f>"95/04/22"</f>
        <v>95/04/22</v>
      </c>
      <c r="I920" s="1" t="str">
        <f t="shared" si="239"/>
        <v>كيلوگرم</v>
      </c>
      <c r="J920" s="1" t="str">
        <f t="shared" si="249"/>
        <v>0000000092</v>
      </c>
      <c r="K920" s="1" t="str">
        <f t="shared" si="250"/>
        <v>قير  PG64-16</v>
      </c>
      <c r="L920" s="1">
        <v>100</v>
      </c>
      <c r="M920" s="1" t="str">
        <f t="shared" si="244"/>
        <v>مخازن قير اصفهان</v>
      </c>
      <c r="N920" s="1">
        <v>9814</v>
      </c>
      <c r="O920" s="1">
        <v>50031272</v>
      </c>
      <c r="P920" s="1" t="str">
        <f>"  بنيادمسكن انقلاب اسلامي اصفهان"</f>
        <v xml:space="preserve">  بنيادمسكن انقلاب اسلامي اصفهان</v>
      </c>
      <c r="Q920" s="1">
        <v>13</v>
      </c>
      <c r="R920" s="1" t="str">
        <f>"فروش داخلي - وزارت راه - حوزه بنياد مسكن"</f>
        <v>فروش داخلي - وزارت راه - حوزه بنياد مسكن</v>
      </c>
      <c r="S920" s="1" t="str">
        <f t="shared" si="240"/>
        <v>قرارداد فروش</v>
      </c>
      <c r="T920" s="1" t="str">
        <f t="shared" si="241"/>
        <v>ندارد</v>
      </c>
      <c r="U920" s="1" t="str">
        <f>"شهبازي محمدرضا(1029ج89)"</f>
        <v>شهبازي محمدرضا(1029ج89)</v>
      </c>
      <c r="V920" s="1">
        <v>951300011</v>
      </c>
      <c r="W920" s="1">
        <v>951300011</v>
      </c>
      <c r="X920" s="1" t="str">
        <f>"1395414429"</f>
        <v>1395414429</v>
      </c>
      <c r="Y920" s="1" t="str">
        <f>"95/04/21"</f>
        <v>95/04/21</v>
      </c>
      <c r="Z920" s="1" t="str">
        <f>"15329/510"</f>
        <v>15329/510</v>
      </c>
      <c r="AA920" s="1" t="str">
        <f>"بنياد مسكن -مسكن مهر"</f>
        <v>بنياد مسكن -مسكن مهر</v>
      </c>
      <c r="AB920" s="1" t="str">
        <f>"95/04/09"</f>
        <v>95/04/09</v>
      </c>
      <c r="AC920" s="1" t="str">
        <f t="shared" si="251"/>
        <v>استان اصفهان</v>
      </c>
      <c r="AD920" s="1" t="str">
        <f>"95/04/21"</f>
        <v>95/04/21</v>
      </c>
      <c r="AE920" s="1" t="str">
        <f t="shared" si="238"/>
        <v>اختتام</v>
      </c>
      <c r="AF920" s="1" t="str">
        <f>""</f>
        <v/>
      </c>
      <c r="AG920" s="1" t="str">
        <f>""</f>
        <v/>
      </c>
      <c r="AH920" s="1" t="str">
        <f>""</f>
        <v/>
      </c>
      <c r="AI920" s="1" t="str">
        <f>""</f>
        <v/>
      </c>
      <c r="AJ920" s="1" t="str">
        <f>""</f>
        <v/>
      </c>
      <c r="AK920" s="1" t="str">
        <f>""</f>
        <v/>
      </c>
    </row>
    <row r="921" spans="1:37" x14ac:dyDescent="0.2">
      <c r="A921" s="1">
        <v>200000</v>
      </c>
      <c r="B921" s="1">
        <v>951300018</v>
      </c>
      <c r="C921" s="1" t="str">
        <f>"تخليه - اصفهان- کيلومتر 5 جاده خوانسار - گلپايگان -کارخانه صنعت راه گلپايگان"</f>
        <v>تخليه - اصفهان- کيلومتر 5 جاده خوانسار - گلپايگان -کارخانه صنعت راه گلپايگان</v>
      </c>
      <c r="D921" s="1">
        <v>7176</v>
      </c>
      <c r="E921" s="1">
        <v>199620</v>
      </c>
      <c r="F921" s="1">
        <v>95</v>
      </c>
      <c r="G921" s="1">
        <v>380</v>
      </c>
      <c r="H921" s="1" t="str">
        <f>"95/06/23"</f>
        <v>95/06/23</v>
      </c>
      <c r="I921" s="1" t="str">
        <f t="shared" si="239"/>
        <v>كيلوگرم</v>
      </c>
      <c r="J921" s="1" t="str">
        <f t="shared" si="249"/>
        <v>0000000092</v>
      </c>
      <c r="K921" s="1" t="str">
        <f t="shared" si="250"/>
        <v>قير  PG64-16</v>
      </c>
      <c r="L921" s="1">
        <v>100</v>
      </c>
      <c r="M921" s="1" t="str">
        <f t="shared" si="244"/>
        <v>مخازن قير اصفهان</v>
      </c>
      <c r="N921" s="1">
        <v>9814</v>
      </c>
      <c r="O921" s="1">
        <v>50031858</v>
      </c>
      <c r="P921" s="1" t="str">
        <f>"  بنيادمسكن انقلاب اسلامي اصفهان"</f>
        <v xml:space="preserve">  بنيادمسكن انقلاب اسلامي اصفهان</v>
      </c>
      <c r="Q921" s="1">
        <v>13</v>
      </c>
      <c r="R921" s="1" t="str">
        <f>"فروش داخلي - وزارت راه - حوزه بنياد مسكن"</f>
        <v>فروش داخلي - وزارت راه - حوزه بنياد مسكن</v>
      </c>
      <c r="S921" s="1" t="str">
        <f t="shared" si="240"/>
        <v>قرارداد فروش</v>
      </c>
      <c r="T921" s="1" t="str">
        <f t="shared" si="241"/>
        <v>ندارد</v>
      </c>
      <c r="U921" s="1" t="str">
        <f>"شهبازي محمدرضا(1029ج89)"</f>
        <v>شهبازي محمدرضا(1029ج89)</v>
      </c>
      <c r="V921" s="1">
        <v>951300018</v>
      </c>
      <c r="W921" s="1">
        <v>951300018</v>
      </c>
      <c r="X921" s="1" t="str">
        <f>"1395430747"</f>
        <v>1395430747</v>
      </c>
      <c r="Y921" s="1" t="str">
        <f>"95/06/23"</f>
        <v>95/06/23</v>
      </c>
      <c r="Z921" s="1" t="str">
        <f>"28774/510"</f>
        <v>28774/510</v>
      </c>
      <c r="AA921" s="1" t="str">
        <f>"بنياد مسكن -مسكن مهر"</f>
        <v>بنياد مسكن -مسكن مهر</v>
      </c>
      <c r="AB921" s="1" t="str">
        <f>"95/06/16"</f>
        <v>95/06/16</v>
      </c>
      <c r="AC921" s="1" t="str">
        <f t="shared" si="251"/>
        <v>استان اصفهان</v>
      </c>
      <c r="AD921" s="1" t="str">
        <f>"95/06/21"</f>
        <v>95/06/21</v>
      </c>
      <c r="AE921" s="1" t="str">
        <f t="shared" si="238"/>
        <v>اختتام</v>
      </c>
      <c r="AF921" s="1" t="str">
        <f>""</f>
        <v/>
      </c>
      <c r="AG921" s="1" t="str">
        <f>""</f>
        <v/>
      </c>
      <c r="AH921" s="1" t="str">
        <f>""</f>
        <v/>
      </c>
      <c r="AI921" s="1" t="str">
        <f>""</f>
        <v/>
      </c>
      <c r="AJ921" s="1" t="str">
        <f>""</f>
        <v/>
      </c>
      <c r="AK921" s="1" t="str">
        <f>""</f>
        <v/>
      </c>
    </row>
    <row r="922" spans="1:37" x14ac:dyDescent="0.2">
      <c r="A922" s="1">
        <v>114000</v>
      </c>
      <c r="B922" s="1">
        <v>951300037</v>
      </c>
      <c r="C922" s="1" t="str">
        <f>"تخليه اصفهان اردستان كيلومتر15اردستان نايين كارخانه آسفالت شركت كوهرنگ راه"</f>
        <v>تخليه اصفهان اردستان كيلومتر15اردستان نايين كارخانه آسفالت شركت كوهرنگ راه</v>
      </c>
      <c r="D922" s="1">
        <v>8998</v>
      </c>
      <c r="E922" s="1">
        <v>113760</v>
      </c>
      <c r="F922" s="1">
        <v>95</v>
      </c>
      <c r="G922" s="1">
        <v>240</v>
      </c>
      <c r="H922" s="1" t="str">
        <f>"95/12/24"</f>
        <v>95/12/24</v>
      </c>
      <c r="I922" s="1" t="str">
        <f t="shared" si="239"/>
        <v>كيلوگرم</v>
      </c>
      <c r="J922" s="1" t="str">
        <f t="shared" si="249"/>
        <v>0000000092</v>
      </c>
      <c r="K922" s="1" t="str">
        <f t="shared" si="250"/>
        <v>قير  PG64-16</v>
      </c>
      <c r="L922" s="1">
        <v>100</v>
      </c>
      <c r="M922" s="1" t="str">
        <f t="shared" si="244"/>
        <v>مخازن قير اصفهان</v>
      </c>
      <c r="N922" s="1">
        <v>9814</v>
      </c>
      <c r="O922" s="1">
        <v>50034187</v>
      </c>
      <c r="P922" s="1" t="str">
        <f>"  بنيادمسكن انقلاب اسلامي اصفهان"</f>
        <v xml:space="preserve">  بنيادمسكن انقلاب اسلامي اصفهان</v>
      </c>
      <c r="Q922" s="1">
        <v>13</v>
      </c>
      <c r="R922" s="1" t="str">
        <f>"فروش داخلي - وزارت راه - حوزه بنياد مسكن"</f>
        <v>فروش داخلي - وزارت راه - حوزه بنياد مسكن</v>
      </c>
      <c r="S922" s="1" t="str">
        <f t="shared" si="240"/>
        <v>قرارداد فروش</v>
      </c>
      <c r="T922" s="1" t="str">
        <f t="shared" si="241"/>
        <v>ندارد</v>
      </c>
      <c r="U922" s="1" t="str">
        <f>"معماريان سعيد(1004ج89)"</f>
        <v>معماريان سعيد(1004ج89)</v>
      </c>
      <c r="V922" s="1">
        <v>951300037</v>
      </c>
      <c r="W922" s="1">
        <v>951300037</v>
      </c>
      <c r="X922" s="1" t="str">
        <f>"1395470893"</f>
        <v>1395470893</v>
      </c>
      <c r="Y922" s="1" t="str">
        <f>"95/12/24"</f>
        <v>95/12/24</v>
      </c>
      <c r="Z922" s="1" t="str">
        <f>"65489/710"</f>
        <v>65489/710</v>
      </c>
      <c r="AA922" s="1" t="str">
        <f>"بنياد مسكن -مسكن مهر"</f>
        <v>بنياد مسكن -مسكن مهر</v>
      </c>
      <c r="AB922" s="1" t="str">
        <f>"95/12/21"</f>
        <v>95/12/21</v>
      </c>
      <c r="AC922" s="1" t="str">
        <f t="shared" si="251"/>
        <v>استان اصفهان</v>
      </c>
      <c r="AD922" s="1" t="str">
        <f>"95/12/23"</f>
        <v>95/12/23</v>
      </c>
      <c r="AE922" s="1" t="str">
        <f t="shared" si="238"/>
        <v>اختتام</v>
      </c>
      <c r="AF922" s="1" t="str">
        <f>""</f>
        <v/>
      </c>
      <c r="AG922" s="1" t="str">
        <f>""</f>
        <v/>
      </c>
      <c r="AH922" s="1" t="str">
        <f>""</f>
        <v/>
      </c>
      <c r="AI922" s="1" t="str">
        <f>""</f>
        <v/>
      </c>
      <c r="AJ922" s="1" t="str">
        <f>""</f>
        <v/>
      </c>
      <c r="AK922" s="1" t="str">
        <f>""</f>
        <v/>
      </c>
    </row>
    <row r="923" spans="1:37" x14ac:dyDescent="0.2">
      <c r="A923" s="1">
        <v>260000</v>
      </c>
      <c r="B923" s="1">
        <v>951700036</v>
      </c>
      <c r="C923" s="1" t="str">
        <f>"تخليه اصفهان تيران ابتداي جاده سامان كارخانه آسفالت ميرعلايي"</f>
        <v>تخليه اصفهان تيران ابتداي جاده سامان كارخانه آسفالت ميرعلايي</v>
      </c>
      <c r="D923" s="1">
        <v>6050</v>
      </c>
      <c r="E923" s="1">
        <v>259160</v>
      </c>
      <c r="F923" s="1">
        <v>95</v>
      </c>
      <c r="G923" s="1">
        <v>840</v>
      </c>
      <c r="H923" s="1" t="str">
        <f>"95/03/23"</f>
        <v>95/03/23</v>
      </c>
      <c r="I923" s="1" t="str">
        <f t="shared" si="239"/>
        <v>كيلوگرم</v>
      </c>
      <c r="J923" s="1" t="str">
        <f t="shared" si="249"/>
        <v>0000000092</v>
      </c>
      <c r="K923" s="1" t="str">
        <f t="shared" si="250"/>
        <v>قير  PG64-16</v>
      </c>
      <c r="L923" s="1">
        <v>100</v>
      </c>
      <c r="M923" s="1" t="str">
        <f t="shared" si="244"/>
        <v>مخازن قير اصفهان</v>
      </c>
      <c r="N923" s="1">
        <v>8091</v>
      </c>
      <c r="O923" s="1">
        <v>50031011</v>
      </c>
      <c r="P923" s="1" t="str">
        <f>"  اداره كل راه وشهرسازي اصفهان"</f>
        <v xml:space="preserve">  اداره كل راه وشهرسازي اصفهان</v>
      </c>
      <c r="Q923" s="1">
        <v>17</v>
      </c>
      <c r="R923" s="1" t="str">
        <f>"فروش داخلي تهران - وزارت راه - راه روستايي - روکش"</f>
        <v>فروش داخلي تهران - وزارت راه - راه روستايي - روکش</v>
      </c>
      <c r="S923" s="1" t="str">
        <f t="shared" si="240"/>
        <v>قرارداد فروش</v>
      </c>
      <c r="T923" s="1" t="str">
        <f t="shared" si="241"/>
        <v>ندارد</v>
      </c>
      <c r="U923" s="1" t="str">
        <f>"مرادي نجاتعلي(1020ج89)"</f>
        <v>مرادي نجاتعلي(1020ج89)</v>
      </c>
      <c r="V923" s="1">
        <v>951700036</v>
      </c>
      <c r="W923" s="1">
        <v>951700036</v>
      </c>
      <c r="X923" s="1" t="str">
        <f>"1395406643"</f>
        <v>1395406643</v>
      </c>
      <c r="Y923" s="1" t="str">
        <f>"95/03/23"</f>
        <v>95/03/23</v>
      </c>
      <c r="Z923" s="1" t="str">
        <f>"9575/510"</f>
        <v>9575/510</v>
      </c>
      <c r="AA923" s="1" t="str">
        <f>"راه روستائي -روكش"</f>
        <v>راه روستائي -روكش</v>
      </c>
      <c r="AB923" s="1" t="str">
        <f>"95/03/08"</f>
        <v>95/03/08</v>
      </c>
      <c r="AC923" s="1" t="str">
        <f t="shared" si="251"/>
        <v>استان اصفهان</v>
      </c>
      <c r="AD923" s="1" t="str">
        <f>"95/03/11"</f>
        <v>95/03/11</v>
      </c>
      <c r="AE923" s="1" t="str">
        <f t="shared" si="238"/>
        <v>اختتام</v>
      </c>
      <c r="AF923" s="1" t="str">
        <f>""</f>
        <v/>
      </c>
      <c r="AG923" s="1" t="str">
        <f>""</f>
        <v/>
      </c>
      <c r="AH923" s="1" t="str">
        <f>""</f>
        <v/>
      </c>
      <c r="AI923" s="1" t="str">
        <f>""</f>
        <v/>
      </c>
      <c r="AJ923" s="1" t="str">
        <f>""</f>
        <v/>
      </c>
      <c r="AK923" s="1" t="str">
        <f>""</f>
        <v/>
      </c>
    </row>
    <row r="924" spans="1:37" x14ac:dyDescent="0.2">
      <c r="A924" s="1">
        <v>266000</v>
      </c>
      <c r="B924" s="1">
        <v>951700093</v>
      </c>
      <c r="C924" s="1" t="str">
        <f>"تخليه -اصفهان -كيلومتر19محورقديم كاشان قم -شركت درم"</f>
        <v>تخليه -اصفهان -كيلومتر19محورقديم كاشان قم -شركت درم</v>
      </c>
      <c r="D924" s="1">
        <v>6250</v>
      </c>
      <c r="E924" s="1">
        <v>263160</v>
      </c>
      <c r="F924" s="1">
        <v>95</v>
      </c>
      <c r="G924" s="1">
        <v>2840</v>
      </c>
      <c r="H924" s="1" t="str">
        <f>"95/04/19"</f>
        <v>95/04/19</v>
      </c>
      <c r="I924" s="1" t="str">
        <f t="shared" si="239"/>
        <v>كيلوگرم</v>
      </c>
      <c r="J924" s="1" t="str">
        <f t="shared" si="249"/>
        <v>0000000092</v>
      </c>
      <c r="K924" s="1" t="str">
        <f t="shared" si="250"/>
        <v>قير  PG64-16</v>
      </c>
      <c r="L924" s="1">
        <v>100</v>
      </c>
      <c r="M924" s="1" t="str">
        <f t="shared" si="244"/>
        <v>مخازن قير اصفهان</v>
      </c>
      <c r="N924" s="1">
        <v>8091</v>
      </c>
      <c r="O924" s="1">
        <v>50031234</v>
      </c>
      <c r="P924" s="1" t="str">
        <f>"  اداره كل راه وشهرسازي اصفهان"</f>
        <v xml:space="preserve">  اداره كل راه وشهرسازي اصفهان</v>
      </c>
      <c r="Q924" s="1">
        <v>17</v>
      </c>
      <c r="R924" s="1" t="str">
        <f>"فروش داخلي تهران - وزارت راه - راه روستايي - روکش"</f>
        <v>فروش داخلي تهران - وزارت راه - راه روستايي - روکش</v>
      </c>
      <c r="S924" s="1" t="str">
        <f t="shared" si="240"/>
        <v>قرارداد فروش</v>
      </c>
      <c r="T924" s="1" t="str">
        <f t="shared" si="241"/>
        <v>ندارد</v>
      </c>
      <c r="U924" s="1" t="str">
        <f>"كبيري رحمت اله(1024ج89)"</f>
        <v>كبيري رحمت اله(1024ج89)</v>
      </c>
      <c r="V924" s="1">
        <v>951700093</v>
      </c>
      <c r="W924" s="1">
        <v>951700093</v>
      </c>
      <c r="X924" s="1" t="str">
        <f>"1394391627"</f>
        <v>1394391627</v>
      </c>
      <c r="Y924" s="1" t="str">
        <f>"95/04/19"</f>
        <v>95/04/19</v>
      </c>
      <c r="Z924" s="1" t="str">
        <f>"63655/510"</f>
        <v>63655/510</v>
      </c>
      <c r="AA924" s="1" t="str">
        <f>"راه روستائي -روكش"</f>
        <v>راه روستائي -روكش</v>
      </c>
      <c r="AB924" s="1" t="str">
        <f>"94/11/18"</f>
        <v>94/11/18</v>
      </c>
      <c r="AC924" s="1" t="str">
        <f t="shared" si="251"/>
        <v>استان اصفهان</v>
      </c>
      <c r="AD924" s="1" t="str">
        <f>"94/11/20"</f>
        <v>94/11/20</v>
      </c>
      <c r="AE924" s="1" t="str">
        <f t="shared" si="238"/>
        <v>اختتام</v>
      </c>
      <c r="AF924" s="1" t="str">
        <f>""</f>
        <v/>
      </c>
      <c r="AG924" s="1" t="str">
        <f>""</f>
        <v/>
      </c>
      <c r="AH924" s="1" t="str">
        <f>""</f>
        <v/>
      </c>
      <c r="AI924" s="1" t="str">
        <f>""</f>
        <v/>
      </c>
      <c r="AJ924" s="1" t="str">
        <f>""</f>
        <v/>
      </c>
      <c r="AK924" s="1" t="str">
        <f>""</f>
        <v/>
      </c>
    </row>
    <row r="925" spans="1:37" x14ac:dyDescent="0.2">
      <c r="A925" s="1">
        <v>359360</v>
      </c>
      <c r="B925" s="1">
        <v>951700276</v>
      </c>
      <c r="C925" s="1" t="str">
        <f>"تخليه - اصفهان-سه راهي اردستان نايين کارخانه بستر سازان کوير"</f>
        <v>تخليه - اصفهان-سه راهي اردستان نايين کارخانه بستر سازان کوير</v>
      </c>
      <c r="D925" s="1">
        <v>8323</v>
      </c>
      <c r="E925" s="1">
        <v>357600</v>
      </c>
      <c r="F925" s="1">
        <v>95</v>
      </c>
      <c r="G925" s="1">
        <v>1760</v>
      </c>
      <c r="H925" s="1" t="str">
        <f>"95/08/09"</f>
        <v>95/08/09</v>
      </c>
      <c r="I925" s="1" t="str">
        <f t="shared" si="239"/>
        <v>كيلوگرم</v>
      </c>
      <c r="J925" s="1" t="str">
        <f t="shared" si="249"/>
        <v>0000000092</v>
      </c>
      <c r="K925" s="1" t="str">
        <f t="shared" si="250"/>
        <v>قير  PG64-16</v>
      </c>
      <c r="L925" s="1">
        <v>100</v>
      </c>
      <c r="M925" s="1" t="str">
        <f t="shared" si="244"/>
        <v>مخازن قير اصفهان</v>
      </c>
      <c r="N925" s="1">
        <v>8091</v>
      </c>
      <c r="O925" s="1">
        <v>50032413</v>
      </c>
      <c r="P925" s="1" t="str">
        <f>"  اداره كل راه وشهرسازي اصفهان"</f>
        <v xml:space="preserve">  اداره كل راه وشهرسازي اصفهان</v>
      </c>
      <c r="Q925" s="1">
        <v>17</v>
      </c>
      <c r="R925" s="1" t="str">
        <f>"فروش داخلي تهران - وزارت راه - راه روستايي - روکش"</f>
        <v>فروش داخلي تهران - وزارت راه - راه روستايي - روکش</v>
      </c>
      <c r="S925" s="1" t="str">
        <f t="shared" si="240"/>
        <v>قرارداد فروش</v>
      </c>
      <c r="T925" s="1" t="str">
        <f t="shared" si="241"/>
        <v>ندارد</v>
      </c>
      <c r="U925" s="1" t="str">
        <f>"سيفي پور عبدالمجيد(1009ج89)"</f>
        <v>سيفي پور عبدالمجيد(1009ج89)</v>
      </c>
      <c r="V925" s="1">
        <v>951700276</v>
      </c>
      <c r="W925" s="1">
        <v>951700276</v>
      </c>
      <c r="X925" s="1" t="str">
        <f>"1395421751"</f>
        <v>1395421751</v>
      </c>
      <c r="Y925" s="1" t="str">
        <f>"95/08/09"</f>
        <v>95/08/09</v>
      </c>
      <c r="Z925" s="1" t="str">
        <f>"20960/510"</f>
        <v>20960/510</v>
      </c>
      <c r="AA925" s="1" t="str">
        <f>"راه روستائي -روكش"</f>
        <v>راه روستائي -روكش</v>
      </c>
      <c r="AB925" s="1" t="str">
        <f>"95/05/11"</f>
        <v>95/05/11</v>
      </c>
      <c r="AC925" s="1" t="str">
        <f t="shared" si="251"/>
        <v>استان اصفهان</v>
      </c>
      <c r="AD925" s="1" t="str">
        <f>"95/05/17"</f>
        <v>95/05/17</v>
      </c>
      <c r="AE925" s="1" t="str">
        <f t="shared" si="238"/>
        <v>اختتام</v>
      </c>
      <c r="AF925" s="1" t="str">
        <f>""</f>
        <v/>
      </c>
      <c r="AG925" s="1" t="str">
        <f>""</f>
        <v/>
      </c>
      <c r="AH925" s="1" t="str">
        <f>""</f>
        <v/>
      </c>
      <c r="AI925" s="1" t="str">
        <f>""</f>
        <v/>
      </c>
      <c r="AJ925" s="1" t="str">
        <f>""</f>
        <v/>
      </c>
      <c r="AK925" s="1" t="str">
        <f>""</f>
        <v/>
      </c>
    </row>
    <row r="926" spans="1:37" x14ac:dyDescent="0.2">
      <c r="A926" s="1">
        <v>170000</v>
      </c>
      <c r="B926" s="1">
        <v>951400047</v>
      </c>
      <c r="C926" s="1" t="str">
        <f>"تخليه - خراسان جنوبي-سربيشه-بخش درج -کارخانه آسفالت آقاي عباس نژاد"</f>
        <v>تخليه - خراسان جنوبي-سربيشه-بخش درج -کارخانه آسفالت آقاي عباس نژاد</v>
      </c>
      <c r="D926" s="1">
        <v>6250</v>
      </c>
      <c r="E926" s="1">
        <v>166060</v>
      </c>
      <c r="F926" s="1">
        <v>95</v>
      </c>
      <c r="G926" s="1">
        <v>3940</v>
      </c>
      <c r="H926" s="1" t="str">
        <f>"95/04/30"</f>
        <v>95/04/30</v>
      </c>
      <c r="I926" s="1" t="str">
        <f t="shared" si="239"/>
        <v>كيلوگرم</v>
      </c>
      <c r="J926" s="1" t="str">
        <f t="shared" ref="J926:J949" si="252">"0000000091"</f>
        <v>0000000091</v>
      </c>
      <c r="K926" s="1" t="str">
        <f t="shared" ref="K926:K949" si="253">"قير  PG64-22"</f>
        <v>قير  PG64-22</v>
      </c>
      <c r="L926" s="1">
        <v>100</v>
      </c>
      <c r="M926" s="1" t="str">
        <f t="shared" si="244"/>
        <v>مخازن قير اصفهان</v>
      </c>
      <c r="N926" s="1">
        <v>8358</v>
      </c>
      <c r="O926" s="1">
        <v>50031326</v>
      </c>
      <c r="P926" s="1" t="str">
        <f>"  راه گستران قاينات"</f>
        <v xml:space="preserve">  راه گستران قاينات</v>
      </c>
      <c r="Q926" s="1">
        <v>14</v>
      </c>
      <c r="R926" s="1" t="str">
        <f>"فروش داخلي - وزارت راه - حوزه راه روستايي ساخت"</f>
        <v>فروش داخلي - وزارت راه - حوزه راه روستايي ساخت</v>
      </c>
      <c r="S926" s="1" t="str">
        <f t="shared" si="240"/>
        <v>قرارداد فروش</v>
      </c>
      <c r="T926" s="1" t="str">
        <f t="shared" si="241"/>
        <v>ندارد</v>
      </c>
      <c r="U926" s="1" t="str">
        <f>"بابامحمدي عنايت اله(4844000)"</f>
        <v>بابامحمدي عنايت اله(4844000)</v>
      </c>
      <c r="V926" s="1">
        <v>951400047</v>
      </c>
      <c r="W926" s="1">
        <v>951400047</v>
      </c>
      <c r="X926" s="1" t="str">
        <f>"1395416543"</f>
        <v>1395416543</v>
      </c>
      <c r="Y926" s="1" t="str">
        <f>"95/04/30"</f>
        <v>95/04/30</v>
      </c>
      <c r="Z926" s="1" t="str">
        <f>"17851/510"</f>
        <v>17851/510</v>
      </c>
      <c r="AA926" s="1" t="str">
        <f>"راه وروستايي -ساخت"</f>
        <v>راه وروستايي -ساخت</v>
      </c>
      <c r="AB926" s="1" t="str">
        <f>"95/04/26"</f>
        <v>95/04/26</v>
      </c>
      <c r="AC926" s="1" t="str">
        <f>"خراسان جنوبي"</f>
        <v>خراسان جنوبي</v>
      </c>
      <c r="AD926" s="1" t="str">
        <f>"95/04/29"</f>
        <v>95/04/29</v>
      </c>
      <c r="AE926" s="1" t="str">
        <f t="shared" si="238"/>
        <v>اختتام</v>
      </c>
      <c r="AF926" s="1" t="str">
        <f>""</f>
        <v/>
      </c>
      <c r="AG926" s="1" t="str">
        <f>""</f>
        <v/>
      </c>
      <c r="AH926" s="1" t="str">
        <f>""</f>
        <v/>
      </c>
      <c r="AI926" s="1" t="str">
        <f>""</f>
        <v/>
      </c>
      <c r="AJ926" s="1" t="str">
        <f>""</f>
        <v/>
      </c>
      <c r="AK926" s="1" t="str">
        <f>""</f>
        <v/>
      </c>
    </row>
    <row r="927" spans="1:37" x14ac:dyDescent="0.2">
      <c r="A927" s="1">
        <v>650440</v>
      </c>
      <c r="B927" s="1">
        <v>951600006</v>
      </c>
      <c r="C927" s="1" t="str">
        <f>"تخليه -خراسان رضوي خواف جاده خواف -قائن كارخانه آسفالت ره سازه ياشار"</f>
        <v>تخليه -خراسان رضوي خواف جاده خواف -قائن كارخانه آسفالت ره سازه ياشار</v>
      </c>
      <c r="D927" s="1">
        <v>6250</v>
      </c>
      <c r="E927" s="1">
        <v>647920</v>
      </c>
      <c r="F927" s="1">
        <v>95</v>
      </c>
      <c r="G927" s="1">
        <v>2520</v>
      </c>
      <c r="H927" s="1" t="str">
        <f>"95/04/19"</f>
        <v>95/04/19</v>
      </c>
      <c r="I927" s="1" t="str">
        <f t="shared" si="239"/>
        <v>كيلوگرم</v>
      </c>
      <c r="J927" s="1" t="str">
        <f t="shared" si="252"/>
        <v>0000000091</v>
      </c>
      <c r="K927" s="1" t="str">
        <f t="shared" si="253"/>
        <v>قير  PG64-22</v>
      </c>
      <c r="L927" s="1">
        <v>100</v>
      </c>
      <c r="M927" s="1" t="str">
        <f t="shared" si="244"/>
        <v>مخازن قير اصفهان</v>
      </c>
      <c r="N927" s="1">
        <v>8608</v>
      </c>
      <c r="O927" s="1">
        <v>50031216</v>
      </c>
      <c r="P927" s="1" t="str">
        <f>"  ره سازه ياشار"</f>
        <v xml:space="preserve">  ره سازه ياشار</v>
      </c>
      <c r="Q927" s="1">
        <v>16</v>
      </c>
      <c r="R927" s="1" t="str">
        <f>"فروش داخلي تهران - وزارت راه - معاونت اقتصاد"</f>
        <v>فروش داخلي تهران - وزارت راه - معاونت اقتصاد</v>
      </c>
      <c r="S927" s="1" t="str">
        <f t="shared" si="240"/>
        <v>قرارداد فروش</v>
      </c>
      <c r="T927" s="1" t="str">
        <f t="shared" si="241"/>
        <v>ندارد</v>
      </c>
      <c r="U927" s="1" t="str">
        <f>"آقا علي منوچهر(1016ج89)"</f>
        <v>آقا علي منوچهر(1016ج89)</v>
      </c>
      <c r="V927" s="1">
        <v>951600006</v>
      </c>
      <c r="W927" s="1">
        <v>951600006</v>
      </c>
      <c r="X927" s="1" t="str">
        <f>"1394392918"</f>
        <v>1394392918</v>
      </c>
      <c r="Y927" s="1" t="str">
        <f>"95/04/19"</f>
        <v>95/04/19</v>
      </c>
      <c r="Z927" s="1" t="str">
        <f>"63577/510"</f>
        <v>63577/510</v>
      </c>
      <c r="AA927" s="1" t="str">
        <f>"معاونت اقتصادوزارت راه وشهرسازي"</f>
        <v>معاونت اقتصادوزارت راه وشهرسازي</v>
      </c>
      <c r="AB927" s="1" t="str">
        <f>"94/11/18"</f>
        <v>94/11/18</v>
      </c>
      <c r="AC927" s="1" t="str">
        <f>"خراسان رضوي"</f>
        <v>خراسان رضوي</v>
      </c>
      <c r="AD927" s="1" t="str">
        <f>"94/11/28"</f>
        <v>94/11/28</v>
      </c>
      <c r="AE927" s="1" t="str">
        <f t="shared" si="238"/>
        <v>اختتام</v>
      </c>
      <c r="AF927" s="1" t="str">
        <f>""</f>
        <v/>
      </c>
      <c r="AG927" s="1" t="str">
        <f>""</f>
        <v/>
      </c>
      <c r="AH927" s="1" t="str">
        <f>""</f>
        <v/>
      </c>
      <c r="AI927" s="1" t="str">
        <f>""</f>
        <v/>
      </c>
      <c r="AJ927" s="1" t="str">
        <f>""</f>
        <v/>
      </c>
      <c r="AK927" s="1" t="str">
        <f>""</f>
        <v/>
      </c>
    </row>
    <row r="928" spans="1:37" x14ac:dyDescent="0.2">
      <c r="A928" s="1">
        <v>97000</v>
      </c>
      <c r="B928" s="1">
        <v>951700195</v>
      </c>
      <c r="C928" s="1" t="str">
        <f>"تخليه -کرمانشاه- دينور- کارخانه آسفالت دره سبز برناج"</f>
        <v>تخليه -کرمانشاه- دينور- کارخانه آسفالت دره سبز برناج</v>
      </c>
      <c r="D928" s="1">
        <v>7176</v>
      </c>
      <c r="E928" s="1">
        <v>24260</v>
      </c>
      <c r="F928" s="1">
        <v>95</v>
      </c>
      <c r="G928" s="1">
        <v>72740</v>
      </c>
      <c r="H928" s="1" t="str">
        <f>"95/06/08"</f>
        <v>95/06/08</v>
      </c>
      <c r="I928" s="1" t="str">
        <f t="shared" si="239"/>
        <v>كيلوگرم</v>
      </c>
      <c r="J928" s="1" t="str">
        <f t="shared" si="252"/>
        <v>0000000091</v>
      </c>
      <c r="K928" s="1" t="str">
        <f t="shared" si="253"/>
        <v>قير  PG64-22</v>
      </c>
      <c r="L928" s="1">
        <v>100</v>
      </c>
      <c r="M928" s="1" t="str">
        <f t="shared" si="244"/>
        <v>مخازن قير اصفهان</v>
      </c>
      <c r="N928" s="1">
        <v>11033</v>
      </c>
      <c r="O928" s="1">
        <v>50031708</v>
      </c>
      <c r="P928" s="1" t="str">
        <f>"  مرمت گران راه گستر"</f>
        <v xml:space="preserve">  مرمت گران راه گستر</v>
      </c>
      <c r="Q928" s="1">
        <v>17</v>
      </c>
      <c r="R928" s="1" t="str">
        <f>"فروش داخلي تهران - وزارت راه - راه روستايي - روکش"</f>
        <v>فروش داخلي تهران - وزارت راه - راه روستايي - روکش</v>
      </c>
      <c r="S928" s="1" t="str">
        <f t="shared" si="240"/>
        <v>قرارداد فروش</v>
      </c>
      <c r="T928" s="1" t="str">
        <f t="shared" si="241"/>
        <v>ندارد</v>
      </c>
      <c r="U928" s="1" t="str">
        <f>"حاجيلوئي علي اصغر(2842019)"</f>
        <v>حاجيلوئي علي اصغر(2842019)</v>
      </c>
      <c r="V928" s="1">
        <v>951700195</v>
      </c>
      <c r="W928" s="1">
        <v>951700195</v>
      </c>
      <c r="X928" s="1" t="str">
        <f>"1395427144"</f>
        <v>1395427144</v>
      </c>
      <c r="Y928" s="1" t="str">
        <f>"95/06/08"</f>
        <v>95/06/08</v>
      </c>
      <c r="Z928" s="1" t="str">
        <f>"25355/510"</f>
        <v>25355/510</v>
      </c>
      <c r="AA928" s="1" t="str">
        <f>"راه روستائي -روكش"</f>
        <v>راه روستائي -روكش</v>
      </c>
      <c r="AB928" s="1" t="str">
        <f>"95/06/01"</f>
        <v>95/06/01</v>
      </c>
      <c r="AC928" s="1" t="str">
        <f>"استان كرمانشاه"</f>
        <v>استان كرمانشاه</v>
      </c>
      <c r="AD928" s="1" t="str">
        <f>"95/06/07"</f>
        <v>95/06/07</v>
      </c>
      <c r="AE928" s="1" t="str">
        <f t="shared" si="238"/>
        <v>اختتام</v>
      </c>
      <c r="AF928" s="1" t="str">
        <f>""</f>
        <v/>
      </c>
      <c r="AG928" s="1" t="str">
        <f>""</f>
        <v/>
      </c>
      <c r="AH928" s="1" t="str">
        <f>""</f>
        <v/>
      </c>
      <c r="AI928" s="1" t="str">
        <f>""</f>
        <v/>
      </c>
      <c r="AJ928" s="1" t="str">
        <f>""</f>
        <v/>
      </c>
      <c r="AK928" s="1" t="str">
        <f>""</f>
        <v/>
      </c>
    </row>
    <row r="929" spans="1:37" x14ac:dyDescent="0.2">
      <c r="A929" s="1">
        <v>200000</v>
      </c>
      <c r="B929" s="1">
        <v>951700143</v>
      </c>
      <c r="C929" s="1" t="str">
        <f>"تخليه- کيلومتر 5 جاده کنگاور- کرمانشاه بعداز پليس راه سه راهي نهاوند کارخانه مهر الوند هگمتانه"</f>
        <v>تخليه- کيلومتر 5 جاده کنگاور- کرمانشاه بعداز پليس راه سه راهي نهاوند کارخانه مهر الوند هگمتانه</v>
      </c>
      <c r="D929" s="1">
        <v>6726</v>
      </c>
      <c r="E929" s="1">
        <v>198920</v>
      </c>
      <c r="F929" s="1">
        <v>95</v>
      </c>
      <c r="G929" s="1">
        <v>1080</v>
      </c>
      <c r="H929" s="1" t="str">
        <f>"95/05/16"</f>
        <v>95/05/16</v>
      </c>
      <c r="I929" s="1" t="str">
        <f t="shared" si="239"/>
        <v>كيلوگرم</v>
      </c>
      <c r="J929" s="1" t="str">
        <f t="shared" si="252"/>
        <v>0000000091</v>
      </c>
      <c r="K929" s="1" t="str">
        <f t="shared" si="253"/>
        <v>قير  PG64-22</v>
      </c>
      <c r="L929" s="1">
        <v>100</v>
      </c>
      <c r="M929" s="1" t="str">
        <f t="shared" si="244"/>
        <v>مخازن قير اصفهان</v>
      </c>
      <c r="N929" s="1">
        <v>11051</v>
      </c>
      <c r="O929" s="1">
        <v>50031446</v>
      </c>
      <c r="P929" s="1" t="str">
        <f>"  پاياب راژان"</f>
        <v xml:space="preserve">  پاياب راژان</v>
      </c>
      <c r="Q929" s="1">
        <v>17</v>
      </c>
      <c r="R929" s="1" t="str">
        <f>"فروش داخلي تهران - وزارت راه - راه روستايي - روکش"</f>
        <v>فروش داخلي تهران - وزارت راه - راه روستايي - روکش</v>
      </c>
      <c r="S929" s="1" t="str">
        <f t="shared" si="240"/>
        <v>قرارداد فروش</v>
      </c>
      <c r="T929" s="1" t="str">
        <f t="shared" si="241"/>
        <v>ندارد</v>
      </c>
      <c r="U929" s="1" t="str">
        <f>"پيرالي مجيد(1045ج 94)"</f>
        <v>پيرالي مجيد(1045ج 94)</v>
      </c>
      <c r="V929" s="1">
        <v>951700143</v>
      </c>
      <c r="W929" s="1">
        <v>951700143</v>
      </c>
      <c r="X929" s="1" t="str">
        <f>"1395421164"</f>
        <v>1395421164</v>
      </c>
      <c r="Y929" s="1" t="str">
        <f>"95/05/16"</f>
        <v>95/05/16</v>
      </c>
      <c r="Z929" s="1" t="str">
        <f>"20814/510"</f>
        <v>20814/510</v>
      </c>
      <c r="AA929" s="1" t="str">
        <f>"راه روستائي -روكش"</f>
        <v>راه روستائي -روكش</v>
      </c>
      <c r="AB929" s="1" t="str">
        <f>"95/05/11"</f>
        <v>95/05/11</v>
      </c>
      <c r="AC929" s="1" t="str">
        <f>"استان كرمانشاه"</f>
        <v>استان كرمانشاه</v>
      </c>
      <c r="AD929" s="1" t="str">
        <f>"95/05/13"</f>
        <v>95/05/13</v>
      </c>
      <c r="AE929" s="1" t="str">
        <f t="shared" si="238"/>
        <v>اختتام</v>
      </c>
      <c r="AF929" s="1" t="str">
        <f>""</f>
        <v/>
      </c>
      <c r="AG929" s="1" t="str">
        <f>""</f>
        <v/>
      </c>
      <c r="AH929" s="1" t="str">
        <f>""</f>
        <v/>
      </c>
      <c r="AI929" s="1" t="str">
        <f>""</f>
        <v/>
      </c>
      <c r="AJ929" s="1" t="str">
        <f>""</f>
        <v/>
      </c>
      <c r="AK929" s="1" t="str">
        <f>""</f>
        <v/>
      </c>
    </row>
    <row r="930" spans="1:37" x14ac:dyDescent="0.2">
      <c r="A930" s="1">
        <v>500000</v>
      </c>
      <c r="B930" s="1">
        <v>951900155</v>
      </c>
      <c r="C930" s="1" t="str">
        <f>"تخليه -كرمانشاه شهرستان سنقرپشت مزارشهدادره قره قيا-كارخانه آسفالت بتن شيب غرب"</f>
        <v>تخليه -كرمانشاه شهرستان سنقرپشت مزارشهدادره قره قيا-كارخانه آسفالت بتن شيب غرب</v>
      </c>
      <c r="D930" s="1">
        <v>7276</v>
      </c>
      <c r="E930" s="1">
        <v>343200</v>
      </c>
      <c r="F930" s="1">
        <v>95</v>
      </c>
      <c r="G930" s="1">
        <v>156800</v>
      </c>
      <c r="H930" s="1" t="str">
        <f>"95/07/05"</f>
        <v>95/07/05</v>
      </c>
      <c r="I930" s="1" t="str">
        <f t="shared" si="239"/>
        <v>كيلوگرم</v>
      </c>
      <c r="J930" s="1" t="str">
        <f t="shared" si="252"/>
        <v>0000000091</v>
      </c>
      <c r="K930" s="1" t="str">
        <f t="shared" si="253"/>
        <v>قير  PG64-22</v>
      </c>
      <c r="L930" s="1">
        <v>100</v>
      </c>
      <c r="M930" s="1" t="str">
        <f t="shared" si="244"/>
        <v>مخازن قير اصفهان</v>
      </c>
      <c r="N930" s="1">
        <v>11072</v>
      </c>
      <c r="O930" s="1">
        <v>50031952</v>
      </c>
      <c r="P930" s="1" t="str">
        <f>"  استواربتن سازان كرمانشاه"</f>
        <v xml:space="preserve">  استواربتن سازان كرمانشاه</v>
      </c>
      <c r="Q930" s="1">
        <v>19</v>
      </c>
      <c r="R93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30" s="1" t="str">
        <f t="shared" si="240"/>
        <v>قرارداد فروش</v>
      </c>
      <c r="T930" s="1" t="str">
        <f t="shared" si="241"/>
        <v>ندارد</v>
      </c>
      <c r="U930" s="1" t="str">
        <f>"عظيمي محمد(2842015)"</f>
        <v>عظيمي محمد(2842015)</v>
      </c>
      <c r="V930" s="1">
        <v>951900155</v>
      </c>
      <c r="W930" s="1">
        <v>951900155</v>
      </c>
      <c r="X930" s="1" t="str">
        <f>"1395433841"</f>
        <v>1395433841</v>
      </c>
      <c r="Y930" s="1" t="str">
        <f>"95/07/05"</f>
        <v>95/07/05</v>
      </c>
      <c r="Z930" s="1" t="str">
        <f>"31302/510"</f>
        <v>31302/510</v>
      </c>
      <c r="AA930" s="1" t="str">
        <f>"سازمان راهداري وحمل نقل جاده اي"</f>
        <v>سازمان راهداري وحمل نقل جاده اي</v>
      </c>
      <c r="AB930" s="1" t="str">
        <f>"95/06/31"</f>
        <v>95/06/31</v>
      </c>
      <c r="AC930" s="1" t="str">
        <f>"استان كرمانشاه"</f>
        <v>استان كرمانشاه</v>
      </c>
      <c r="AD930" s="1" t="str">
        <f>"95/07/05"</f>
        <v>95/07/05</v>
      </c>
      <c r="AE930" s="1" t="str">
        <f t="shared" si="238"/>
        <v>اختتام</v>
      </c>
      <c r="AF930" s="1" t="str">
        <f>""</f>
        <v/>
      </c>
      <c r="AG930" s="1" t="str">
        <f>""</f>
        <v/>
      </c>
      <c r="AH930" s="1" t="str">
        <f>""</f>
        <v/>
      </c>
      <c r="AI930" s="1" t="str">
        <f>""</f>
        <v/>
      </c>
      <c r="AJ930" s="1" t="str">
        <f>""</f>
        <v/>
      </c>
      <c r="AK930" s="1" t="str">
        <f>""</f>
        <v/>
      </c>
    </row>
    <row r="931" spans="1:37" x14ac:dyDescent="0.2">
      <c r="A931" s="1">
        <v>14560</v>
      </c>
      <c r="B931" s="1">
        <v>951900175</v>
      </c>
      <c r="C931" s="1" t="str">
        <f>"تخليه -كهگيلويه وبويراحمد-گچساران -كارخانه آسفالت بيد زرد مهنائي"</f>
        <v>تخليه -كهگيلويه وبويراحمد-گچساران -كارخانه آسفالت بيد زرد مهنائي</v>
      </c>
      <c r="D931" s="1">
        <v>8323</v>
      </c>
      <c r="E931" s="1">
        <v>13600</v>
      </c>
      <c r="F931" s="1">
        <v>95</v>
      </c>
      <c r="G931" s="1">
        <v>960</v>
      </c>
      <c r="H931" s="1" t="str">
        <f>"95/08/06"</f>
        <v>95/08/06</v>
      </c>
      <c r="I931" s="1" t="str">
        <f t="shared" si="239"/>
        <v>كيلوگرم</v>
      </c>
      <c r="J931" s="1" t="str">
        <f t="shared" si="252"/>
        <v>0000000091</v>
      </c>
      <c r="K931" s="1" t="str">
        <f t="shared" si="253"/>
        <v>قير  PG64-22</v>
      </c>
      <c r="L931" s="1">
        <v>100</v>
      </c>
      <c r="M931" s="1" t="str">
        <f t="shared" si="244"/>
        <v>مخازن قير اصفهان</v>
      </c>
      <c r="N931" s="1">
        <v>11084</v>
      </c>
      <c r="O931" s="1">
        <v>50032315</v>
      </c>
      <c r="P931" s="1" t="str">
        <f>"  پرهون دژآپادانا"</f>
        <v xml:space="preserve">  پرهون دژآپادانا</v>
      </c>
      <c r="Q931" s="1">
        <v>19</v>
      </c>
      <c r="R9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31" s="1" t="str">
        <f t="shared" si="240"/>
        <v>قرارداد فروش</v>
      </c>
      <c r="T931" s="1" t="str">
        <f t="shared" si="241"/>
        <v>ندارد</v>
      </c>
      <c r="U931" s="1" t="str">
        <f>"غلام نجفي سيامك‌‌‌‌‌‌(1881082)"</f>
        <v>غلام نجفي سيامك‌‌‌‌‌‌(1881082)</v>
      </c>
      <c r="V931" s="1">
        <v>951900175</v>
      </c>
      <c r="W931" s="1">
        <v>951900175</v>
      </c>
      <c r="X931" s="1" t="str">
        <f>"1395428837"</f>
        <v>1395428837</v>
      </c>
      <c r="Y931" s="1" t="str">
        <f>"95/08/06"</f>
        <v>95/08/06</v>
      </c>
      <c r="Z931" s="1" t="str">
        <f>"27124/510"</f>
        <v>27124/510</v>
      </c>
      <c r="AA931" s="1" t="str">
        <f>"سازمان راهداري وحمل نقل جاده اي"</f>
        <v>سازمان راهداري وحمل نقل جاده اي</v>
      </c>
      <c r="AB931" s="1" t="str">
        <f>"95/06/09"</f>
        <v>95/06/09</v>
      </c>
      <c r="AC931" s="1" t="str">
        <f>"كهكيلويه و بوير احمد"</f>
        <v>كهكيلويه و بوير احمد</v>
      </c>
      <c r="AD931" s="1" t="str">
        <f>"95/06/13"</f>
        <v>95/06/13</v>
      </c>
      <c r="AE931" s="1" t="str">
        <f t="shared" si="238"/>
        <v>اختتام</v>
      </c>
      <c r="AF931" s="1" t="str">
        <f>""</f>
        <v/>
      </c>
      <c r="AG931" s="1" t="str">
        <f>""</f>
        <v/>
      </c>
      <c r="AH931" s="1" t="str">
        <f>""</f>
        <v/>
      </c>
      <c r="AI931" s="1" t="str">
        <f>""</f>
        <v/>
      </c>
      <c r="AJ931" s="1" t="str">
        <f>""</f>
        <v/>
      </c>
      <c r="AK931" s="1" t="str">
        <f>""</f>
        <v/>
      </c>
    </row>
    <row r="932" spans="1:37" x14ac:dyDescent="0.2">
      <c r="A932" s="1">
        <v>551000</v>
      </c>
      <c r="B932" s="1">
        <v>951700035</v>
      </c>
      <c r="C932" s="1" t="str">
        <f>"تخليه -خراسان جنوبي محورفرعي نهبندان -شهدادكارخانه آسفالت پروژه"</f>
        <v>تخليه -خراسان جنوبي محورفرعي نهبندان -شهدادكارخانه آسفالت پروژه</v>
      </c>
      <c r="D932" s="1">
        <v>6050</v>
      </c>
      <c r="E932" s="1">
        <v>549340</v>
      </c>
      <c r="F932" s="1">
        <v>95</v>
      </c>
      <c r="G932" s="1">
        <v>1660</v>
      </c>
      <c r="H932" s="1" t="str">
        <f>"95/03/23"</f>
        <v>95/03/23</v>
      </c>
      <c r="I932" s="1" t="str">
        <f t="shared" si="239"/>
        <v>كيلوگرم</v>
      </c>
      <c r="J932" s="1" t="str">
        <f t="shared" si="252"/>
        <v>0000000091</v>
      </c>
      <c r="K932" s="1" t="str">
        <f t="shared" si="253"/>
        <v>قير  PG64-22</v>
      </c>
      <c r="L932" s="1">
        <v>100</v>
      </c>
      <c r="M932" s="1" t="str">
        <f t="shared" si="244"/>
        <v>مخازن قير اصفهان</v>
      </c>
      <c r="N932" s="1">
        <v>11109</v>
      </c>
      <c r="O932" s="1">
        <v>50031006</v>
      </c>
      <c r="P932" s="1" t="str">
        <f>"  راهسازي وساختمان مسيرياب بيرجند"</f>
        <v xml:space="preserve">  راهسازي وساختمان مسيرياب بيرجند</v>
      </c>
      <c r="Q932" s="1">
        <v>17</v>
      </c>
      <c r="R932" s="1" t="str">
        <f>"فروش داخلي تهران - وزارت راه - راه روستايي - روکش"</f>
        <v>فروش داخلي تهران - وزارت راه - راه روستايي - روکش</v>
      </c>
      <c r="S932" s="1" t="str">
        <f t="shared" si="240"/>
        <v>قرارداد فروش</v>
      </c>
      <c r="T932" s="1" t="str">
        <f t="shared" si="241"/>
        <v>ندارد</v>
      </c>
      <c r="U932" s="1" t="str">
        <f>"كاردان اسپادان راه مصطفي  (1911100)"</f>
        <v>كاردان اسپادان راه مصطفي  (1911100)</v>
      </c>
      <c r="V932" s="1">
        <v>951700035</v>
      </c>
      <c r="W932" s="1">
        <v>951700035</v>
      </c>
      <c r="X932" s="1" t="str">
        <f>"1395408788"</f>
        <v>1395408788</v>
      </c>
      <c r="Y932" s="1" t="str">
        <f>"95/03/23"</f>
        <v>95/03/23</v>
      </c>
      <c r="Z932" s="1" t="str">
        <f>"11053/510"</f>
        <v>11053/510</v>
      </c>
      <c r="AA932" s="1" t="str">
        <f>"راه روستائي -روكش"</f>
        <v>راه روستائي -روكش</v>
      </c>
      <c r="AB932" s="1" t="str">
        <f>"95/03/18"</f>
        <v>95/03/18</v>
      </c>
      <c r="AC932" s="1" t="str">
        <f>"خراسان جنوبي"</f>
        <v>خراسان جنوبي</v>
      </c>
      <c r="AD932" s="1" t="str">
        <f>"95/03/22"</f>
        <v>95/03/22</v>
      </c>
      <c r="AE932" s="1" t="str">
        <f t="shared" si="238"/>
        <v>اختتام</v>
      </c>
      <c r="AF932" s="1" t="str">
        <f>""</f>
        <v/>
      </c>
      <c r="AG932" s="1" t="str">
        <f>""</f>
        <v/>
      </c>
      <c r="AH932" s="1" t="str">
        <f>""</f>
        <v/>
      </c>
      <c r="AI932" s="1" t="str">
        <f>""</f>
        <v/>
      </c>
      <c r="AJ932" s="1" t="str">
        <f>""</f>
        <v/>
      </c>
      <c r="AK932" s="1" t="str">
        <f>""</f>
        <v/>
      </c>
    </row>
    <row r="933" spans="1:37" x14ac:dyDescent="0.2">
      <c r="A933" s="1">
        <v>581600</v>
      </c>
      <c r="B933" s="1">
        <v>951700277</v>
      </c>
      <c r="C933" s="1" t="str">
        <f>"تخليه - خراسان رضوي-تقاطع کندر محور ايرج آباد کارخانه آسفالت طوفان"</f>
        <v>تخليه - خراسان رضوي-تقاطع کندر محور ايرج آباد کارخانه آسفالت طوفان</v>
      </c>
      <c r="D933" s="1">
        <v>8323</v>
      </c>
      <c r="E933" s="1">
        <v>137860</v>
      </c>
      <c r="F933" s="1">
        <v>95</v>
      </c>
      <c r="G933" s="1">
        <v>443740</v>
      </c>
      <c r="H933" s="1" t="str">
        <f>"95/08/09"</f>
        <v>95/08/09</v>
      </c>
      <c r="I933" s="1" t="str">
        <f t="shared" si="239"/>
        <v>كيلوگرم</v>
      </c>
      <c r="J933" s="1" t="str">
        <f t="shared" si="252"/>
        <v>0000000091</v>
      </c>
      <c r="K933" s="1" t="str">
        <f t="shared" si="253"/>
        <v>قير  PG64-22</v>
      </c>
      <c r="L933" s="1">
        <v>100</v>
      </c>
      <c r="M933" s="1" t="str">
        <f t="shared" si="244"/>
        <v>مخازن قير اصفهان</v>
      </c>
      <c r="N933" s="1">
        <v>4026</v>
      </c>
      <c r="O933" s="1">
        <v>50032414</v>
      </c>
      <c r="P933" s="1" t="str">
        <f>"  اداره كل راه و شهرسازي خراسان رضوي"</f>
        <v xml:space="preserve">  اداره كل راه و شهرسازي خراسان رضوي</v>
      </c>
      <c r="Q933" s="1">
        <v>17</v>
      </c>
      <c r="R933" s="1" t="str">
        <f>"فروش داخلي تهران - وزارت راه - راه روستايي - روکش"</f>
        <v>فروش داخلي تهران - وزارت راه - راه روستايي - روکش</v>
      </c>
      <c r="S933" s="1" t="str">
        <f t="shared" si="240"/>
        <v>قرارداد فروش</v>
      </c>
      <c r="T933" s="1" t="str">
        <f t="shared" si="241"/>
        <v>ندارد</v>
      </c>
      <c r="U933" s="1" t="str">
        <f>"بابامحمدي عنايت اله(4844000)"</f>
        <v>بابامحمدي عنايت اله(4844000)</v>
      </c>
      <c r="V933" s="1">
        <v>951700277</v>
      </c>
      <c r="W933" s="1">
        <v>951700277</v>
      </c>
      <c r="X933" s="1" t="str">
        <f>"1395426941"</f>
        <v>1395426941</v>
      </c>
      <c r="Y933" s="1" t="str">
        <f>"95/08/09"</f>
        <v>95/08/09</v>
      </c>
      <c r="Z933" s="1" t="str">
        <f>"23824/510"</f>
        <v>23824/510</v>
      </c>
      <c r="AA933" s="1" t="str">
        <f>"راه روستائي -روكش"</f>
        <v>راه روستائي -روكش</v>
      </c>
      <c r="AB933" s="1" t="str">
        <f>"95/05/26"</f>
        <v>95/05/26</v>
      </c>
      <c r="AC933" s="1" t="str">
        <f>"خراسان رضوي"</f>
        <v>خراسان رضوي</v>
      </c>
      <c r="AD933" s="1" t="str">
        <f>"95/06/06"</f>
        <v>95/06/06</v>
      </c>
      <c r="AE933" s="1" t="str">
        <f t="shared" si="238"/>
        <v>اختتام</v>
      </c>
      <c r="AF933" s="1" t="str">
        <f>""</f>
        <v/>
      </c>
      <c r="AG933" s="1" t="str">
        <f>""</f>
        <v/>
      </c>
      <c r="AH933" s="1" t="str">
        <f>""</f>
        <v/>
      </c>
      <c r="AI933" s="1" t="str">
        <f>""</f>
        <v/>
      </c>
      <c r="AJ933" s="1" t="str">
        <f>""</f>
        <v/>
      </c>
      <c r="AK933" s="1" t="str">
        <f>""</f>
        <v/>
      </c>
    </row>
    <row r="934" spans="1:37" x14ac:dyDescent="0.2">
      <c r="A934" s="1">
        <v>407000</v>
      </c>
      <c r="B934" s="1">
        <v>951700311</v>
      </c>
      <c r="C934" s="1" t="str">
        <f>"تخليه -خراسان رضوي -نيشابور-كيلومتر120جاده فيروزآبادشركت دل حفره"</f>
        <v>تخليه -خراسان رضوي -نيشابور-كيلومتر120جاده فيروزآبادشركت دل حفره</v>
      </c>
      <c r="D934" s="1">
        <v>9511</v>
      </c>
      <c r="E934" s="1">
        <v>395500</v>
      </c>
      <c r="F934" s="1">
        <v>95</v>
      </c>
      <c r="G934" s="1">
        <v>11500</v>
      </c>
      <c r="H934" s="1" t="str">
        <f>"95/11/03"</f>
        <v>95/11/03</v>
      </c>
      <c r="I934" s="1" t="str">
        <f t="shared" si="239"/>
        <v>كيلوگرم</v>
      </c>
      <c r="J934" s="1" t="str">
        <f t="shared" si="252"/>
        <v>0000000091</v>
      </c>
      <c r="K934" s="1" t="str">
        <f t="shared" si="253"/>
        <v>قير  PG64-22</v>
      </c>
      <c r="L934" s="1">
        <v>100</v>
      </c>
      <c r="M934" s="1" t="str">
        <f t="shared" si="244"/>
        <v>مخازن قير اصفهان</v>
      </c>
      <c r="N934" s="1">
        <v>4026</v>
      </c>
      <c r="O934" s="1">
        <v>50033430</v>
      </c>
      <c r="P934" s="1" t="str">
        <f>"  اداره كل راه و شهرسازي خراسان رضوي"</f>
        <v xml:space="preserve">  اداره كل راه و شهرسازي خراسان رضوي</v>
      </c>
      <c r="Q934" s="1">
        <v>17</v>
      </c>
      <c r="R934" s="1" t="str">
        <f>"فروش داخلي تهران - وزارت راه - راه روستايي - روکش"</f>
        <v>فروش داخلي تهران - وزارت راه - راه روستايي - روکش</v>
      </c>
      <c r="S934" s="1" t="str">
        <f t="shared" si="240"/>
        <v>قرارداد فروش</v>
      </c>
      <c r="T934" s="1" t="str">
        <f t="shared" si="241"/>
        <v>ندارد</v>
      </c>
      <c r="U934" s="1" t="str">
        <f>"بابامحمدي عنايت اله(4844000)"</f>
        <v>بابامحمدي عنايت اله(4844000)</v>
      </c>
      <c r="V934" s="1">
        <v>951700311</v>
      </c>
      <c r="W934" s="1">
        <v>951700311</v>
      </c>
      <c r="X934" s="1" t="str">
        <f>"1395454586"</f>
        <v>1395454586</v>
      </c>
      <c r="Y934" s="1" t="str">
        <f>"95/11/03"</f>
        <v>95/11/03</v>
      </c>
      <c r="Z934" s="1" t="str">
        <f>"46199/710"</f>
        <v>46199/710</v>
      </c>
      <c r="AA934" s="1" t="str">
        <f>"راه روستائي -روكش"</f>
        <v>راه روستائي -روكش</v>
      </c>
      <c r="AB934" s="1" t="str">
        <f>"95/09/22"</f>
        <v>95/09/22</v>
      </c>
      <c r="AC934" s="1" t="str">
        <f>"خراسان رضوي"</f>
        <v>خراسان رضوي</v>
      </c>
      <c r="AD934" s="1" t="str">
        <f>"95/10/06"</f>
        <v>95/10/06</v>
      </c>
      <c r="AE934" s="1" t="str">
        <f t="shared" si="238"/>
        <v>اختتام</v>
      </c>
      <c r="AF934" s="1" t="str">
        <f>""</f>
        <v/>
      </c>
      <c r="AG934" s="1" t="str">
        <f>""</f>
        <v/>
      </c>
      <c r="AH934" s="1" t="str">
        <f>""</f>
        <v/>
      </c>
      <c r="AI934" s="1" t="str">
        <f>""</f>
        <v/>
      </c>
      <c r="AJ934" s="1" t="str">
        <f>""</f>
        <v/>
      </c>
      <c r="AK934" s="1" t="str">
        <f>""</f>
        <v/>
      </c>
    </row>
    <row r="935" spans="1:37" x14ac:dyDescent="0.2">
      <c r="A935" s="1">
        <v>1500000</v>
      </c>
      <c r="B935" s="1">
        <v>951800007</v>
      </c>
      <c r="C935" s="1" t="str">
        <f>"تخليه -كرمانشاه -كمربندي شرقي جنب رودخانه قره سو-كارخانه آسفالت شركت جهادنصركرمانشاه"</f>
        <v>تخليه -كرمانشاه -كمربندي شرقي جنب رودخانه قره سو-كارخانه آسفالت شركت جهادنصركرمانشاه</v>
      </c>
      <c r="D935" s="1">
        <v>6050</v>
      </c>
      <c r="E935" s="1">
        <v>1500000</v>
      </c>
      <c r="F935" s="1">
        <v>95</v>
      </c>
      <c r="G935" s="1">
        <v>0</v>
      </c>
      <c r="H935" s="1" t="str">
        <f>"95/03/16"</f>
        <v>95/03/16</v>
      </c>
      <c r="I935" s="1" t="str">
        <f t="shared" si="239"/>
        <v>كيلوگرم</v>
      </c>
      <c r="J935" s="1" t="str">
        <f t="shared" si="252"/>
        <v>0000000091</v>
      </c>
      <c r="K935" s="1" t="str">
        <f t="shared" si="253"/>
        <v>قير  PG64-22</v>
      </c>
      <c r="L935" s="1">
        <v>100</v>
      </c>
      <c r="M935" s="1" t="str">
        <f t="shared" si="244"/>
        <v>مخازن قير اصفهان</v>
      </c>
      <c r="N935" s="1">
        <v>4039</v>
      </c>
      <c r="O935" s="1">
        <v>50030969</v>
      </c>
      <c r="P935" s="1" t="str">
        <f>"  جهاد نصركرمانشاه(2912047)"</f>
        <v xml:space="preserve">  جهاد نصركرمانشاه(2912047)</v>
      </c>
      <c r="Q935" s="1">
        <v>18</v>
      </c>
      <c r="R935" s="1" t="str">
        <f>"فروش داخلي تهران - وزارت راه - شرکت ساخت و توسعه راهها"</f>
        <v>فروش داخلي تهران - وزارت راه - شرکت ساخت و توسعه راهها</v>
      </c>
      <c r="S935" s="1" t="str">
        <f t="shared" si="240"/>
        <v>قرارداد فروش</v>
      </c>
      <c r="T935" s="1" t="str">
        <f t="shared" si="241"/>
        <v>ندارد</v>
      </c>
      <c r="U935" s="1" t="str">
        <f>"عظيمي محمد(2842015)"</f>
        <v>عظيمي محمد(2842015)</v>
      </c>
      <c r="V935" s="1">
        <v>951800007</v>
      </c>
      <c r="W935" s="1">
        <v>951800007</v>
      </c>
      <c r="X935" s="1" t="str">
        <f>"1395407686"</f>
        <v>1395407686</v>
      </c>
      <c r="Y935" s="1" t="str">
        <f>"95/03/16"</f>
        <v>95/03/16</v>
      </c>
      <c r="Z935" s="1" t="str">
        <f>"10263/510"</f>
        <v>10263/510</v>
      </c>
      <c r="AA935" s="1" t="str">
        <f>"شركت  ساخت وتوسعه راهها"</f>
        <v>شركت  ساخت وتوسعه راهها</v>
      </c>
      <c r="AB935" s="1" t="str">
        <f>"95/03/11"</f>
        <v>95/03/11</v>
      </c>
      <c r="AC935" s="1" t="str">
        <f>"استان كرمانشاه"</f>
        <v>استان كرمانشاه</v>
      </c>
      <c r="AD935" s="1" t="str">
        <f>"95/03/16"</f>
        <v>95/03/16</v>
      </c>
      <c r="AE935" s="1" t="str">
        <f t="shared" si="238"/>
        <v>اختتام</v>
      </c>
      <c r="AF935" s="1" t="str">
        <f>""</f>
        <v/>
      </c>
      <c r="AG935" s="1" t="str">
        <f>""</f>
        <v/>
      </c>
      <c r="AH935" s="1" t="str">
        <f>""</f>
        <v/>
      </c>
      <c r="AI935" s="1" t="str">
        <f>""</f>
        <v/>
      </c>
      <c r="AJ935" s="1" t="str">
        <f>""</f>
        <v/>
      </c>
      <c r="AK935" s="1" t="str">
        <f>""</f>
        <v/>
      </c>
    </row>
    <row r="936" spans="1:37" x14ac:dyDescent="0.2">
      <c r="A936" s="1">
        <v>750000</v>
      </c>
      <c r="B936" s="1">
        <v>951800048</v>
      </c>
      <c r="C936" s="1" t="str">
        <f>"تخليه -كرمانشاه -كمربندي شرقي جنب رودخانه قره سو-كارخانه آسفالت شركت جهادنصركرمانشاه"</f>
        <v>تخليه -كرمانشاه -كمربندي شرقي جنب رودخانه قره سو-كارخانه آسفالت شركت جهادنصركرمانشاه</v>
      </c>
      <c r="D936" s="1">
        <v>6726</v>
      </c>
      <c r="E936" s="1">
        <v>748960</v>
      </c>
      <c r="F936" s="1">
        <v>95</v>
      </c>
      <c r="G936" s="1">
        <v>1040</v>
      </c>
      <c r="H936" s="1" t="str">
        <f>"95/05/23"</f>
        <v>95/05/23</v>
      </c>
      <c r="I936" s="1" t="str">
        <f t="shared" si="239"/>
        <v>كيلوگرم</v>
      </c>
      <c r="J936" s="1" t="str">
        <f t="shared" si="252"/>
        <v>0000000091</v>
      </c>
      <c r="K936" s="1" t="str">
        <f t="shared" si="253"/>
        <v>قير  PG64-22</v>
      </c>
      <c r="L936" s="1">
        <v>100</v>
      </c>
      <c r="M936" s="1" t="str">
        <f t="shared" si="244"/>
        <v>مخازن قير اصفهان</v>
      </c>
      <c r="N936" s="1">
        <v>4039</v>
      </c>
      <c r="O936" s="1">
        <v>50031490</v>
      </c>
      <c r="P936" s="1" t="str">
        <f>"  جهاد نصركرمانشاه(2912047)"</f>
        <v xml:space="preserve">  جهاد نصركرمانشاه(2912047)</v>
      </c>
      <c r="Q936" s="1">
        <v>18</v>
      </c>
      <c r="R936" s="1" t="str">
        <f>"فروش داخلي تهران - وزارت راه - شرکت ساخت و توسعه راهها"</f>
        <v>فروش داخلي تهران - وزارت راه - شرکت ساخت و توسعه راهها</v>
      </c>
      <c r="S936" s="1" t="str">
        <f t="shared" si="240"/>
        <v>قرارداد فروش</v>
      </c>
      <c r="T936" s="1" t="str">
        <f t="shared" si="241"/>
        <v>ندارد</v>
      </c>
      <c r="U936" s="1" t="str">
        <f>"عظيمي محمد(2842015)"</f>
        <v>عظيمي محمد(2842015)</v>
      </c>
      <c r="V936" s="1">
        <v>951800048</v>
      </c>
      <c r="W936" s="1">
        <v>951800048</v>
      </c>
      <c r="X936" s="1" t="str">
        <f>"1395421992"</f>
        <v>1395421992</v>
      </c>
      <c r="Y936" s="1" t="str">
        <f>"95/05/23"</f>
        <v>95/05/23</v>
      </c>
      <c r="Z936" s="1" t="str">
        <f>"21619/510"</f>
        <v>21619/510</v>
      </c>
      <c r="AA936" s="1" t="str">
        <f>"شركت  ساخت وتوسعه راهها"</f>
        <v>شركت  ساخت وتوسعه راهها</v>
      </c>
      <c r="AB936" s="1" t="str">
        <f>"95/05/16"</f>
        <v>95/05/16</v>
      </c>
      <c r="AC936" s="1" t="str">
        <f>"استان كرمانشاه"</f>
        <v>استان كرمانشاه</v>
      </c>
      <c r="AD936" s="1" t="str">
        <f>"95/05/18"</f>
        <v>95/05/18</v>
      </c>
      <c r="AE936" s="1" t="str">
        <f t="shared" si="238"/>
        <v>اختتام</v>
      </c>
      <c r="AF936" s="1" t="str">
        <f>""</f>
        <v/>
      </c>
      <c r="AG936" s="1" t="str">
        <f>""</f>
        <v/>
      </c>
      <c r="AH936" s="1" t="str">
        <f>""</f>
        <v/>
      </c>
      <c r="AI936" s="1" t="str">
        <f>""</f>
        <v/>
      </c>
      <c r="AJ936" s="1" t="str">
        <f>""</f>
        <v/>
      </c>
      <c r="AK936" s="1" t="str">
        <f>""</f>
        <v/>
      </c>
    </row>
    <row r="937" spans="1:37" x14ac:dyDescent="0.2">
      <c r="A937" s="1">
        <v>750000</v>
      </c>
      <c r="B937" s="1">
        <v>951800027</v>
      </c>
      <c r="C937" s="1" t="str">
        <f>"تخليه -ياسوج کارخانه آسفالت جوکار"</f>
        <v>تخليه -ياسوج کارخانه آسفالت جوکار</v>
      </c>
      <c r="D937" s="1">
        <v>6250</v>
      </c>
      <c r="E937" s="1">
        <v>748920</v>
      </c>
      <c r="F937" s="1">
        <v>95</v>
      </c>
      <c r="G937" s="1">
        <v>1080</v>
      </c>
      <c r="H937" s="1" t="str">
        <f>"95/04/12"</f>
        <v>95/04/12</v>
      </c>
      <c r="I937" s="1" t="str">
        <f t="shared" si="239"/>
        <v>كيلوگرم</v>
      </c>
      <c r="J937" s="1" t="str">
        <f t="shared" si="252"/>
        <v>0000000091</v>
      </c>
      <c r="K937" s="1" t="str">
        <f t="shared" si="253"/>
        <v>قير  PG64-22</v>
      </c>
      <c r="L937" s="1">
        <v>100</v>
      </c>
      <c r="M937" s="1" t="str">
        <f t="shared" si="244"/>
        <v>مخازن قير اصفهان</v>
      </c>
      <c r="N937" s="1">
        <v>9131</v>
      </c>
      <c r="O937" s="1">
        <v>50031178</v>
      </c>
      <c r="P937" s="1" t="str">
        <f>"  عمراني وصنعتي پارس گرما"</f>
        <v xml:space="preserve">  عمراني وصنعتي پارس گرما</v>
      </c>
      <c r="Q937" s="1">
        <v>18</v>
      </c>
      <c r="R937" s="1" t="str">
        <f>"فروش داخلي تهران - وزارت راه - شرکت ساخت و توسعه راهها"</f>
        <v>فروش داخلي تهران - وزارت راه - شرکت ساخت و توسعه راهها</v>
      </c>
      <c r="S937" s="1" t="str">
        <f t="shared" si="240"/>
        <v>قرارداد فروش</v>
      </c>
      <c r="T937" s="1" t="str">
        <f t="shared" si="241"/>
        <v>ندارد</v>
      </c>
      <c r="U937" s="1" t="str">
        <f>"افناني اسفندآبادي سعيد(4844002)"</f>
        <v>افناني اسفندآبادي سعيد(4844002)</v>
      </c>
      <c r="V937" s="1">
        <v>951800027</v>
      </c>
      <c r="W937" s="1">
        <v>951800027</v>
      </c>
      <c r="X937" s="1" t="str">
        <f>"1395412598"</f>
        <v>1395412598</v>
      </c>
      <c r="Y937" s="1" t="str">
        <f>"95/04/12"</f>
        <v>95/04/12</v>
      </c>
      <c r="Z937" s="1" t="str">
        <f>"14892/510"</f>
        <v>14892/510</v>
      </c>
      <c r="AA937" s="1" t="str">
        <f>"شركت  ساخت وتوسعه راهها"</f>
        <v>شركت  ساخت وتوسعه راهها</v>
      </c>
      <c r="AB937" s="1" t="str">
        <f>"95/04/08"</f>
        <v>95/04/08</v>
      </c>
      <c r="AC937" s="1" t="str">
        <f>"كهكيلويه و بوير احمد"</f>
        <v>كهكيلويه و بوير احمد</v>
      </c>
      <c r="AD937" s="1" t="str">
        <f>"95/04/12"</f>
        <v>95/04/12</v>
      </c>
      <c r="AE937" s="1" t="str">
        <f t="shared" si="238"/>
        <v>اختتام</v>
      </c>
      <c r="AF937" s="1" t="str">
        <f>""</f>
        <v/>
      </c>
      <c r="AG937" s="1" t="str">
        <f>""</f>
        <v/>
      </c>
      <c r="AH937" s="1" t="str">
        <f>""</f>
        <v/>
      </c>
      <c r="AI937" s="1" t="str">
        <f>""</f>
        <v/>
      </c>
      <c r="AJ937" s="1" t="str">
        <f>""</f>
        <v/>
      </c>
      <c r="AK937" s="1" t="str">
        <f>""</f>
        <v/>
      </c>
    </row>
    <row r="938" spans="1:37" x14ac:dyDescent="0.2">
      <c r="A938" s="1">
        <v>500000</v>
      </c>
      <c r="B938" s="1">
        <v>951100018</v>
      </c>
      <c r="C938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938" s="1">
        <v>5650</v>
      </c>
      <c r="E938" s="1">
        <v>500000</v>
      </c>
      <c r="F938" s="1">
        <v>95</v>
      </c>
      <c r="G938" s="1">
        <v>0</v>
      </c>
      <c r="H938" s="1" t="str">
        <f>"95/01/31"</f>
        <v>95/01/31</v>
      </c>
      <c r="I938" s="1" t="str">
        <f t="shared" si="239"/>
        <v>كيلوگرم</v>
      </c>
      <c r="J938" s="1" t="str">
        <f t="shared" si="252"/>
        <v>0000000091</v>
      </c>
      <c r="K938" s="1" t="str">
        <f t="shared" si="253"/>
        <v>قير  PG64-22</v>
      </c>
      <c r="L938" s="1">
        <v>100</v>
      </c>
      <c r="M938" s="1" t="str">
        <f t="shared" si="244"/>
        <v>مخازن قير اصفهان</v>
      </c>
      <c r="N938" s="1">
        <v>9143</v>
      </c>
      <c r="O938" s="1">
        <v>50030598</v>
      </c>
      <c r="P938" s="1" t="str">
        <f>"  بتن پيكر زاگرس"</f>
        <v xml:space="preserve">  بتن پيكر زاگرس</v>
      </c>
      <c r="Q938" s="1">
        <v>11</v>
      </c>
      <c r="R938" s="1" t="str">
        <f>"فروش داخلي تهران - بورس"</f>
        <v>فروش داخلي تهران - بورس</v>
      </c>
      <c r="S938" s="1" t="str">
        <f t="shared" si="240"/>
        <v>قرارداد فروش</v>
      </c>
      <c r="T938" s="1" t="str">
        <f t="shared" si="241"/>
        <v>ندارد</v>
      </c>
      <c r="U938" s="1" t="str">
        <f>"افراسيابي كيومرث(2842031)"</f>
        <v>افراسيابي كيومرث(2842031)</v>
      </c>
      <c r="V938" s="1">
        <v>951100018</v>
      </c>
      <c r="W938" s="1">
        <v>951100018</v>
      </c>
      <c r="X938" s="1" t="str">
        <f>"1395400135"</f>
        <v>1395400135</v>
      </c>
      <c r="Y938" s="1" t="str">
        <f>"95/01/31"</f>
        <v>95/01/31</v>
      </c>
      <c r="Z938" s="1" t="str">
        <f>"150"</f>
        <v>150</v>
      </c>
      <c r="AA938" s="1" t="str">
        <f>"وزارت راه و ترابري-استانها"</f>
        <v>وزارت راه و ترابري-استانها</v>
      </c>
      <c r="AB938" s="1" t="str">
        <f>"95/01/28"</f>
        <v>95/01/28</v>
      </c>
      <c r="AC938" s="1" t="str">
        <f>"استان كرمانشاه"</f>
        <v>استان كرمانشاه</v>
      </c>
      <c r="AD938" s="1" t="str">
        <f>"95/01/30"</f>
        <v>95/01/30</v>
      </c>
      <c r="AE938" s="1" t="str">
        <f>"تاييدشده"</f>
        <v>تاييدشده</v>
      </c>
      <c r="AF938" s="1" t="str">
        <f>""</f>
        <v/>
      </c>
      <c r="AG938" s="1" t="str">
        <f>""</f>
        <v/>
      </c>
      <c r="AH938" s="1" t="str">
        <f>""</f>
        <v/>
      </c>
      <c r="AI938" s="1" t="str">
        <f>""</f>
        <v/>
      </c>
      <c r="AJ938" s="1" t="str">
        <f>""</f>
        <v/>
      </c>
      <c r="AK938" s="1" t="str">
        <f>""</f>
        <v/>
      </c>
    </row>
    <row r="939" spans="1:37" x14ac:dyDescent="0.2">
      <c r="A939" s="1">
        <v>500000</v>
      </c>
      <c r="B939" s="1">
        <v>951100103</v>
      </c>
      <c r="C939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939" s="1">
        <v>6726</v>
      </c>
      <c r="E939" s="1">
        <v>500000</v>
      </c>
      <c r="F939" s="1">
        <v>95</v>
      </c>
      <c r="G939" s="1">
        <v>0</v>
      </c>
      <c r="H939" s="1" t="str">
        <f>"95/05/25"</f>
        <v>95/05/25</v>
      </c>
      <c r="I939" s="1" t="str">
        <f t="shared" si="239"/>
        <v>كيلوگرم</v>
      </c>
      <c r="J939" s="1" t="str">
        <f t="shared" si="252"/>
        <v>0000000091</v>
      </c>
      <c r="K939" s="1" t="str">
        <f t="shared" si="253"/>
        <v>قير  PG64-22</v>
      </c>
      <c r="L939" s="1">
        <v>100</v>
      </c>
      <c r="M939" s="1" t="str">
        <f t="shared" si="244"/>
        <v>مخازن قير اصفهان</v>
      </c>
      <c r="N939" s="1">
        <v>9143</v>
      </c>
      <c r="O939" s="1">
        <v>50031534</v>
      </c>
      <c r="P939" s="1" t="str">
        <f>"  بتن پيكر زاگرس"</f>
        <v xml:space="preserve">  بتن پيكر زاگرس</v>
      </c>
      <c r="Q939" s="1">
        <v>11</v>
      </c>
      <c r="R939" s="1" t="str">
        <f>"فروش داخلي تهران - بورس"</f>
        <v>فروش داخلي تهران - بورس</v>
      </c>
      <c r="S939" s="1" t="str">
        <f t="shared" si="240"/>
        <v>قرارداد فروش</v>
      </c>
      <c r="T939" s="1" t="str">
        <f t="shared" si="241"/>
        <v>ندارد</v>
      </c>
      <c r="U939" s="1" t="str">
        <f>"تعاوني جم گستر (1001 ج 89)"</f>
        <v>تعاوني جم گستر (1001 ج 89)</v>
      </c>
      <c r="V939" s="1">
        <v>951100103</v>
      </c>
      <c r="W939" s="1">
        <v>951100103</v>
      </c>
      <c r="X939" s="1" t="str">
        <f>"1395423489"</f>
        <v>1395423489</v>
      </c>
      <c r="Y939" s="1" t="str">
        <f>"95/05/24"</f>
        <v>95/05/24</v>
      </c>
      <c r="Z939" s="1" t="str">
        <f>"95-34545"</f>
        <v>95-34545</v>
      </c>
      <c r="AA939" s="1" t="str">
        <f>"آسفالت سازان"</f>
        <v>آسفالت سازان</v>
      </c>
      <c r="AB939" s="1" t="str">
        <f>"95/05/24"</f>
        <v>95/05/24</v>
      </c>
      <c r="AC939" s="1" t="str">
        <f>"استان كرمانشاه"</f>
        <v>استان كرمانشاه</v>
      </c>
      <c r="AD939" s="1" t="str">
        <f>"95/05/23"</f>
        <v>95/05/23</v>
      </c>
      <c r="AE939" s="1" t="str">
        <f>"تاييدشده"</f>
        <v>تاييدشده</v>
      </c>
      <c r="AF939" s="1" t="str">
        <f>""</f>
        <v/>
      </c>
      <c r="AG939" s="1" t="str">
        <f>""</f>
        <v/>
      </c>
      <c r="AH939" s="1" t="str">
        <f>""</f>
        <v/>
      </c>
      <c r="AI939" s="1" t="str">
        <f>""</f>
        <v/>
      </c>
      <c r="AJ939" s="1" t="str">
        <f>""</f>
        <v/>
      </c>
      <c r="AK939" s="1" t="str">
        <f>""</f>
        <v/>
      </c>
    </row>
    <row r="940" spans="1:37" x14ac:dyDescent="0.2">
      <c r="A940" s="1">
        <v>20180</v>
      </c>
      <c r="B940" s="1">
        <v>951900179</v>
      </c>
      <c r="C940" s="1" t="str">
        <f>"تخليه كرمانشاه كيلومتر5جاده كرندغرب به اسلام آبادمقابل روستاي لسم كارخانه همياردالاهو"</f>
        <v>تخليه كرمانشاه كيلومتر5جاده كرندغرب به اسلام آبادمقابل روستاي لسم كارخانه همياردالاهو</v>
      </c>
      <c r="D940" s="1">
        <v>8323</v>
      </c>
      <c r="E940" s="1">
        <v>19520</v>
      </c>
      <c r="F940" s="1">
        <v>95</v>
      </c>
      <c r="G940" s="1">
        <v>660</v>
      </c>
      <c r="H940" s="1" t="str">
        <f>"95/08/06"</f>
        <v>95/08/06</v>
      </c>
      <c r="I940" s="1" t="str">
        <f t="shared" si="239"/>
        <v>كيلوگرم</v>
      </c>
      <c r="J940" s="1" t="str">
        <f t="shared" si="252"/>
        <v>0000000091</v>
      </c>
      <c r="K940" s="1" t="str">
        <f t="shared" si="253"/>
        <v>قير  PG64-22</v>
      </c>
      <c r="L940" s="1">
        <v>100</v>
      </c>
      <c r="M940" s="1" t="str">
        <f t="shared" si="244"/>
        <v>مخازن قير اصفهان</v>
      </c>
      <c r="N940" s="1">
        <v>9382</v>
      </c>
      <c r="O940" s="1">
        <v>50032319</v>
      </c>
      <c r="P940" s="1" t="str">
        <f>"  مهندسين ساگارت سيوند"</f>
        <v xml:space="preserve">  مهندسين ساگارت سيوند</v>
      </c>
      <c r="Q940" s="1">
        <v>19</v>
      </c>
      <c r="R9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0" s="1" t="str">
        <f t="shared" si="240"/>
        <v>قرارداد فروش</v>
      </c>
      <c r="T940" s="1" t="str">
        <f t="shared" si="241"/>
        <v>ندارد</v>
      </c>
      <c r="U940" s="1" t="str">
        <f>"شمسيان پور حبيب اله(2842034)"</f>
        <v>شمسيان پور حبيب اله(2842034)</v>
      </c>
      <c r="V940" s="1">
        <v>951900179</v>
      </c>
      <c r="W940" s="1">
        <v>951900179</v>
      </c>
      <c r="X940" s="1" t="str">
        <f>"1395434116"</f>
        <v>1395434116</v>
      </c>
      <c r="Y940" s="1" t="str">
        <f>"95/08/06"</f>
        <v>95/08/06</v>
      </c>
      <c r="Z940" s="1" t="str">
        <f>"31850/510"</f>
        <v>31850/510</v>
      </c>
      <c r="AA940" s="1" t="str">
        <f>"سازمان راهداري وحمل نقل جاده اي"</f>
        <v>سازمان راهداري وحمل نقل جاده اي</v>
      </c>
      <c r="AB940" s="1" t="str">
        <f>"95/07/04"</f>
        <v>95/07/04</v>
      </c>
      <c r="AC940" s="1" t="str">
        <f>"استان كرمانشاه"</f>
        <v>استان كرمانشاه</v>
      </c>
      <c r="AD940" s="1" t="str">
        <f>"95/07/06"</f>
        <v>95/07/06</v>
      </c>
      <c r="AE940" s="1" t="str">
        <f t="shared" ref="AE940:AE971" si="254">"اختتام"</f>
        <v>اختتام</v>
      </c>
      <c r="AF940" s="1" t="str">
        <f>""</f>
        <v/>
      </c>
      <c r="AG940" s="1" t="str">
        <f>""</f>
        <v/>
      </c>
      <c r="AH940" s="1" t="str">
        <f>""</f>
        <v/>
      </c>
      <c r="AI940" s="1" t="str">
        <f>""</f>
        <v/>
      </c>
      <c r="AJ940" s="1" t="str">
        <f>""</f>
        <v/>
      </c>
      <c r="AK940" s="1" t="str">
        <f>""</f>
        <v/>
      </c>
    </row>
    <row r="941" spans="1:37" x14ac:dyDescent="0.2">
      <c r="A941" s="1">
        <v>400000</v>
      </c>
      <c r="B941" s="1">
        <v>951900079</v>
      </c>
      <c r="C941" s="1" t="str">
        <f>"تخليه-لرستان -دورودكيلومتر12جاده دورود-بروجرد-كارخانه آسفالت راه گستراحسان بروجرد"</f>
        <v>تخليه-لرستان -دورودكيلومتر12جاده دورود-بروجرد-كارخانه آسفالت راه گستراحسان بروجرد</v>
      </c>
      <c r="D941" s="1">
        <v>6726</v>
      </c>
      <c r="E941" s="1">
        <v>400000</v>
      </c>
      <c r="F941" s="1">
        <v>95</v>
      </c>
      <c r="G941" s="1">
        <v>0</v>
      </c>
      <c r="H941" s="1" t="str">
        <f>"95/05/11"</f>
        <v>95/05/11</v>
      </c>
      <c r="I941" s="1" t="str">
        <f t="shared" si="239"/>
        <v>كيلوگرم</v>
      </c>
      <c r="J941" s="1" t="str">
        <f t="shared" si="252"/>
        <v>0000000091</v>
      </c>
      <c r="K941" s="1" t="str">
        <f t="shared" si="253"/>
        <v>قير  PG64-22</v>
      </c>
      <c r="L941" s="1">
        <v>100</v>
      </c>
      <c r="M941" s="1" t="str">
        <f t="shared" si="244"/>
        <v>مخازن قير اصفهان</v>
      </c>
      <c r="N941" s="1">
        <v>9480</v>
      </c>
      <c r="O941" s="1">
        <v>50031393</v>
      </c>
      <c r="P941" s="1" t="str">
        <f>"  راه گستراحسان بروجرد"</f>
        <v xml:space="preserve">  راه گستراحسان بروجرد</v>
      </c>
      <c r="Q941" s="1">
        <v>19</v>
      </c>
      <c r="R9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1" s="1" t="str">
        <f t="shared" si="240"/>
        <v>قرارداد فروش</v>
      </c>
      <c r="T941" s="1" t="str">
        <f t="shared" si="241"/>
        <v>ندارد</v>
      </c>
      <c r="U941" s="1" t="str">
        <f>"ريسماني حسن(1007ج89)"</f>
        <v>ريسماني حسن(1007ج89)</v>
      </c>
      <c r="V941" s="1">
        <v>951900079</v>
      </c>
      <c r="W941" s="1">
        <v>951900079</v>
      </c>
      <c r="X941" s="1" t="str">
        <f>"1395419802"</f>
        <v>1395419802</v>
      </c>
      <c r="Y941" s="1" t="str">
        <f>"95/05/11"</f>
        <v>95/05/11</v>
      </c>
      <c r="Z941" s="1" t="str">
        <f>"19971/510"</f>
        <v>19971/510</v>
      </c>
      <c r="AA941" s="1" t="str">
        <f>"سازمان راهداري وحمل نقل جاده اي"</f>
        <v>سازمان راهداري وحمل نقل جاده اي</v>
      </c>
      <c r="AB941" s="1" t="str">
        <f>"95/05/05"</f>
        <v>95/05/05</v>
      </c>
      <c r="AC941" s="1" t="str">
        <f>"لرستان"</f>
        <v>لرستان</v>
      </c>
      <c r="AD941" s="1" t="str">
        <f>"95/05/11"</f>
        <v>95/05/11</v>
      </c>
      <c r="AE941" s="1" t="str">
        <f t="shared" si="254"/>
        <v>اختتام</v>
      </c>
      <c r="AF941" s="1" t="str">
        <f>""</f>
        <v/>
      </c>
      <c r="AG941" s="1" t="str">
        <f>""</f>
        <v/>
      </c>
      <c r="AH941" s="1" t="str">
        <f>""</f>
        <v/>
      </c>
      <c r="AI941" s="1" t="str">
        <f>""</f>
        <v/>
      </c>
      <c r="AJ941" s="1" t="str">
        <f>""</f>
        <v/>
      </c>
      <c r="AK941" s="1" t="str">
        <f>""</f>
        <v/>
      </c>
    </row>
    <row r="942" spans="1:37" x14ac:dyDescent="0.2">
      <c r="A942" s="1">
        <v>414000</v>
      </c>
      <c r="B942" s="1">
        <v>951700042</v>
      </c>
      <c r="C942" s="1" t="str">
        <f>"تخليه -شهرستان چرام -كارخانه آسفالت شهرداري چرام"</f>
        <v>تخليه -شهرستان چرام -كارخانه آسفالت شهرداري چرام</v>
      </c>
      <c r="D942" s="1">
        <v>6050</v>
      </c>
      <c r="E942" s="1">
        <v>413700</v>
      </c>
      <c r="F942" s="1">
        <v>95</v>
      </c>
      <c r="G942" s="1">
        <v>300</v>
      </c>
      <c r="H942" s="1" t="str">
        <f>"95/03/25"</f>
        <v>95/03/25</v>
      </c>
      <c r="I942" s="1" t="str">
        <f t="shared" si="239"/>
        <v>كيلوگرم</v>
      </c>
      <c r="J942" s="1" t="str">
        <f t="shared" si="252"/>
        <v>0000000091</v>
      </c>
      <c r="K942" s="1" t="str">
        <f t="shared" si="253"/>
        <v>قير  PG64-22</v>
      </c>
      <c r="L942" s="1">
        <v>100</v>
      </c>
      <c r="M942" s="1" t="str">
        <f t="shared" si="244"/>
        <v>مخازن قير اصفهان</v>
      </c>
      <c r="N942" s="1">
        <v>11116</v>
      </c>
      <c r="O942" s="1">
        <v>50031045</v>
      </c>
      <c r="P942" s="1" t="str">
        <f>"  رهين ساخت پازنان"</f>
        <v xml:space="preserve">  رهين ساخت پازنان</v>
      </c>
      <c r="Q942" s="1">
        <v>17</v>
      </c>
      <c r="R942" s="1" t="str">
        <f>"فروش داخلي تهران - وزارت راه - راه روستايي - روکش"</f>
        <v>فروش داخلي تهران - وزارت راه - راه روستايي - روکش</v>
      </c>
      <c r="S942" s="1" t="str">
        <f t="shared" si="240"/>
        <v>قرارداد فروش</v>
      </c>
      <c r="T942" s="1" t="str">
        <f t="shared" si="241"/>
        <v>ندارد</v>
      </c>
      <c r="U942" s="1" t="str">
        <f>"غلام نجفي سيامك‌‌‌‌‌‌(1881082)"</f>
        <v>غلام نجفي سيامك‌‌‌‌‌‌(1881082)</v>
      </c>
      <c r="V942" s="1">
        <v>951700042</v>
      </c>
      <c r="W942" s="1">
        <v>951700042</v>
      </c>
      <c r="X942" s="1" t="str">
        <f>"1395409198"</f>
        <v>1395409198</v>
      </c>
      <c r="Y942" s="1" t="str">
        <f>"95/03/25"</f>
        <v>95/03/25</v>
      </c>
      <c r="Z942" s="1" t="str">
        <f>"68005/510"</f>
        <v>68005/510</v>
      </c>
      <c r="AA942" s="1" t="str">
        <f>"راه روستائي -روكش"</f>
        <v>راه روستائي -روكش</v>
      </c>
      <c r="AB942" s="1" t="str">
        <f>"94/12/11"</f>
        <v>94/12/11</v>
      </c>
      <c r="AC942" s="1" t="str">
        <f>"كهكيلويه و بوير احمد"</f>
        <v>كهكيلويه و بوير احمد</v>
      </c>
      <c r="AD942" s="1" t="str">
        <f>"95/03/25"</f>
        <v>95/03/25</v>
      </c>
      <c r="AE942" s="1" t="str">
        <f t="shared" si="254"/>
        <v>اختتام</v>
      </c>
      <c r="AF942" s="1" t="str">
        <f>""</f>
        <v/>
      </c>
      <c r="AG942" s="1" t="str">
        <f>""</f>
        <v/>
      </c>
      <c r="AH942" s="1" t="str">
        <f>""</f>
        <v/>
      </c>
      <c r="AI942" s="1" t="str">
        <f>""</f>
        <v/>
      </c>
      <c r="AJ942" s="1" t="str">
        <f>""</f>
        <v/>
      </c>
      <c r="AK942" s="1" t="str">
        <f>""</f>
        <v/>
      </c>
    </row>
    <row r="943" spans="1:37" x14ac:dyDescent="0.2">
      <c r="A943" s="1">
        <v>232000</v>
      </c>
      <c r="B943" s="1">
        <v>951400026</v>
      </c>
      <c r="C943" s="1" t="str">
        <f>"تخليه كرمانشاه كيلومتر25محورجوانرودبه ثلاث كارخانه آسفالت صفري"</f>
        <v>تخليه كرمانشاه كيلومتر25محورجوانرودبه ثلاث كارخانه آسفالت صفري</v>
      </c>
      <c r="D943" s="1">
        <v>6250</v>
      </c>
      <c r="E943" s="1">
        <v>231860</v>
      </c>
      <c r="F943" s="1">
        <v>95</v>
      </c>
      <c r="G943" s="1">
        <v>140</v>
      </c>
      <c r="H943" s="1" t="str">
        <f>"95/04/05"</f>
        <v>95/04/05</v>
      </c>
      <c r="I943" s="1" t="str">
        <f t="shared" si="239"/>
        <v>كيلوگرم</v>
      </c>
      <c r="J943" s="1" t="str">
        <f t="shared" si="252"/>
        <v>0000000091</v>
      </c>
      <c r="K943" s="1" t="str">
        <f t="shared" si="253"/>
        <v>قير  PG64-22</v>
      </c>
      <c r="L943" s="1">
        <v>100</v>
      </c>
      <c r="M943" s="1" t="str">
        <f t="shared" si="244"/>
        <v>مخازن قير اصفهان</v>
      </c>
      <c r="N943" s="1">
        <v>11122</v>
      </c>
      <c r="O943" s="1">
        <v>50031107</v>
      </c>
      <c r="P943" s="1" t="str">
        <f>"  اسكان عمران بيستون"</f>
        <v xml:space="preserve">  اسكان عمران بيستون</v>
      </c>
      <c r="Q943" s="1">
        <v>14</v>
      </c>
      <c r="R943" s="1" t="str">
        <f>"فروش داخلي - وزارت راه - حوزه راه روستايي ساخت"</f>
        <v>فروش داخلي - وزارت راه - حوزه راه روستايي ساخت</v>
      </c>
      <c r="S943" s="1" t="str">
        <f t="shared" si="240"/>
        <v>قرارداد فروش</v>
      </c>
      <c r="T943" s="1" t="str">
        <f t="shared" si="241"/>
        <v>ندارد</v>
      </c>
      <c r="U943" s="1" t="str">
        <f>"ميهن دوست عبداله(2842010)"</f>
        <v>ميهن دوست عبداله(2842010)</v>
      </c>
      <c r="V943" s="1">
        <v>951400026</v>
      </c>
      <c r="W943" s="1">
        <v>951400026</v>
      </c>
      <c r="X943" s="1" t="str">
        <f>"1395411207"</f>
        <v>1395411207</v>
      </c>
      <c r="Y943" s="1" t="str">
        <f>"95/04/05"</f>
        <v>95/04/05</v>
      </c>
      <c r="Z943" s="1" t="str">
        <f>"12661/510"</f>
        <v>12661/510</v>
      </c>
      <c r="AA943" s="1" t="str">
        <f>"راه وروستايي -ساخت"</f>
        <v>راه وروستايي -ساخت</v>
      </c>
      <c r="AB943" s="1" t="str">
        <f>"95/03/26"</f>
        <v>95/03/26</v>
      </c>
      <c r="AC943" s="1" t="str">
        <f>"استان كرمانشاه"</f>
        <v>استان كرمانشاه</v>
      </c>
      <c r="AD943" s="1" t="str">
        <f>"95/04/05"</f>
        <v>95/04/05</v>
      </c>
      <c r="AE943" s="1" t="str">
        <f t="shared" si="254"/>
        <v>اختتام</v>
      </c>
      <c r="AF943" s="1" t="str">
        <f>""</f>
        <v/>
      </c>
      <c r="AG943" s="1" t="str">
        <f>""</f>
        <v/>
      </c>
      <c r="AH943" s="1" t="str">
        <f>""</f>
        <v/>
      </c>
      <c r="AI943" s="1" t="str">
        <f>""</f>
        <v/>
      </c>
      <c r="AJ943" s="1" t="str">
        <f>""</f>
        <v/>
      </c>
      <c r="AK943" s="1" t="str">
        <f>""</f>
        <v/>
      </c>
    </row>
    <row r="944" spans="1:37" x14ac:dyDescent="0.2">
      <c r="A944" s="1">
        <v>657000</v>
      </c>
      <c r="B944" s="1">
        <v>951700172</v>
      </c>
      <c r="C944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944" s="1">
        <v>7176</v>
      </c>
      <c r="E944" s="1">
        <v>605720</v>
      </c>
      <c r="F944" s="1">
        <v>95</v>
      </c>
      <c r="G944" s="1">
        <v>51280</v>
      </c>
      <c r="H944" s="1" t="str">
        <f>"95/06/04"</f>
        <v>95/06/04</v>
      </c>
      <c r="I944" s="1" t="str">
        <f t="shared" si="239"/>
        <v>كيلوگرم</v>
      </c>
      <c r="J944" s="1" t="str">
        <f t="shared" si="252"/>
        <v>0000000091</v>
      </c>
      <c r="K944" s="1" t="str">
        <f t="shared" si="253"/>
        <v>قير  PG64-22</v>
      </c>
      <c r="L944" s="1">
        <v>100</v>
      </c>
      <c r="M944" s="1" t="str">
        <f t="shared" si="244"/>
        <v>مخازن قير اصفهان</v>
      </c>
      <c r="N944" s="1">
        <v>11163</v>
      </c>
      <c r="O944" s="1">
        <v>50031646</v>
      </c>
      <c r="P944" s="1" t="str">
        <f>"  ارتقاراه توس"</f>
        <v xml:space="preserve">  ارتقاراه توس</v>
      </c>
      <c r="Q944" s="1">
        <v>17</v>
      </c>
      <c r="R944" s="1" t="str">
        <f>"فروش داخلي تهران - وزارت راه - راه روستايي - روکش"</f>
        <v>فروش داخلي تهران - وزارت راه - راه روستايي - روکش</v>
      </c>
      <c r="S944" s="1" t="str">
        <f t="shared" si="240"/>
        <v>قرارداد فروش</v>
      </c>
      <c r="T944" s="1" t="str">
        <f t="shared" si="241"/>
        <v>ندارد</v>
      </c>
      <c r="U944" s="1" t="str">
        <f>"عزيزي صفر(1006ج 89)"</f>
        <v>عزيزي صفر(1006ج 89)</v>
      </c>
      <c r="V944" s="1">
        <v>951700172</v>
      </c>
      <c r="W944" s="1">
        <v>951700172</v>
      </c>
      <c r="X944" s="1" t="str">
        <f>"1395426744"</f>
        <v>1395426744</v>
      </c>
      <c r="Y944" s="1" t="str">
        <f>"95/06/04"</f>
        <v>95/06/04</v>
      </c>
      <c r="Z944" s="1" t="str">
        <f>"22194/510"</f>
        <v>22194/510</v>
      </c>
      <c r="AA944" s="1" t="str">
        <f>"راه روستائي -روكش"</f>
        <v>راه روستائي -روكش</v>
      </c>
      <c r="AB944" s="1" t="str">
        <f>"95/05/17"</f>
        <v>95/05/17</v>
      </c>
      <c r="AC944" s="1" t="str">
        <f>"خراسان جنوبي"</f>
        <v>خراسان جنوبي</v>
      </c>
      <c r="AD944" s="1" t="str">
        <f>"95/06/03"</f>
        <v>95/06/03</v>
      </c>
      <c r="AE944" s="1" t="str">
        <f t="shared" si="254"/>
        <v>اختتام</v>
      </c>
      <c r="AF944" s="1" t="str">
        <f>""</f>
        <v/>
      </c>
      <c r="AG944" s="1" t="str">
        <f>""</f>
        <v/>
      </c>
      <c r="AH944" s="1" t="str">
        <f>""</f>
        <v/>
      </c>
      <c r="AI944" s="1" t="str">
        <f>""</f>
        <v/>
      </c>
      <c r="AJ944" s="1" t="str">
        <f>""</f>
        <v/>
      </c>
      <c r="AK944" s="1" t="str">
        <f>""</f>
        <v/>
      </c>
    </row>
    <row r="945" spans="1:37" x14ac:dyDescent="0.2">
      <c r="A945" s="1">
        <v>1000000</v>
      </c>
      <c r="B945" s="1">
        <v>951600070</v>
      </c>
      <c r="C945" s="1" t="str">
        <f>"تخليه سيستان وبلوچستان زابل كيلومتر45جاده زابل نهبندان كارخانه آسفالت موسسه نصر"</f>
        <v>تخليه سيستان وبلوچستان زابل كيلومتر45جاده زابل نهبندان كارخانه آسفالت موسسه نصر</v>
      </c>
      <c r="D945" s="1">
        <v>9061</v>
      </c>
      <c r="E945" s="1">
        <v>552860</v>
      </c>
      <c r="F945" s="1">
        <v>95</v>
      </c>
      <c r="G945" s="1">
        <v>447140</v>
      </c>
      <c r="H945" s="1" t="str">
        <f>"95/10/13"</f>
        <v>95/10/13</v>
      </c>
      <c r="I945" s="1" t="str">
        <f t="shared" si="239"/>
        <v>كيلوگرم</v>
      </c>
      <c r="J945" s="1" t="str">
        <f t="shared" si="252"/>
        <v>0000000091</v>
      </c>
      <c r="K945" s="1" t="str">
        <f t="shared" si="253"/>
        <v>قير  PG64-22</v>
      </c>
      <c r="L945" s="1">
        <v>100</v>
      </c>
      <c r="M945" s="1" t="str">
        <f t="shared" si="244"/>
        <v>مخازن قير اصفهان</v>
      </c>
      <c r="N945" s="1">
        <v>11164</v>
      </c>
      <c r="O945" s="1">
        <v>50033267</v>
      </c>
      <c r="P945" s="1" t="str">
        <f>"  قرارگاه سازندگي خاتم الانبياء(ص )"</f>
        <v xml:space="preserve">  قرارگاه سازندگي خاتم الانبياء(ص )</v>
      </c>
      <c r="Q945" s="1">
        <v>16</v>
      </c>
      <c r="R945" s="1" t="str">
        <f>"فروش داخلي تهران - وزارت راه - معاونت اقتصاد"</f>
        <v>فروش داخلي تهران - وزارت راه - معاونت اقتصاد</v>
      </c>
      <c r="S945" s="1" t="str">
        <f t="shared" si="240"/>
        <v>قرارداد فروش</v>
      </c>
      <c r="T945" s="1" t="str">
        <f t="shared" si="241"/>
        <v>ندارد</v>
      </c>
      <c r="U945" s="1" t="str">
        <f>"ميرحسيني چاپارحقيقت كرمان(4844008)"</f>
        <v>ميرحسيني چاپارحقيقت كرمان(4844008)</v>
      </c>
      <c r="V945" s="1">
        <v>951600070</v>
      </c>
      <c r="W945" s="1">
        <v>951600070</v>
      </c>
      <c r="X945" s="1" t="str">
        <f>"1395456367"</f>
        <v>1395456367</v>
      </c>
      <c r="Y945" s="1" t="str">
        <f>"95/10/13"</f>
        <v>95/10/13</v>
      </c>
      <c r="Z945" s="1" t="str">
        <f>"42747/710"</f>
        <v>42747/710</v>
      </c>
      <c r="AA945" s="1" t="str">
        <f>"معاونت اقتصادوزارت راه وشهرسازي"</f>
        <v>معاونت اقتصادوزارت راه وشهرسازي</v>
      </c>
      <c r="AB945" s="1" t="str">
        <f>"95/09/03"</f>
        <v>95/09/03</v>
      </c>
      <c r="AC945" s="1" t="str">
        <f>"استان سيستان بلوچستان"</f>
        <v>استان سيستان بلوچستان</v>
      </c>
      <c r="AD945" s="1" t="str">
        <f>"95/10/13"</f>
        <v>95/10/13</v>
      </c>
      <c r="AE945" s="1" t="str">
        <f t="shared" si="254"/>
        <v>اختتام</v>
      </c>
      <c r="AF945" s="1" t="str">
        <f>""</f>
        <v/>
      </c>
      <c r="AG945" s="1" t="str">
        <f>""</f>
        <v/>
      </c>
      <c r="AH945" s="1" t="str">
        <f>""</f>
        <v/>
      </c>
      <c r="AI945" s="1" t="str">
        <f>""</f>
        <v/>
      </c>
      <c r="AJ945" s="1" t="str">
        <f>""</f>
        <v/>
      </c>
      <c r="AK945" s="1" t="str">
        <f>""</f>
        <v/>
      </c>
    </row>
    <row r="946" spans="1:37" x14ac:dyDescent="0.2">
      <c r="A946" s="1">
        <v>31320</v>
      </c>
      <c r="B946" s="1">
        <v>951800125</v>
      </c>
      <c r="C946" s="1" t="str">
        <f>"تخليه تهران كيلومتر78آزادراه حرم تاحرم شركت نفت و گازمحمديان"</f>
        <v>تخليه تهران كيلومتر78آزادراه حرم تاحرم شركت نفت و گازمحمديان</v>
      </c>
      <c r="D946" s="1">
        <v>9511</v>
      </c>
      <c r="E946" s="1">
        <v>30980</v>
      </c>
      <c r="F946" s="1">
        <v>95</v>
      </c>
      <c r="G946" s="1">
        <v>340</v>
      </c>
      <c r="H946" s="1" t="str">
        <f>"95/11/03"</f>
        <v>95/11/03</v>
      </c>
      <c r="I946" s="1" t="str">
        <f t="shared" si="239"/>
        <v>كيلوگرم</v>
      </c>
      <c r="J946" s="1" t="str">
        <f t="shared" si="252"/>
        <v>0000000091</v>
      </c>
      <c r="K946" s="1" t="str">
        <f t="shared" si="253"/>
        <v>قير  PG64-22</v>
      </c>
      <c r="L946" s="1">
        <v>100</v>
      </c>
      <c r="M946" s="1" t="str">
        <f t="shared" si="244"/>
        <v>مخازن قير اصفهان</v>
      </c>
      <c r="N946" s="1">
        <v>11164</v>
      </c>
      <c r="O946" s="1">
        <v>50033439</v>
      </c>
      <c r="P946" s="1" t="str">
        <f>"  قرارگاه سازندگي خاتم الانبياء(ص )"</f>
        <v xml:space="preserve">  قرارگاه سازندگي خاتم الانبياء(ص )</v>
      </c>
      <c r="Q946" s="1">
        <v>18</v>
      </c>
      <c r="R946" s="1" t="str">
        <f>"فروش داخلي تهران - وزارت راه - شرکت ساخت و توسعه راهها"</f>
        <v>فروش داخلي تهران - وزارت راه - شرکت ساخت و توسعه راهها</v>
      </c>
      <c r="S946" s="1" t="str">
        <f t="shared" si="240"/>
        <v>قرارداد فروش</v>
      </c>
      <c r="T946" s="1" t="str">
        <f t="shared" si="241"/>
        <v>ندارد</v>
      </c>
      <c r="U946" s="1" t="str">
        <f>"شيشه بر كريم(1841016)"</f>
        <v>شيشه بر كريم(1841016)</v>
      </c>
      <c r="V946" s="1">
        <v>951800125</v>
      </c>
      <c r="W946" s="1">
        <v>951800125</v>
      </c>
      <c r="X946" s="1" t="str">
        <f>"1395426731"</f>
        <v>1395426731</v>
      </c>
      <c r="Y946" s="1" t="str">
        <f>"95/11/03"</f>
        <v>95/11/03</v>
      </c>
      <c r="Z946" s="1" t="str">
        <f>"23826/510"</f>
        <v>23826/510</v>
      </c>
      <c r="AA946" s="1" t="str">
        <f>"شركت  ساخت وتوسعه راهها"</f>
        <v>شركت  ساخت وتوسعه راهها</v>
      </c>
      <c r="AB946" s="1" t="str">
        <f>"95/05/26"</f>
        <v>95/05/26</v>
      </c>
      <c r="AC946" s="1" t="str">
        <f>"استان تهران"</f>
        <v>استان تهران</v>
      </c>
      <c r="AD946" s="1" t="str">
        <f>"95/06/03"</f>
        <v>95/06/03</v>
      </c>
      <c r="AE946" s="1" t="str">
        <f t="shared" si="254"/>
        <v>اختتام</v>
      </c>
      <c r="AF946" s="1" t="str">
        <f>""</f>
        <v/>
      </c>
      <c r="AG946" s="1" t="str">
        <f>""</f>
        <v/>
      </c>
      <c r="AH946" s="1" t="str">
        <f>""</f>
        <v/>
      </c>
      <c r="AI946" s="1" t="str">
        <f>""</f>
        <v/>
      </c>
      <c r="AJ946" s="1" t="str">
        <f>""</f>
        <v/>
      </c>
      <c r="AK946" s="1" t="str">
        <f>""</f>
        <v/>
      </c>
    </row>
    <row r="947" spans="1:37" x14ac:dyDescent="0.2">
      <c r="A947" s="1">
        <v>300000</v>
      </c>
      <c r="B947" s="1">
        <v>951900161</v>
      </c>
      <c r="C947" s="1" t="str">
        <f>"تخليه اصفهان نجف آبادزرين سپاهان"</f>
        <v>تخليه اصفهان نجف آبادزرين سپاهان</v>
      </c>
      <c r="D947" s="1">
        <v>7276</v>
      </c>
      <c r="E947" s="1">
        <v>281700</v>
      </c>
      <c r="F947" s="1">
        <v>95</v>
      </c>
      <c r="G947" s="1">
        <v>18300</v>
      </c>
      <c r="H947" s="1" t="str">
        <f>"95/07/13"</f>
        <v>95/07/13</v>
      </c>
      <c r="I947" s="1" t="str">
        <f t="shared" si="239"/>
        <v>كيلوگرم</v>
      </c>
      <c r="J947" s="1" t="str">
        <f t="shared" si="252"/>
        <v>0000000091</v>
      </c>
      <c r="K947" s="1" t="str">
        <f t="shared" si="253"/>
        <v>قير  PG64-22</v>
      </c>
      <c r="L947" s="1">
        <v>100</v>
      </c>
      <c r="M947" s="1" t="str">
        <f t="shared" si="244"/>
        <v>مخازن قير اصفهان</v>
      </c>
      <c r="N947" s="1">
        <v>11198</v>
      </c>
      <c r="O947" s="1">
        <v>50032078</v>
      </c>
      <c r="P947" s="1" t="str">
        <f>"  استوارسازان اراك"</f>
        <v xml:space="preserve">  استوارسازان اراك</v>
      </c>
      <c r="Q947" s="1">
        <v>19</v>
      </c>
      <c r="R94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7" s="1" t="str">
        <f t="shared" si="240"/>
        <v>قرارداد فروش</v>
      </c>
      <c r="T947" s="1" t="str">
        <f t="shared" si="241"/>
        <v>ندارد</v>
      </c>
      <c r="U947" s="1" t="str">
        <f>"غلام نجفي سيامك‌‌‌‌‌‌(1881082)"</f>
        <v>غلام نجفي سيامك‌‌‌‌‌‌(1881082)</v>
      </c>
      <c r="V947" s="1">
        <v>951900161</v>
      </c>
      <c r="W947" s="1">
        <v>951900161</v>
      </c>
      <c r="X947" s="1" t="str">
        <f>"1395435603"</f>
        <v>1395435603</v>
      </c>
      <c r="Y947" s="1" t="str">
        <f>"95/07/13"</f>
        <v>95/07/13</v>
      </c>
      <c r="Z947" s="1" t="str">
        <f>"32938/510"</f>
        <v>32938/510</v>
      </c>
      <c r="AA947" s="1" t="str">
        <f>"سازمان راهداري وحمل نقل جاده اي"</f>
        <v>سازمان راهداري وحمل نقل جاده اي</v>
      </c>
      <c r="AB947" s="1" t="str">
        <f>"95/07/11"</f>
        <v>95/07/11</v>
      </c>
      <c r="AC947" s="1" t="str">
        <f>"استان اصفهان"</f>
        <v>استان اصفهان</v>
      </c>
      <c r="AD947" s="1" t="str">
        <f>"95/07/13"</f>
        <v>95/07/13</v>
      </c>
      <c r="AE947" s="1" t="str">
        <f t="shared" si="254"/>
        <v>اختتام</v>
      </c>
      <c r="AF947" s="1" t="str">
        <f>""</f>
        <v/>
      </c>
      <c r="AG947" s="1" t="str">
        <f>""</f>
        <v/>
      </c>
      <c r="AH947" s="1" t="str">
        <f>""</f>
        <v/>
      </c>
      <c r="AI947" s="1" t="str">
        <f>""</f>
        <v/>
      </c>
      <c r="AJ947" s="1" t="str">
        <f>""</f>
        <v/>
      </c>
      <c r="AK947" s="1" t="str">
        <f>""</f>
        <v/>
      </c>
    </row>
    <row r="948" spans="1:37" x14ac:dyDescent="0.2">
      <c r="A948" s="1">
        <v>1500000</v>
      </c>
      <c r="B948" s="1">
        <v>951900268</v>
      </c>
      <c r="C948" s="1" t="str">
        <f>"تخليه-يزد-کارخانه آسفالت سازمان همياري شهرداريهاي استان يزد"</f>
        <v>تخليه-يزد-کارخانه آسفالت سازمان همياري شهرداريهاي استان يزد</v>
      </c>
      <c r="D948" s="1">
        <v>8854</v>
      </c>
      <c r="E948" s="1">
        <v>1498280</v>
      </c>
      <c r="F948" s="1">
        <v>95</v>
      </c>
      <c r="G948" s="1">
        <v>1720</v>
      </c>
      <c r="H948" s="1" t="str">
        <f>"95/12/09"</f>
        <v>95/12/09</v>
      </c>
      <c r="I948" s="1" t="str">
        <f t="shared" si="239"/>
        <v>كيلوگرم</v>
      </c>
      <c r="J948" s="1" t="str">
        <f t="shared" si="252"/>
        <v>0000000091</v>
      </c>
      <c r="K948" s="1" t="str">
        <f t="shared" si="253"/>
        <v>قير  PG64-22</v>
      </c>
      <c r="L948" s="1">
        <v>100</v>
      </c>
      <c r="M948" s="1" t="str">
        <f t="shared" si="244"/>
        <v>مخازن قير اصفهان</v>
      </c>
      <c r="N948" s="1">
        <v>11270</v>
      </c>
      <c r="O948" s="1">
        <v>50033924</v>
      </c>
      <c r="P948" s="1" t="str">
        <f>"  اداره كل راهداري وحمل ونقل جاده اي يزد"</f>
        <v xml:space="preserve">  اداره كل راهداري وحمل ونقل جاده اي يزد</v>
      </c>
      <c r="Q948" s="1">
        <v>19</v>
      </c>
      <c r="R9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8" s="1" t="str">
        <f t="shared" si="240"/>
        <v>قرارداد فروش</v>
      </c>
      <c r="T948" s="1" t="str">
        <f t="shared" si="241"/>
        <v>ندارد</v>
      </c>
      <c r="U948" s="1" t="str">
        <f>"قانعي محمدرضا(1011ج89)"</f>
        <v>قانعي محمدرضا(1011ج89)</v>
      </c>
      <c r="V948" s="1">
        <v>951900268</v>
      </c>
      <c r="W948" s="1">
        <v>951900268</v>
      </c>
      <c r="X948" s="1" t="str">
        <f>"1395467971"</f>
        <v>1395467971</v>
      </c>
      <c r="Y948" s="1" t="str">
        <f>"95/12/09"</f>
        <v>95/12/09</v>
      </c>
      <c r="Z948" s="1" t="str">
        <f>"61962/710"</f>
        <v>61962/710</v>
      </c>
      <c r="AA948" s="1" t="str">
        <f>"سازمان راهداري وحمل نقل جاده اي"</f>
        <v>سازمان راهداري وحمل نقل جاده اي</v>
      </c>
      <c r="AB948" s="1" t="str">
        <f>"95/12/08"</f>
        <v>95/12/08</v>
      </c>
      <c r="AC948" s="1" t="str">
        <f>"استان يزد"</f>
        <v>استان يزد</v>
      </c>
      <c r="AD948" s="1" t="str">
        <f>"95/12/09"</f>
        <v>95/12/09</v>
      </c>
      <c r="AE948" s="1" t="str">
        <f t="shared" si="254"/>
        <v>اختتام</v>
      </c>
      <c r="AF948" s="1" t="str">
        <f>""</f>
        <v/>
      </c>
      <c r="AG948" s="1" t="str">
        <f>""</f>
        <v/>
      </c>
      <c r="AH948" s="1" t="str">
        <f>""</f>
        <v/>
      </c>
      <c r="AI948" s="1" t="str">
        <f>""</f>
        <v/>
      </c>
      <c r="AJ948" s="1" t="str">
        <f>""</f>
        <v/>
      </c>
      <c r="AK948" s="1" t="str">
        <f>""</f>
        <v/>
      </c>
    </row>
    <row r="949" spans="1:37" x14ac:dyDescent="0.2">
      <c r="A949" s="1">
        <v>350000</v>
      </c>
      <c r="B949" s="1">
        <v>951900285</v>
      </c>
      <c r="C949" s="1" t="str">
        <f>"تخليه-يزد-کارخانه آسفالت سازمان همياري شهرداريهاي استان يزد"</f>
        <v>تخليه-يزد-کارخانه آسفالت سازمان همياري شهرداريهاي استان يزد</v>
      </c>
      <c r="D949" s="1">
        <v>8854</v>
      </c>
      <c r="E949" s="1">
        <v>349300</v>
      </c>
      <c r="F949" s="1">
        <v>95</v>
      </c>
      <c r="G949" s="1">
        <v>700</v>
      </c>
      <c r="H949" s="1" t="str">
        <f>"95/12/16"</f>
        <v>95/12/16</v>
      </c>
      <c r="I949" s="1" t="str">
        <f t="shared" si="239"/>
        <v>كيلوگرم</v>
      </c>
      <c r="J949" s="1" t="str">
        <f t="shared" si="252"/>
        <v>0000000091</v>
      </c>
      <c r="K949" s="1" t="str">
        <f t="shared" si="253"/>
        <v>قير  PG64-22</v>
      </c>
      <c r="L949" s="1">
        <v>100</v>
      </c>
      <c r="M949" s="1" t="str">
        <f t="shared" si="244"/>
        <v>مخازن قير اصفهان</v>
      </c>
      <c r="N949" s="1">
        <v>11270</v>
      </c>
      <c r="O949" s="1">
        <v>50034024</v>
      </c>
      <c r="P949" s="1" t="str">
        <f>"  اداره كل راهداري وحمل ونقل جاده اي يزد"</f>
        <v xml:space="preserve">  اداره كل راهداري وحمل ونقل جاده اي يزد</v>
      </c>
      <c r="Q949" s="1">
        <v>19</v>
      </c>
      <c r="R9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9" s="1" t="str">
        <f t="shared" si="240"/>
        <v>قرارداد فروش</v>
      </c>
      <c r="T949" s="1" t="str">
        <f t="shared" si="241"/>
        <v>ندارد</v>
      </c>
      <c r="U949" s="1" t="str">
        <f>"قانعي محمدرضا(1011ج89)"</f>
        <v>قانعي محمدرضا(1011ج89)</v>
      </c>
      <c r="V949" s="1">
        <v>951900285</v>
      </c>
      <c r="W949" s="1">
        <v>951900285</v>
      </c>
      <c r="X949" s="1" t="str">
        <f>"1395469191"</f>
        <v>1395469191</v>
      </c>
      <c r="Y949" s="1" t="str">
        <f>"95/12/16"</f>
        <v>95/12/16</v>
      </c>
      <c r="Z949" s="1" t="str">
        <f>"63490/710"</f>
        <v>63490/710</v>
      </c>
      <c r="AA949" s="1" t="str">
        <f>"سازمان راهداري وحمل نقل جاده اي"</f>
        <v>سازمان راهداري وحمل نقل جاده اي</v>
      </c>
      <c r="AB949" s="1" t="str">
        <f>"95/12/14"</f>
        <v>95/12/14</v>
      </c>
      <c r="AC949" s="1" t="str">
        <f>"استان يزد"</f>
        <v>استان يزد</v>
      </c>
      <c r="AD949" s="1" t="str">
        <f>"95/12/16"</f>
        <v>95/12/16</v>
      </c>
      <c r="AE949" s="1" t="str">
        <f t="shared" si="254"/>
        <v>اختتام</v>
      </c>
      <c r="AF949" s="1" t="str">
        <f>""</f>
        <v/>
      </c>
      <c r="AG949" s="1" t="str">
        <f>""</f>
        <v/>
      </c>
      <c r="AH949" s="1" t="str">
        <f>""</f>
        <v/>
      </c>
      <c r="AI949" s="1" t="str">
        <f>""</f>
        <v/>
      </c>
      <c r="AJ949" s="1" t="str">
        <f>""</f>
        <v/>
      </c>
      <c r="AK949" s="1" t="str">
        <f>""</f>
        <v/>
      </c>
    </row>
    <row r="950" spans="1:37" x14ac:dyDescent="0.2">
      <c r="A950" s="1">
        <v>900000</v>
      </c>
      <c r="B950" s="1">
        <v>956100002</v>
      </c>
      <c r="C950" s="1" t="str">
        <f>"تخليه -خراسان رضوي سبزوار30كيلومتري جاده سبزوارشاهرودكارخانه آسفالت شهرداري"</f>
        <v>تخليه -خراسان رضوي سبزوار30كيلومتري جاده سبزوارشاهرودكارخانه آسفالت شهرداري</v>
      </c>
      <c r="D950" s="1">
        <v>6050</v>
      </c>
      <c r="E950" s="1">
        <v>896800</v>
      </c>
      <c r="F950" s="1">
        <v>95</v>
      </c>
      <c r="G950" s="1">
        <v>3200</v>
      </c>
      <c r="H950" s="1" t="str">
        <f>"95/03/23"</f>
        <v>95/03/23</v>
      </c>
      <c r="I950" s="1" t="str">
        <f t="shared" si="239"/>
        <v>كيلوگرم</v>
      </c>
      <c r="J950" s="1" t="str">
        <f>"0000000092"</f>
        <v>0000000092</v>
      </c>
      <c r="K950" s="1" t="str">
        <f>"قير  PG64-16"</f>
        <v>قير  PG64-16</v>
      </c>
      <c r="L950" s="1">
        <v>100</v>
      </c>
      <c r="M950" s="1" t="str">
        <f t="shared" si="244"/>
        <v>مخازن قير اصفهان</v>
      </c>
      <c r="N950" s="1">
        <v>8275</v>
      </c>
      <c r="O950" s="1">
        <v>50031008</v>
      </c>
      <c r="P950" s="1" t="str">
        <f>"  شهرداري سبزوار"</f>
        <v xml:space="preserve">  شهرداري سبزوار</v>
      </c>
      <c r="Q950" s="1">
        <v>61</v>
      </c>
      <c r="R950" s="1" t="str">
        <f>"فروش داخلي - وزارت راه - مسكن مهر"</f>
        <v>فروش داخلي - وزارت راه - مسكن مهر</v>
      </c>
      <c r="S950" s="1" t="str">
        <f t="shared" si="240"/>
        <v>قرارداد فروش</v>
      </c>
      <c r="T950" s="1" t="str">
        <f t="shared" si="241"/>
        <v>ندارد</v>
      </c>
      <c r="U950" s="1" t="str">
        <f>"رشيدي نيكو عظيم(1841003)"</f>
        <v>رشيدي نيكو عظيم(1841003)</v>
      </c>
      <c r="V950" s="1">
        <v>956100002</v>
      </c>
      <c r="W950" s="1">
        <v>956100002</v>
      </c>
      <c r="X950" s="1" t="str">
        <f>"1395408774"</f>
        <v>1395408774</v>
      </c>
      <c r="Y950" s="1" t="str">
        <f>"95/03/22"</f>
        <v>95/03/22</v>
      </c>
      <c r="Z950" s="1" t="str">
        <f>"69587/510"</f>
        <v>69587/510</v>
      </c>
      <c r="AA950" s="1" t="str">
        <f>"مسكن مهر-وزارت راه"</f>
        <v>مسكن مهر-وزارت راه</v>
      </c>
      <c r="AB950" s="1" t="str">
        <f>"94/12/19"</f>
        <v>94/12/19</v>
      </c>
      <c r="AC950" s="1" t="str">
        <f>"خراسان رضوي"</f>
        <v>خراسان رضوي</v>
      </c>
      <c r="AD950" s="1" t="str">
        <f>"95/03/22"</f>
        <v>95/03/22</v>
      </c>
      <c r="AE950" s="1" t="str">
        <f t="shared" si="254"/>
        <v>اختتام</v>
      </c>
      <c r="AF950" s="1" t="str">
        <f>""</f>
        <v/>
      </c>
      <c r="AG950" s="1" t="str">
        <f>""</f>
        <v/>
      </c>
      <c r="AH950" s="1" t="str">
        <f>""</f>
        <v/>
      </c>
      <c r="AI950" s="1" t="str">
        <f>""</f>
        <v/>
      </c>
      <c r="AJ950" s="1" t="str">
        <f>""</f>
        <v/>
      </c>
      <c r="AK950" s="1" t="str">
        <f>""</f>
        <v/>
      </c>
    </row>
    <row r="951" spans="1:37" x14ac:dyDescent="0.2">
      <c r="A951" s="1">
        <v>100000</v>
      </c>
      <c r="B951" s="1">
        <v>951900122</v>
      </c>
      <c r="C951" s="1" t="str">
        <f>"تخليه -لرستان -كوهدشت هليلان نرسيده به شهرتوحيد-كارخانه آسفالت  آج راه غرب"</f>
        <v>تخليه -لرستان -كوهدشت هليلان نرسيده به شهرتوحيد-كارخانه آسفالت  آج راه غرب</v>
      </c>
      <c r="D951" s="1">
        <v>6726</v>
      </c>
      <c r="E951" s="1">
        <v>99740</v>
      </c>
      <c r="F951" s="1">
        <v>95</v>
      </c>
      <c r="G951" s="1">
        <v>260</v>
      </c>
      <c r="H951" s="1" t="str">
        <f>"95/05/24"</f>
        <v>95/05/24</v>
      </c>
      <c r="I951" s="1" t="str">
        <f t="shared" si="239"/>
        <v>كيلوگرم</v>
      </c>
      <c r="J951" s="1" t="str">
        <f>"0000000092"</f>
        <v>0000000092</v>
      </c>
      <c r="K951" s="1" t="str">
        <f>"قير  PG64-16"</f>
        <v>قير  PG64-16</v>
      </c>
      <c r="L951" s="1">
        <v>100</v>
      </c>
      <c r="M951" s="1" t="str">
        <f t="shared" si="244"/>
        <v>مخازن قير اصفهان</v>
      </c>
      <c r="N951" s="1">
        <v>8293</v>
      </c>
      <c r="O951" s="1">
        <v>50031525</v>
      </c>
      <c r="P951" s="1" t="str">
        <f>"  آج راه غرب"</f>
        <v xml:space="preserve">  آج راه غرب</v>
      </c>
      <c r="Q951" s="1">
        <v>19</v>
      </c>
      <c r="R9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51" s="1" t="str">
        <f t="shared" si="240"/>
        <v>قرارداد فروش</v>
      </c>
      <c r="T951" s="1" t="str">
        <f t="shared" si="241"/>
        <v>ندارد</v>
      </c>
      <c r="U951" s="1" t="str">
        <f>"قره باغي مجيد(1871065)"</f>
        <v>قره باغي مجيد(1871065)</v>
      </c>
      <c r="V951" s="1">
        <v>951900122</v>
      </c>
      <c r="W951" s="1">
        <v>951900122</v>
      </c>
      <c r="X951" s="1" t="str">
        <f>"1395423490"</f>
        <v>1395423490</v>
      </c>
      <c r="Y951" s="1" t="str">
        <f>"95/05/24"</f>
        <v>95/05/24</v>
      </c>
      <c r="Z951" s="1" t="str">
        <f>"20832/510"</f>
        <v>20832/510</v>
      </c>
      <c r="AA951" s="1" t="str">
        <f>"سازمان راهداري وحمل نقل جاده اي"</f>
        <v>سازمان راهداري وحمل نقل جاده اي</v>
      </c>
      <c r="AB951" s="1" t="str">
        <f>"95/05/11"</f>
        <v>95/05/11</v>
      </c>
      <c r="AC951" s="1" t="str">
        <f>"لرستان"</f>
        <v>لرستان</v>
      </c>
      <c r="AD951" s="1" t="str">
        <f>"95/05/23"</f>
        <v>95/05/23</v>
      </c>
      <c r="AE951" s="1" t="str">
        <f t="shared" si="254"/>
        <v>اختتام</v>
      </c>
      <c r="AF951" s="1" t="str">
        <f>""</f>
        <v/>
      </c>
      <c r="AG951" s="1" t="str">
        <f>""</f>
        <v/>
      </c>
      <c r="AH951" s="1" t="str">
        <f>""</f>
        <v/>
      </c>
      <c r="AI951" s="1" t="str">
        <f>""</f>
        <v/>
      </c>
      <c r="AJ951" s="1" t="str">
        <f>""</f>
        <v/>
      </c>
      <c r="AK951" s="1" t="str">
        <f>""</f>
        <v/>
      </c>
    </row>
    <row r="952" spans="1:37" x14ac:dyDescent="0.2">
      <c r="A952" s="1">
        <v>880000</v>
      </c>
      <c r="B952" s="1">
        <v>951700361</v>
      </c>
      <c r="C952" s="1" t="str">
        <f>"تخليه سيستان وبلوچستان -زابل كارخانه آسفالت شهرداري زابل"</f>
        <v>تخليه سيستان وبلوچستان -زابل كارخانه آسفالت شهرداري زابل</v>
      </c>
      <c r="D952" s="1">
        <v>9068</v>
      </c>
      <c r="E952" s="1">
        <v>877320</v>
      </c>
      <c r="F952" s="1">
        <v>95</v>
      </c>
      <c r="G952" s="1">
        <v>2680</v>
      </c>
      <c r="H952" s="1" t="str">
        <f>"95/12/25"</f>
        <v>95/12/25</v>
      </c>
      <c r="I952" s="1" t="str">
        <f t="shared" si="239"/>
        <v>كيلوگرم</v>
      </c>
      <c r="J952" s="1" t="str">
        <f t="shared" ref="J952:J959" si="255">"0000000091"</f>
        <v>0000000091</v>
      </c>
      <c r="K952" s="1" t="str">
        <f t="shared" ref="K952:K959" si="256">"قير  PG64-22"</f>
        <v>قير  PG64-22</v>
      </c>
      <c r="L952" s="1">
        <v>100</v>
      </c>
      <c r="M952" s="1" t="str">
        <f t="shared" si="244"/>
        <v>مخازن قير اصفهان</v>
      </c>
      <c r="N952" s="1">
        <v>4095</v>
      </c>
      <c r="O952" s="1">
        <v>50034256</v>
      </c>
      <c r="P952" s="1" t="str">
        <f>"  اداره كل راه وشهرسازي سيستان وبلوچستان"</f>
        <v xml:space="preserve">  اداره كل راه وشهرسازي سيستان وبلوچستان</v>
      </c>
      <c r="Q952" s="1">
        <v>17</v>
      </c>
      <c r="R952" s="1" t="str">
        <f>"فروش داخلي تهران - وزارت راه - راه روستايي - روکش"</f>
        <v>فروش داخلي تهران - وزارت راه - راه روستايي - روکش</v>
      </c>
      <c r="S952" s="1" t="str">
        <f t="shared" si="240"/>
        <v>قرارداد فروش</v>
      </c>
      <c r="T952" s="1" t="str">
        <f t="shared" si="241"/>
        <v>ندارد</v>
      </c>
      <c r="U952" s="1" t="str">
        <f>"فتحي حميد(1901090)"</f>
        <v>فتحي حميد(1901090)</v>
      </c>
      <c r="V952" s="1">
        <v>951700361</v>
      </c>
      <c r="W952" s="1">
        <v>951700361</v>
      </c>
      <c r="X952" s="1" t="str">
        <f>"1395471036"</f>
        <v>1395471036</v>
      </c>
      <c r="Y952" s="1" t="str">
        <f>"95/12/25"</f>
        <v>95/12/25</v>
      </c>
      <c r="Z952" s="1" t="str">
        <f>"65672/710"</f>
        <v>65672/710</v>
      </c>
      <c r="AA952" s="1" t="str">
        <f>"راه روستائي -روكش"</f>
        <v>راه روستائي -روكش</v>
      </c>
      <c r="AB952" s="1" t="str">
        <f>"95/12/22"</f>
        <v>95/12/22</v>
      </c>
      <c r="AC952" s="1" t="str">
        <f>"استان سيستان بلوچستان"</f>
        <v>استان سيستان بلوچستان</v>
      </c>
      <c r="AD952" s="1" t="str">
        <f>"95/12/25"</f>
        <v>95/12/25</v>
      </c>
      <c r="AE952" s="1" t="str">
        <f t="shared" si="254"/>
        <v>اختتام</v>
      </c>
      <c r="AF952" s="1" t="str">
        <f>""</f>
        <v/>
      </c>
      <c r="AG952" s="1" t="str">
        <f>""</f>
        <v/>
      </c>
      <c r="AH952" s="1" t="str">
        <f>""</f>
        <v/>
      </c>
      <c r="AI952" s="1" t="str">
        <f>""</f>
        <v/>
      </c>
      <c r="AJ952" s="1" t="str">
        <f>""</f>
        <v/>
      </c>
      <c r="AK952" s="1" t="str">
        <f>""</f>
        <v/>
      </c>
    </row>
    <row r="953" spans="1:37" x14ac:dyDescent="0.2">
      <c r="A953" s="1">
        <v>172000</v>
      </c>
      <c r="B953" s="1">
        <v>951400152</v>
      </c>
      <c r="C953" s="1" t="str">
        <f>"تخليه -سيستان وبلوچستان -زابل كارخانه آسفالت عطارديان"</f>
        <v>تخليه -سيستان وبلوچستان -زابل كارخانه آسفالت عطارديان</v>
      </c>
      <c r="D953" s="1">
        <v>9354</v>
      </c>
      <c r="E953" s="1">
        <v>172000</v>
      </c>
      <c r="F953" s="1">
        <v>95</v>
      </c>
      <c r="G953" s="1">
        <v>0</v>
      </c>
      <c r="H953" s="1" t="str">
        <f>"95/11/27"</f>
        <v>95/11/27</v>
      </c>
      <c r="I953" s="1" t="str">
        <f t="shared" si="239"/>
        <v>كيلوگرم</v>
      </c>
      <c r="J953" s="1" t="str">
        <f t="shared" si="255"/>
        <v>0000000091</v>
      </c>
      <c r="K953" s="1" t="str">
        <f t="shared" si="256"/>
        <v>قير  PG64-22</v>
      </c>
      <c r="L953" s="1">
        <v>100</v>
      </c>
      <c r="M953" s="1" t="str">
        <f t="shared" si="244"/>
        <v>مخازن قير اصفهان</v>
      </c>
      <c r="N953" s="1">
        <v>4095</v>
      </c>
      <c r="O953" s="1">
        <v>50034282</v>
      </c>
      <c r="P953" s="1" t="str">
        <f>"  اداره كل راه وشهرسازي سيستان وبلوچستان"</f>
        <v xml:space="preserve">  اداره كل راه وشهرسازي سيستان وبلوچستان</v>
      </c>
      <c r="Q953" s="1">
        <v>14</v>
      </c>
      <c r="R953" s="1" t="str">
        <f>"فروش داخلي - وزارت راه - حوزه راه روستايي ساخت"</f>
        <v>فروش داخلي - وزارت راه - حوزه راه روستايي ساخت</v>
      </c>
      <c r="S953" s="1" t="str">
        <f t="shared" si="240"/>
        <v>قرارداد فروش</v>
      </c>
      <c r="T953" s="1" t="str">
        <f t="shared" si="241"/>
        <v>ندارد</v>
      </c>
      <c r="U953" s="1" t="str">
        <f>"ميرحسيني چاپارحقيقت كرمان(4844008)"</f>
        <v>ميرحسيني چاپارحقيقت كرمان(4844008)</v>
      </c>
      <c r="V953" s="1">
        <v>951400152</v>
      </c>
      <c r="W953" s="1">
        <v>951400152</v>
      </c>
      <c r="X953" s="1" t="str">
        <f>"1395464668"</f>
        <v>1395464668</v>
      </c>
      <c r="Y953" s="1" t="str">
        <f>"95/11/26"</f>
        <v>95/11/26</v>
      </c>
      <c r="Z953" s="1" t="str">
        <f>"56304/710"</f>
        <v>56304/710</v>
      </c>
      <c r="AA953" s="1" t="str">
        <f>"راه روستائي -روكش"</f>
        <v>راه روستائي -روكش</v>
      </c>
      <c r="AB953" s="1" t="str">
        <f>"95/11/12"</f>
        <v>95/11/12</v>
      </c>
      <c r="AC953" s="1" t="str">
        <f>"استان سيستان بلوچستان"</f>
        <v>استان سيستان بلوچستان</v>
      </c>
      <c r="AD953" s="1" t="str">
        <f>"95/11/25"</f>
        <v>95/11/25</v>
      </c>
      <c r="AE953" s="1" t="str">
        <f t="shared" si="254"/>
        <v>اختتام</v>
      </c>
      <c r="AF953" s="1" t="str">
        <f>""</f>
        <v/>
      </c>
      <c r="AG953" s="1" t="str">
        <f>""</f>
        <v/>
      </c>
      <c r="AH953" s="1" t="str">
        <f>""</f>
        <v/>
      </c>
      <c r="AI953" s="1" t="str">
        <f>""</f>
        <v/>
      </c>
      <c r="AJ953" s="1" t="str">
        <f>""</f>
        <v/>
      </c>
      <c r="AK953" s="1" t="str">
        <f>""</f>
        <v/>
      </c>
    </row>
    <row r="954" spans="1:37" x14ac:dyDescent="0.2">
      <c r="A954" s="1">
        <v>43000</v>
      </c>
      <c r="B954" s="1">
        <v>951400163</v>
      </c>
      <c r="C954" s="1" t="str">
        <f>"تخليه -سيستان وبلوچستان -زابل كارخانه آسفالت عطارديان"</f>
        <v>تخليه -سيستان وبلوچستان -زابل كارخانه آسفالت عطارديان</v>
      </c>
      <c r="D954" s="1">
        <v>9354</v>
      </c>
      <c r="E954" s="1">
        <v>43000</v>
      </c>
      <c r="F954" s="1">
        <v>95</v>
      </c>
      <c r="G954" s="1">
        <v>0</v>
      </c>
      <c r="H954" s="1" t="str">
        <f>"95/11/27"</f>
        <v>95/11/27</v>
      </c>
      <c r="I954" s="1" t="str">
        <f t="shared" si="239"/>
        <v>كيلوگرم</v>
      </c>
      <c r="J954" s="1" t="str">
        <f t="shared" si="255"/>
        <v>0000000091</v>
      </c>
      <c r="K954" s="1" t="str">
        <f t="shared" si="256"/>
        <v>قير  PG64-22</v>
      </c>
      <c r="L954" s="1">
        <v>100</v>
      </c>
      <c r="M954" s="1" t="str">
        <f t="shared" si="244"/>
        <v>مخازن قير اصفهان</v>
      </c>
      <c r="N954" s="1">
        <v>4095</v>
      </c>
      <c r="O954" s="1">
        <v>50034293</v>
      </c>
      <c r="P954" s="1" t="str">
        <f>"  اداره كل راه وشهرسازي سيستان وبلوچستان"</f>
        <v xml:space="preserve">  اداره كل راه وشهرسازي سيستان وبلوچستان</v>
      </c>
      <c r="Q954" s="1">
        <v>14</v>
      </c>
      <c r="R954" s="1" t="str">
        <f>"فروش داخلي - وزارت راه - حوزه راه روستايي ساخت"</f>
        <v>فروش داخلي - وزارت راه - حوزه راه روستايي ساخت</v>
      </c>
      <c r="S954" s="1" t="str">
        <f t="shared" si="240"/>
        <v>قرارداد فروش</v>
      </c>
      <c r="T954" s="1" t="str">
        <f t="shared" si="241"/>
        <v>ندارد</v>
      </c>
      <c r="U954" s="1" t="str">
        <f>"ميرحسيني چاپارحقيقت كرمان(4844008)"</f>
        <v>ميرحسيني چاپارحقيقت كرمان(4844008)</v>
      </c>
      <c r="V954" s="1">
        <v>951400163</v>
      </c>
      <c r="W954" s="1">
        <v>951400163</v>
      </c>
      <c r="X954" s="1" t="str">
        <f>"1395464668"</f>
        <v>1395464668</v>
      </c>
      <c r="Y954" s="1" t="str">
        <f>"95/11/26"</f>
        <v>95/11/26</v>
      </c>
      <c r="Z954" s="1" t="str">
        <f>"56337/710"</f>
        <v>56337/710</v>
      </c>
      <c r="AA954" s="1" t="str">
        <f>"راه وروستايي -ساخت"</f>
        <v>راه وروستايي -ساخت</v>
      </c>
      <c r="AB954" s="1" t="str">
        <f>"95/11/12"</f>
        <v>95/11/12</v>
      </c>
      <c r="AC954" s="1" t="str">
        <f>"استان سيستان بلوچستان"</f>
        <v>استان سيستان بلوچستان</v>
      </c>
      <c r="AD954" s="1" t="str">
        <f>"95/11/25"</f>
        <v>95/11/25</v>
      </c>
      <c r="AE954" s="1" t="str">
        <f t="shared" si="254"/>
        <v>اختتام</v>
      </c>
      <c r="AF954" s="1" t="str">
        <f>""</f>
        <v/>
      </c>
      <c r="AG954" s="1" t="str">
        <f>""</f>
        <v/>
      </c>
      <c r="AH954" s="1" t="str">
        <f>""</f>
        <v/>
      </c>
      <c r="AI954" s="1" t="str">
        <f>""</f>
        <v/>
      </c>
      <c r="AJ954" s="1" t="str">
        <f>""</f>
        <v/>
      </c>
      <c r="AK954" s="1" t="str">
        <f>""</f>
        <v/>
      </c>
    </row>
    <row r="955" spans="1:37" x14ac:dyDescent="0.2">
      <c r="A955" s="1">
        <v>483000</v>
      </c>
      <c r="B955" s="1">
        <v>951700044</v>
      </c>
      <c r="C955" s="1" t="str">
        <f>"تخليه -كرمنشاه شهرستان سرپل ذهاب دهستان دشت ذهاب-شهرداري سرپل ذهاب"</f>
        <v>تخليه -كرمنشاه شهرستان سرپل ذهاب دهستان دشت ذهاب-شهرداري سرپل ذهاب</v>
      </c>
      <c r="D955" s="1">
        <v>6050</v>
      </c>
      <c r="E955" s="1">
        <v>482000</v>
      </c>
      <c r="F955" s="1">
        <v>95</v>
      </c>
      <c r="G955" s="1">
        <v>1000</v>
      </c>
      <c r="H955" s="1" t="str">
        <f>"95/03/25"</f>
        <v>95/03/25</v>
      </c>
      <c r="I955" s="1" t="str">
        <f t="shared" si="239"/>
        <v>كيلوگرم</v>
      </c>
      <c r="J955" s="1" t="str">
        <f t="shared" si="255"/>
        <v>0000000091</v>
      </c>
      <c r="K955" s="1" t="str">
        <f t="shared" si="256"/>
        <v>قير  PG64-22</v>
      </c>
      <c r="L955" s="1">
        <v>100</v>
      </c>
      <c r="M955" s="1" t="str">
        <f t="shared" si="244"/>
        <v>مخازن قير اصفهان</v>
      </c>
      <c r="N955" s="1">
        <v>4109</v>
      </c>
      <c r="O955" s="1">
        <v>50031047</v>
      </c>
      <c r="P955" s="1" t="str">
        <f>"  اداره كل راه و  شهرسازي كرمانشاه"</f>
        <v xml:space="preserve">  اداره كل راه و  شهرسازي كرمانشاه</v>
      </c>
      <c r="Q955" s="1">
        <v>17</v>
      </c>
      <c r="R955" s="1" t="str">
        <f>"فروش داخلي تهران - وزارت راه - راه روستايي - روکش"</f>
        <v>فروش داخلي تهران - وزارت راه - راه روستايي - روکش</v>
      </c>
      <c r="S955" s="1" t="str">
        <f t="shared" si="240"/>
        <v>قرارداد فروش</v>
      </c>
      <c r="T955" s="1" t="str">
        <f t="shared" si="241"/>
        <v>ندارد</v>
      </c>
      <c r="U955" s="1" t="str">
        <f>"حسيني زاهد ابراهيم(1841038)"</f>
        <v>حسيني زاهد ابراهيم(1841038)</v>
      </c>
      <c r="V955" s="1">
        <v>951700044</v>
      </c>
      <c r="W955" s="1">
        <v>951700044</v>
      </c>
      <c r="X955" s="1" t="str">
        <f>"1395409198"</f>
        <v>1395409198</v>
      </c>
      <c r="Y955" s="1" t="str">
        <f>"95/03/25"</f>
        <v>95/03/25</v>
      </c>
      <c r="Z955" s="1" t="str">
        <f>"11565/510"</f>
        <v>11565/510</v>
      </c>
      <c r="AA955" s="1" t="str">
        <f>"راه روستائي -روكش"</f>
        <v>راه روستائي -روكش</v>
      </c>
      <c r="AB955" s="1" t="str">
        <f>"95/03/22"</f>
        <v>95/03/22</v>
      </c>
      <c r="AC955" s="1" t="str">
        <f>"استان كرمانشاه"</f>
        <v>استان كرمانشاه</v>
      </c>
      <c r="AD955" s="1" t="str">
        <f>"95/03/25"</f>
        <v>95/03/25</v>
      </c>
      <c r="AE955" s="1" t="str">
        <f t="shared" si="254"/>
        <v>اختتام</v>
      </c>
      <c r="AF955" s="1" t="str">
        <f>""</f>
        <v/>
      </c>
      <c r="AG955" s="1" t="str">
        <f>""</f>
        <v/>
      </c>
      <c r="AH955" s="1" t="str">
        <f>""</f>
        <v/>
      </c>
      <c r="AI955" s="1" t="str">
        <f>""</f>
        <v/>
      </c>
      <c r="AJ955" s="1" t="str">
        <f>""</f>
        <v/>
      </c>
      <c r="AK955" s="1" t="str">
        <f>""</f>
        <v/>
      </c>
    </row>
    <row r="956" spans="1:37" x14ac:dyDescent="0.2">
      <c r="A956" s="1">
        <v>1500000</v>
      </c>
      <c r="B956" s="1">
        <v>951900001</v>
      </c>
      <c r="C956" s="1" t="str">
        <f>"تخليه -اصفهان كوهپايه كيلومتر7جاده كوهپايه علون آباد-كارگاه گلستان كيلومتر30محورنائين اردستان جاده كجان"</f>
        <v>تخليه -اصفهان كوهپايه كيلومتر7جاده كوهپايه علون آباد-كارگاه گلستان كيلومتر30محورنائين اردستان جاده كجان</v>
      </c>
      <c r="D956" s="1">
        <v>5650</v>
      </c>
      <c r="E956" s="1">
        <v>1500000</v>
      </c>
      <c r="F956" s="1">
        <v>95</v>
      </c>
      <c r="G956" s="1">
        <v>0</v>
      </c>
      <c r="H956" s="1" t="str">
        <f>"95/02/13"</f>
        <v>95/02/13</v>
      </c>
      <c r="I956" s="1" t="str">
        <f t="shared" si="239"/>
        <v>كيلوگرم</v>
      </c>
      <c r="J956" s="1" t="str">
        <f t="shared" si="255"/>
        <v>0000000091</v>
      </c>
      <c r="K956" s="1" t="str">
        <f t="shared" si="256"/>
        <v>قير  PG64-22</v>
      </c>
      <c r="L956" s="1">
        <v>100</v>
      </c>
      <c r="M956" s="1" t="str">
        <f t="shared" si="244"/>
        <v>مخازن قير اصفهان</v>
      </c>
      <c r="N956" s="1">
        <v>7013</v>
      </c>
      <c r="O956" s="1">
        <v>50030698</v>
      </c>
      <c r="P956" s="1" t="str">
        <f>"  راهسازي  اسكانده"</f>
        <v xml:space="preserve">  راهسازي  اسكانده</v>
      </c>
      <c r="Q956" s="1">
        <v>19</v>
      </c>
      <c r="R9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56" s="1" t="str">
        <f t="shared" si="240"/>
        <v>قرارداد فروش</v>
      </c>
      <c r="T956" s="1" t="str">
        <f t="shared" si="241"/>
        <v>ندارد</v>
      </c>
      <c r="U956" s="1" t="str">
        <f>"شهبازي محمدرضا(1029ج89)"</f>
        <v>شهبازي محمدرضا(1029ج89)</v>
      </c>
      <c r="V956" s="1">
        <v>951900001</v>
      </c>
      <c r="W956" s="1">
        <v>951900001</v>
      </c>
      <c r="X956" s="1" t="str">
        <f>"1395401945"</f>
        <v>1395401945</v>
      </c>
      <c r="Y956" s="1" t="str">
        <f>"95/02/12"</f>
        <v>95/02/12</v>
      </c>
      <c r="Z956" s="1" t="str">
        <f>"64625/510"</f>
        <v>64625/510</v>
      </c>
      <c r="AA956" s="1" t="str">
        <f>"سازمان راهداري وحمل نقل جاده اي"</f>
        <v>سازمان راهداري وحمل نقل جاده اي</v>
      </c>
      <c r="AB956" s="1" t="str">
        <f>"94/11/24"</f>
        <v>94/11/24</v>
      </c>
      <c r="AC956" s="1" t="str">
        <f>"استان اصفهان"</f>
        <v>استان اصفهان</v>
      </c>
      <c r="AD956" s="1" t="str">
        <f>"94/02/11"</f>
        <v>94/02/11</v>
      </c>
      <c r="AE956" s="1" t="str">
        <f t="shared" si="254"/>
        <v>اختتام</v>
      </c>
      <c r="AF956" s="1" t="str">
        <f>""</f>
        <v/>
      </c>
      <c r="AG956" s="1" t="str">
        <f>""</f>
        <v/>
      </c>
      <c r="AH956" s="1" t="str">
        <f>""</f>
        <v/>
      </c>
      <c r="AI956" s="1" t="str">
        <f>""</f>
        <v/>
      </c>
      <c r="AJ956" s="1" t="str">
        <f>""</f>
        <v/>
      </c>
      <c r="AK956" s="1" t="str">
        <f>""</f>
        <v/>
      </c>
    </row>
    <row r="957" spans="1:37" x14ac:dyDescent="0.2">
      <c r="A957" s="1">
        <v>200000</v>
      </c>
      <c r="B957" s="1">
        <v>951700170</v>
      </c>
      <c r="C957" s="1" t="str">
        <f>"تخليه كرمان -جاده سيرجان -كرمان كارخانه آسفالت شركت بهبر"</f>
        <v>تخليه كرمان -جاده سيرجان -كرمان كارخانه آسفالت شركت بهبر</v>
      </c>
      <c r="D957" s="1">
        <v>7176</v>
      </c>
      <c r="E957" s="1">
        <v>198740</v>
      </c>
      <c r="F957" s="1">
        <v>95</v>
      </c>
      <c r="G957" s="1">
        <v>1260</v>
      </c>
      <c r="H957" s="1" t="str">
        <f>"95/06/04"</f>
        <v>95/06/04</v>
      </c>
      <c r="I957" s="1" t="str">
        <f t="shared" si="239"/>
        <v>كيلوگرم</v>
      </c>
      <c r="J957" s="1" t="str">
        <f t="shared" si="255"/>
        <v>0000000091</v>
      </c>
      <c r="K957" s="1" t="str">
        <f t="shared" si="256"/>
        <v>قير  PG64-22</v>
      </c>
      <c r="L957" s="1">
        <v>100</v>
      </c>
      <c r="M957" s="1" t="str">
        <f t="shared" si="244"/>
        <v>مخازن قير اصفهان</v>
      </c>
      <c r="N957" s="1">
        <v>7034</v>
      </c>
      <c r="O957" s="1">
        <v>50031635</v>
      </c>
      <c r="P957" s="1" t="str">
        <f>"  اداره كل راه وشهرسازي كرمان"</f>
        <v xml:space="preserve">  اداره كل راه وشهرسازي كرمان</v>
      </c>
      <c r="Q957" s="1">
        <v>17</v>
      </c>
      <c r="R957" s="1" t="str">
        <f>"فروش داخلي تهران - وزارت راه - راه روستايي - روکش"</f>
        <v>فروش داخلي تهران - وزارت راه - راه روستايي - روکش</v>
      </c>
      <c r="S957" s="1" t="str">
        <f t="shared" si="240"/>
        <v>قرارداد فروش</v>
      </c>
      <c r="T957" s="1" t="str">
        <f t="shared" si="241"/>
        <v>ندارد</v>
      </c>
      <c r="U957" s="1" t="str">
        <f>"حاصليان ترابرجنوب مرتضي حاصلي (4844006)"</f>
        <v>حاصليان ترابرجنوب مرتضي حاصلي (4844006)</v>
      </c>
      <c r="V957" s="1">
        <v>951700170</v>
      </c>
      <c r="W957" s="1">
        <v>951700170</v>
      </c>
      <c r="X957" s="1" t="str">
        <f>"1395426703"</f>
        <v>1395426703</v>
      </c>
      <c r="Y957" s="1" t="str">
        <f>"95/06/04"</f>
        <v>95/06/04</v>
      </c>
      <c r="Z957" s="1" t="str">
        <f>"24973/510"</f>
        <v>24973/510</v>
      </c>
      <c r="AA957" s="1" t="str">
        <f>"راه روستائي -روكش"</f>
        <v>راه روستائي -روكش</v>
      </c>
      <c r="AB957" s="1" t="str">
        <f>"95/05/31"</f>
        <v>95/05/31</v>
      </c>
      <c r="AC957" s="1" t="str">
        <f>"استان كرمان"</f>
        <v>استان كرمان</v>
      </c>
      <c r="AD957" s="1" t="str">
        <f>"95/06/03"</f>
        <v>95/06/03</v>
      </c>
      <c r="AE957" s="1" t="str">
        <f t="shared" si="254"/>
        <v>اختتام</v>
      </c>
      <c r="AF957" s="1" t="str">
        <f>""</f>
        <v/>
      </c>
      <c r="AG957" s="1" t="str">
        <f>""</f>
        <v/>
      </c>
      <c r="AH957" s="1" t="str">
        <f>""</f>
        <v/>
      </c>
      <c r="AI957" s="1" t="str">
        <f>""</f>
        <v/>
      </c>
      <c r="AJ957" s="1" t="str">
        <f>""</f>
        <v/>
      </c>
      <c r="AK957" s="1" t="str">
        <f>""</f>
        <v/>
      </c>
    </row>
    <row r="958" spans="1:37" x14ac:dyDescent="0.2">
      <c r="A958" s="1">
        <v>100000</v>
      </c>
      <c r="B958" s="1">
        <v>951700217</v>
      </c>
      <c r="C958" s="1" t="str">
        <f>"تخليه -كرمان كيلومتر10جاده اختيارآبادكوه باداموئيه كارخانه كرمان بيس"</f>
        <v>تخليه -كرمان كيلومتر10جاده اختيارآبادكوه باداموئيه كارخانه كرمان بيس</v>
      </c>
      <c r="D958" s="1">
        <v>7276</v>
      </c>
      <c r="E958" s="1">
        <v>23840</v>
      </c>
      <c r="F958" s="1">
        <v>95</v>
      </c>
      <c r="G958" s="1">
        <v>76160</v>
      </c>
      <c r="H958" s="1" t="str">
        <f>"95/07/05"</f>
        <v>95/07/05</v>
      </c>
      <c r="I958" s="1" t="str">
        <f t="shared" si="239"/>
        <v>كيلوگرم</v>
      </c>
      <c r="J958" s="1" t="str">
        <f t="shared" si="255"/>
        <v>0000000091</v>
      </c>
      <c r="K958" s="1" t="str">
        <f t="shared" si="256"/>
        <v>قير  PG64-22</v>
      </c>
      <c r="L958" s="1">
        <v>100</v>
      </c>
      <c r="M958" s="1" t="str">
        <f t="shared" si="244"/>
        <v>مخازن قير اصفهان</v>
      </c>
      <c r="N958" s="1">
        <v>7034</v>
      </c>
      <c r="O958" s="1">
        <v>50031968</v>
      </c>
      <c r="P958" s="1" t="str">
        <f>"  اداره كل راه وشهرسازي كرمان"</f>
        <v xml:space="preserve">  اداره كل راه وشهرسازي كرمان</v>
      </c>
      <c r="Q958" s="1">
        <v>17</v>
      </c>
      <c r="R958" s="1" t="str">
        <f>"فروش داخلي تهران - وزارت راه - راه روستايي - روکش"</f>
        <v>فروش داخلي تهران - وزارت راه - راه روستايي - روکش</v>
      </c>
      <c r="S958" s="1" t="str">
        <f t="shared" si="240"/>
        <v>قرارداد فروش</v>
      </c>
      <c r="T958" s="1" t="str">
        <f t="shared" si="241"/>
        <v>ندارد</v>
      </c>
      <c r="U958" s="1" t="str">
        <f>"پورباقري ترابر (4914036)"</f>
        <v>پورباقري ترابر (4914036)</v>
      </c>
      <c r="V958" s="1">
        <v>951700217</v>
      </c>
      <c r="W958" s="1">
        <v>951700217</v>
      </c>
      <c r="X958" s="1" t="str">
        <f>"1395433835"</f>
        <v>1395433835</v>
      </c>
      <c r="Y958" s="1" t="str">
        <f>"95/07/05"</f>
        <v>95/07/05</v>
      </c>
      <c r="Z958" s="1" t="str">
        <f>"31187/510"</f>
        <v>31187/510</v>
      </c>
      <c r="AA958" s="1" t="str">
        <f>"راه روستائي -روكش"</f>
        <v>راه روستائي -روكش</v>
      </c>
      <c r="AB958" s="1" t="str">
        <f>"95/06/31"</f>
        <v>95/06/31</v>
      </c>
      <c r="AC958" s="1" t="str">
        <f>"استان كرمان"</f>
        <v>استان كرمان</v>
      </c>
      <c r="AD958" s="1" t="str">
        <f>"95/07/05"</f>
        <v>95/07/05</v>
      </c>
      <c r="AE958" s="1" t="str">
        <f t="shared" si="254"/>
        <v>اختتام</v>
      </c>
      <c r="AF958" s="1" t="str">
        <f>""</f>
        <v/>
      </c>
      <c r="AG958" s="1" t="str">
        <f>""</f>
        <v/>
      </c>
      <c r="AH958" s="1" t="str">
        <f>""</f>
        <v/>
      </c>
      <c r="AI958" s="1" t="str">
        <f>""</f>
        <v/>
      </c>
      <c r="AJ958" s="1" t="str">
        <f>""</f>
        <v/>
      </c>
      <c r="AK958" s="1" t="str">
        <f>""</f>
        <v/>
      </c>
    </row>
    <row r="959" spans="1:37" x14ac:dyDescent="0.2">
      <c r="A959" s="1">
        <v>111540</v>
      </c>
      <c r="B959" s="1">
        <v>951700272</v>
      </c>
      <c r="C959" s="1" t="str">
        <f>"تخليه كرمان كوهبنان كارخانه شهرداري كوهبنان"</f>
        <v>تخليه كرمان كوهبنان كارخانه شهرداري كوهبنان</v>
      </c>
      <c r="D959" s="1">
        <v>8323</v>
      </c>
      <c r="E959" s="1">
        <v>110140</v>
      </c>
      <c r="F959" s="1">
        <v>95</v>
      </c>
      <c r="G959" s="1">
        <v>1400</v>
      </c>
      <c r="H959" s="1" t="str">
        <f>"95/08/09"</f>
        <v>95/08/09</v>
      </c>
      <c r="I959" s="1" t="str">
        <f t="shared" si="239"/>
        <v>كيلوگرم</v>
      </c>
      <c r="J959" s="1" t="str">
        <f t="shared" si="255"/>
        <v>0000000091</v>
      </c>
      <c r="K959" s="1" t="str">
        <f t="shared" si="256"/>
        <v>قير  PG64-22</v>
      </c>
      <c r="L959" s="1">
        <v>100</v>
      </c>
      <c r="M959" s="1" t="str">
        <f t="shared" si="244"/>
        <v>مخازن قير اصفهان</v>
      </c>
      <c r="N959" s="1">
        <v>7034</v>
      </c>
      <c r="O959" s="1">
        <v>50032400</v>
      </c>
      <c r="P959" s="1" t="str">
        <f>"  اداره كل راه وشهرسازي كرمان"</f>
        <v xml:space="preserve">  اداره كل راه وشهرسازي كرمان</v>
      </c>
      <c r="Q959" s="1">
        <v>17</v>
      </c>
      <c r="R959" s="1" t="str">
        <f>"فروش داخلي تهران - وزارت راه - راه روستايي - روکش"</f>
        <v>فروش داخلي تهران - وزارت راه - راه روستايي - روکش</v>
      </c>
      <c r="S959" s="1" t="str">
        <f t="shared" si="240"/>
        <v>قرارداد فروش</v>
      </c>
      <c r="T959" s="1" t="str">
        <f t="shared" si="241"/>
        <v>ندارد</v>
      </c>
      <c r="U959" s="1" t="str">
        <f>"بابامحمدي عنايت اله(4844000)"</f>
        <v>بابامحمدي عنايت اله(4844000)</v>
      </c>
      <c r="V959" s="1">
        <v>951700272</v>
      </c>
      <c r="W959" s="1">
        <v>951700272</v>
      </c>
      <c r="X959" s="1" t="str">
        <f>"1395432835"</f>
        <v>1395432835</v>
      </c>
      <c r="Y959" s="1" t="str">
        <f>"95/08/09"</f>
        <v>95/08/09</v>
      </c>
      <c r="Z959" s="1" t="str">
        <f>"30683/510"</f>
        <v>30683/510</v>
      </c>
      <c r="AA959" s="1" t="str">
        <f>"راه روستائي -روكش"</f>
        <v>راه روستائي -روكش</v>
      </c>
      <c r="AB959" s="1" t="str">
        <f>"95/06/28"</f>
        <v>95/06/28</v>
      </c>
      <c r="AC959" s="1" t="str">
        <f>"استان كرمان"</f>
        <v>استان كرمان</v>
      </c>
      <c r="AD959" s="1" t="str">
        <f>"95/07/05"</f>
        <v>95/07/05</v>
      </c>
      <c r="AE959" s="1" t="str">
        <f t="shared" si="254"/>
        <v>اختتام</v>
      </c>
      <c r="AF959" s="1" t="str">
        <f>""</f>
        <v/>
      </c>
      <c r="AG959" s="1" t="str">
        <f>""</f>
        <v/>
      </c>
      <c r="AH959" s="1" t="str">
        <f>""</f>
        <v/>
      </c>
      <c r="AI959" s="1" t="str">
        <f>""</f>
        <v/>
      </c>
      <c r="AJ959" s="1" t="str">
        <f>""</f>
        <v/>
      </c>
      <c r="AK959" s="1" t="str">
        <f>""</f>
        <v/>
      </c>
    </row>
    <row r="960" spans="1:37" x14ac:dyDescent="0.2">
      <c r="A960" s="1">
        <v>1200000</v>
      </c>
      <c r="B960" s="1">
        <v>951900159</v>
      </c>
      <c r="C960" s="1" t="str">
        <f>"تخليه اصفهان -نجف آبادكارخانه زرين سپاهان"</f>
        <v>تخليه اصفهان -نجف آبادكارخانه زرين سپاهان</v>
      </c>
      <c r="D960" s="1">
        <v>7276</v>
      </c>
      <c r="E960" s="1">
        <v>1128340</v>
      </c>
      <c r="F960" s="1">
        <v>95</v>
      </c>
      <c r="G960" s="1">
        <v>71660</v>
      </c>
      <c r="H960" s="1" t="str">
        <f>"95/07/13"</f>
        <v>95/07/13</v>
      </c>
      <c r="I960" s="1" t="str">
        <f t="shared" si="239"/>
        <v>كيلوگرم</v>
      </c>
      <c r="J960" s="1" t="str">
        <f>"0000000092"</f>
        <v>0000000092</v>
      </c>
      <c r="K960" s="1" t="str">
        <f>"قير  PG64-16"</f>
        <v>قير  PG64-16</v>
      </c>
      <c r="L960" s="1">
        <v>100</v>
      </c>
      <c r="M960" s="1" t="str">
        <f t="shared" si="244"/>
        <v>مخازن قير اصفهان</v>
      </c>
      <c r="N960" s="1">
        <v>10438</v>
      </c>
      <c r="O960" s="1">
        <v>50032075</v>
      </c>
      <c r="P960" s="1" t="str">
        <f>"  سعادت هيوا"</f>
        <v xml:space="preserve">  سعادت هيوا</v>
      </c>
      <c r="Q960" s="1">
        <v>19</v>
      </c>
      <c r="R96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60" s="1" t="str">
        <f t="shared" si="240"/>
        <v>قرارداد فروش</v>
      </c>
      <c r="T960" s="1" t="str">
        <f t="shared" si="241"/>
        <v>ندارد</v>
      </c>
      <c r="U960" s="1" t="str">
        <f>"غلام نجفي سيامك‌‌‌‌‌‌(1881082)"</f>
        <v>غلام نجفي سيامك‌‌‌‌‌‌(1881082)</v>
      </c>
      <c r="V960" s="1">
        <v>951900159</v>
      </c>
      <c r="W960" s="1">
        <v>951900159</v>
      </c>
      <c r="X960" s="1" t="str">
        <f>"1395435598"</f>
        <v>1395435598</v>
      </c>
      <c r="Y960" s="1" t="str">
        <f>"95/07/13"</f>
        <v>95/07/13</v>
      </c>
      <c r="Z960" s="1" t="str">
        <f>"32931/510"</f>
        <v>32931/510</v>
      </c>
      <c r="AA960" s="1" t="str">
        <f>"سازمان راهداري وحمل نقل جاده اي"</f>
        <v>سازمان راهداري وحمل نقل جاده اي</v>
      </c>
      <c r="AB960" s="1" t="str">
        <f>"95/07/11"</f>
        <v>95/07/11</v>
      </c>
      <c r="AC960" s="1" t="str">
        <f>"استان اصفهان"</f>
        <v>استان اصفهان</v>
      </c>
      <c r="AD960" s="1" t="str">
        <f>"95/07/13"</f>
        <v>95/07/13</v>
      </c>
      <c r="AE960" s="1" t="str">
        <f t="shared" si="254"/>
        <v>اختتام</v>
      </c>
      <c r="AF960" s="1" t="str">
        <f>""</f>
        <v/>
      </c>
      <c r="AG960" s="1" t="str">
        <f>""</f>
        <v/>
      </c>
      <c r="AH960" s="1" t="str">
        <f>""</f>
        <v/>
      </c>
      <c r="AI960" s="1" t="str">
        <f>""</f>
        <v/>
      </c>
      <c r="AJ960" s="1" t="str">
        <f>""</f>
        <v/>
      </c>
      <c r="AK960" s="1" t="str">
        <f>""</f>
        <v/>
      </c>
    </row>
    <row r="961" spans="1:37" x14ac:dyDescent="0.2">
      <c r="A961" s="1">
        <v>1000000</v>
      </c>
      <c r="B961" s="1">
        <v>951400011</v>
      </c>
      <c r="C961" s="1" t="str">
        <f>"تخليه-اصفهان-جرقويه محور نيک آباد حسن آباد-کارگاه شرکت گل راه نقش جهان"</f>
        <v>تخليه-اصفهان-جرقويه محور نيک آباد حسن آباد-کارگاه شرکت گل راه نقش جهان</v>
      </c>
      <c r="D961" s="1">
        <v>5650</v>
      </c>
      <c r="E961" s="1">
        <v>999400</v>
      </c>
      <c r="F961" s="1">
        <v>95</v>
      </c>
      <c r="G961" s="1">
        <v>600</v>
      </c>
      <c r="H961" s="1" t="str">
        <f>"95/02/15"</f>
        <v>95/02/15</v>
      </c>
      <c r="I961" s="1" t="str">
        <f t="shared" si="239"/>
        <v>كيلوگرم</v>
      </c>
      <c r="J961" s="1" t="str">
        <f>"0000000092"</f>
        <v>0000000092</v>
      </c>
      <c r="K961" s="1" t="str">
        <f>"قير  PG64-16"</f>
        <v>قير  PG64-16</v>
      </c>
      <c r="L961" s="1">
        <v>100</v>
      </c>
      <c r="M961" s="1" t="str">
        <f t="shared" si="244"/>
        <v>مخازن قير اصفهان</v>
      </c>
      <c r="N961" s="1">
        <v>10451</v>
      </c>
      <c r="O961" s="1">
        <v>50030739</v>
      </c>
      <c r="P961" s="1" t="str">
        <f>"  گل راه نقش جهان"</f>
        <v xml:space="preserve">  گل راه نقش جهان</v>
      </c>
      <c r="Q961" s="1">
        <v>14</v>
      </c>
      <c r="R961" s="1" t="str">
        <f>"فروش داخلي - وزارت راه - حوزه راه روستايي ساخت"</f>
        <v>فروش داخلي - وزارت راه - حوزه راه روستايي ساخت</v>
      </c>
      <c r="S961" s="1" t="str">
        <f t="shared" si="240"/>
        <v>قرارداد فروش</v>
      </c>
      <c r="T961" s="1" t="str">
        <f t="shared" si="241"/>
        <v>ندارد</v>
      </c>
      <c r="U961" s="1" t="str">
        <f>"اسماعيلي پور امين (1013ج89)"</f>
        <v>اسماعيلي پور امين (1013ج89)</v>
      </c>
      <c r="V961" s="1">
        <v>951400011</v>
      </c>
      <c r="W961" s="1">
        <v>951400011</v>
      </c>
      <c r="X961" s="1" t="str">
        <f>"1395401943"</f>
        <v>1395401943</v>
      </c>
      <c r="Y961" s="1" t="str">
        <f>"95/02/12"</f>
        <v>95/02/12</v>
      </c>
      <c r="Z961" s="1" t="str">
        <f>"64042/510"</f>
        <v>64042/510</v>
      </c>
      <c r="AA961" s="1" t="str">
        <f>"راه وروستايي -ساخت"</f>
        <v>راه وروستايي -ساخت</v>
      </c>
      <c r="AB961" s="1" t="str">
        <f>"94/11/20"</f>
        <v>94/11/20</v>
      </c>
      <c r="AC961" s="1" t="str">
        <f>"استان اصفهان"</f>
        <v>استان اصفهان</v>
      </c>
      <c r="AD961" s="1" t="str">
        <f>"95/02/11"</f>
        <v>95/02/11</v>
      </c>
      <c r="AE961" s="1" t="str">
        <f t="shared" si="254"/>
        <v>اختتام</v>
      </c>
      <c r="AF961" s="1" t="str">
        <f>""</f>
        <v/>
      </c>
      <c r="AG961" s="1" t="str">
        <f>""</f>
        <v/>
      </c>
      <c r="AH961" s="1" t="str">
        <f>""</f>
        <v/>
      </c>
      <c r="AI961" s="1" t="str">
        <f>""</f>
        <v/>
      </c>
      <c r="AJ961" s="1" t="str">
        <f>""</f>
        <v/>
      </c>
      <c r="AK961" s="1" t="str">
        <f>""</f>
        <v/>
      </c>
    </row>
    <row r="962" spans="1:37" x14ac:dyDescent="0.2">
      <c r="A962" s="1">
        <v>500000</v>
      </c>
      <c r="B962" s="1">
        <v>951600027</v>
      </c>
      <c r="C962" s="1" t="str">
        <f>"تخليه -خراسان جنوبي محورديهوك راورقبل ازدوراهي نايبندان روبه روي يخسازي"</f>
        <v>تخليه -خراسان جنوبي محورديهوك راورقبل ازدوراهي نايبندان روبه روي يخسازي</v>
      </c>
      <c r="D962" s="1">
        <v>7176</v>
      </c>
      <c r="E962" s="1">
        <v>454680</v>
      </c>
      <c r="F962" s="1">
        <v>95</v>
      </c>
      <c r="G962" s="1">
        <v>45320</v>
      </c>
      <c r="H962" s="1" t="str">
        <f>"95/06/17"</f>
        <v>95/06/17</v>
      </c>
      <c r="I962" s="1" t="str">
        <f t="shared" ref="I962:I1025" si="257">"كيلوگرم"</f>
        <v>كيلوگرم</v>
      </c>
      <c r="J962" s="1" t="str">
        <f>"0000000091"</f>
        <v>0000000091</v>
      </c>
      <c r="K962" s="1" t="str">
        <f>"قير  PG64-22"</f>
        <v>قير  PG64-22</v>
      </c>
      <c r="L962" s="1">
        <v>100</v>
      </c>
      <c r="M962" s="1" t="str">
        <f t="shared" si="244"/>
        <v>مخازن قير اصفهان</v>
      </c>
      <c r="N962" s="1">
        <v>10098</v>
      </c>
      <c r="O962" s="1">
        <v>50031818</v>
      </c>
      <c r="P962" s="1" t="str">
        <f>"  راه سازي کرمان فرا راه"</f>
        <v xml:space="preserve">  راه سازي کرمان فرا راه</v>
      </c>
      <c r="Q962" s="1">
        <v>16</v>
      </c>
      <c r="R962" s="1" t="str">
        <f>"فروش داخلي تهران - وزارت راه - معاونت اقتصاد"</f>
        <v>فروش داخلي تهران - وزارت راه - معاونت اقتصاد</v>
      </c>
      <c r="S962" s="1" t="str">
        <f t="shared" ref="S962:S1025" si="258">"قرارداد فروش"</f>
        <v>قرارداد فروش</v>
      </c>
      <c r="T962" s="1" t="str">
        <f t="shared" ref="T962:T1025" si="259">"ندارد"</f>
        <v>ندارد</v>
      </c>
      <c r="U962" s="1" t="str">
        <f>"قانعي محمدرضا(1011ج89)"</f>
        <v>قانعي محمدرضا(1011ج89)</v>
      </c>
      <c r="V962" s="1">
        <v>951600027</v>
      </c>
      <c r="W962" s="1">
        <v>951600027</v>
      </c>
      <c r="X962" s="1" t="str">
        <f>"1395429259"</f>
        <v>1395429259</v>
      </c>
      <c r="Y962" s="1" t="str">
        <f>"95/06/17"</f>
        <v>95/06/17</v>
      </c>
      <c r="Z962" s="1" t="str">
        <f>"27771/510"</f>
        <v>27771/510</v>
      </c>
      <c r="AA962" s="1" t="str">
        <f>"معاونت اقتصادوزارت راه وشهرسازي"</f>
        <v>معاونت اقتصادوزارت راه وشهرسازي</v>
      </c>
      <c r="AB962" s="1" t="str">
        <f>"95/06/13"</f>
        <v>95/06/13</v>
      </c>
      <c r="AC962" s="1" t="str">
        <f>"خراسان جنوبي"</f>
        <v>خراسان جنوبي</v>
      </c>
      <c r="AD962" s="1" t="str">
        <f>"95/06/16"</f>
        <v>95/06/16</v>
      </c>
      <c r="AE962" s="1" t="str">
        <f t="shared" si="254"/>
        <v>اختتام</v>
      </c>
      <c r="AF962" s="1" t="str">
        <f>""</f>
        <v/>
      </c>
      <c r="AG962" s="1" t="str">
        <f>""</f>
        <v/>
      </c>
      <c r="AH962" s="1" t="str">
        <f>""</f>
        <v/>
      </c>
      <c r="AI962" s="1" t="str">
        <f>""</f>
        <v/>
      </c>
      <c r="AJ962" s="1" t="str">
        <f>""</f>
        <v/>
      </c>
      <c r="AK962" s="1" t="str">
        <f>""</f>
        <v/>
      </c>
    </row>
    <row r="963" spans="1:37" x14ac:dyDescent="0.2">
      <c r="A963" s="1">
        <v>800000</v>
      </c>
      <c r="B963" s="1">
        <v>951600007</v>
      </c>
      <c r="C963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963" s="1">
        <v>6250</v>
      </c>
      <c r="E963" s="1">
        <v>797700</v>
      </c>
      <c r="F963" s="1">
        <v>95</v>
      </c>
      <c r="G963" s="1">
        <v>2300</v>
      </c>
      <c r="H963" s="1" t="str">
        <f>"95/04/21"</f>
        <v>95/04/21</v>
      </c>
      <c r="I963" s="1" t="str">
        <f t="shared" si="257"/>
        <v>كيلوگرم</v>
      </c>
      <c r="J963" s="1" t="str">
        <f>"0000000091"</f>
        <v>0000000091</v>
      </c>
      <c r="K963" s="1" t="str">
        <f>"قير  PG64-22"</f>
        <v>قير  PG64-22</v>
      </c>
      <c r="L963" s="1">
        <v>100</v>
      </c>
      <c r="M963" s="1" t="str">
        <f t="shared" si="244"/>
        <v>مخازن قير اصفهان</v>
      </c>
      <c r="N963" s="1">
        <v>7035</v>
      </c>
      <c r="O963" s="1">
        <v>50031250</v>
      </c>
      <c r="P963" s="1" t="str">
        <f>"  سازمان همياري شهرداريهاي يزد"</f>
        <v xml:space="preserve">  سازمان همياري شهرداريهاي يزد</v>
      </c>
      <c r="Q963" s="1">
        <v>16</v>
      </c>
      <c r="R963" s="1" t="str">
        <f>"فروش داخلي تهران - وزارت راه - معاونت اقتصاد"</f>
        <v>فروش داخلي تهران - وزارت راه - معاونت اقتصاد</v>
      </c>
      <c r="S963" s="1" t="str">
        <f t="shared" si="258"/>
        <v>قرارداد فروش</v>
      </c>
      <c r="T963" s="1" t="str">
        <f t="shared" si="259"/>
        <v>ندارد</v>
      </c>
      <c r="U963" s="1" t="str">
        <f>"قانعي محمدرضا(1011ج89)"</f>
        <v>قانعي محمدرضا(1011ج89)</v>
      </c>
      <c r="V963" s="1">
        <v>951600007</v>
      </c>
      <c r="W963" s="1">
        <v>951600007</v>
      </c>
      <c r="X963" s="1" t="str">
        <f>"1395414107"</f>
        <v>1395414107</v>
      </c>
      <c r="Y963" s="1" t="str">
        <f>"95/04/20"</f>
        <v>95/04/20</v>
      </c>
      <c r="Z963" s="1" t="str">
        <f>"15886/510"</f>
        <v>15886/510</v>
      </c>
      <c r="AA963" s="1" t="str">
        <f>"معاونت اقتصادوزارت راه وشهرسازي"</f>
        <v>معاونت اقتصادوزارت راه وشهرسازي</v>
      </c>
      <c r="AB963" s="1" t="str">
        <f>"95/04/13"</f>
        <v>95/04/13</v>
      </c>
      <c r="AC963" s="1" t="str">
        <f>"استان يزد"</f>
        <v>استان يزد</v>
      </c>
      <c r="AD963" s="1" t="str">
        <f>"95/04/19"</f>
        <v>95/04/19</v>
      </c>
      <c r="AE963" s="1" t="str">
        <f t="shared" si="254"/>
        <v>اختتام</v>
      </c>
      <c r="AF963" s="1" t="str">
        <f>""</f>
        <v/>
      </c>
      <c r="AG963" s="1" t="str">
        <f>""</f>
        <v/>
      </c>
      <c r="AH963" s="1" t="str">
        <f>""</f>
        <v/>
      </c>
      <c r="AI963" s="1" t="str">
        <f>""</f>
        <v/>
      </c>
      <c r="AJ963" s="1" t="str">
        <f>""</f>
        <v/>
      </c>
      <c r="AK963" s="1" t="str">
        <f>""</f>
        <v/>
      </c>
    </row>
    <row r="964" spans="1:37" x14ac:dyDescent="0.2">
      <c r="A964" s="1">
        <v>500000</v>
      </c>
      <c r="B964" s="1">
        <v>951800096</v>
      </c>
      <c r="C964" s="1" t="str">
        <f>"تخليه-پروژه آزاد راه کنارگذر غربي اصفهان"</f>
        <v>تخليه-پروژه آزاد راه کنارگذر غربي اصفهان</v>
      </c>
      <c r="D964" s="1">
        <v>8323</v>
      </c>
      <c r="E964" s="1">
        <v>499140</v>
      </c>
      <c r="F964" s="1">
        <v>95</v>
      </c>
      <c r="G964" s="1">
        <v>860</v>
      </c>
      <c r="H964" s="1" t="str">
        <f>"95/08/10"</f>
        <v>95/08/10</v>
      </c>
      <c r="I964" s="1" t="str">
        <f t="shared" si="257"/>
        <v>كيلوگرم</v>
      </c>
      <c r="J964" s="1" t="str">
        <f>"0000000091"</f>
        <v>0000000091</v>
      </c>
      <c r="K964" s="1" t="str">
        <f>"قير  PG64-22"</f>
        <v>قير  PG64-22</v>
      </c>
      <c r="L964" s="1">
        <v>100</v>
      </c>
      <c r="M964" s="1" t="str">
        <f t="shared" si="244"/>
        <v>مخازن قير اصفهان</v>
      </c>
      <c r="N964" s="1">
        <v>7079</v>
      </c>
      <c r="O964" s="1">
        <v>50032602</v>
      </c>
      <c r="P964" s="1" t="str">
        <f>"  ساختماني سيمين سپاهان"</f>
        <v xml:space="preserve">  ساختماني سيمين سپاهان</v>
      </c>
      <c r="Q964" s="1">
        <v>18</v>
      </c>
      <c r="R964" s="1" t="str">
        <f>"فروش داخلي تهران - وزارت راه - شرکت ساخت و توسعه راهها"</f>
        <v>فروش داخلي تهران - وزارت راه - شرکت ساخت و توسعه راهها</v>
      </c>
      <c r="S964" s="1" t="str">
        <f t="shared" si="258"/>
        <v>قرارداد فروش</v>
      </c>
      <c r="T964" s="1" t="str">
        <f t="shared" si="259"/>
        <v>ندارد</v>
      </c>
      <c r="U964" s="1" t="str">
        <f>"گل زاد فرزاد(1014ج89)"</f>
        <v>گل زاد فرزاد(1014ج89)</v>
      </c>
      <c r="V964" s="1">
        <v>951800096</v>
      </c>
      <c r="W964" s="1">
        <v>951800096</v>
      </c>
      <c r="X964" s="1" t="str">
        <f>"1395441012"</f>
        <v>1395441012</v>
      </c>
      <c r="Y964" s="1" t="str">
        <f>"95/08/10"</f>
        <v>95/08/10</v>
      </c>
      <c r="Z964" s="1" t="str">
        <f>"37210/710"</f>
        <v>37210/710</v>
      </c>
      <c r="AA964" s="1" t="str">
        <f>"شركت  ساخت وتوسعه راهها"</f>
        <v>شركت  ساخت وتوسعه راهها</v>
      </c>
      <c r="AB964" s="1" t="str">
        <f>"95/08/03"</f>
        <v>95/08/03</v>
      </c>
      <c r="AC964" s="1" t="str">
        <f>"استان اصفهان"</f>
        <v>استان اصفهان</v>
      </c>
      <c r="AD964" s="1" t="str">
        <f>"95/08/05"</f>
        <v>95/08/05</v>
      </c>
      <c r="AE964" s="1" t="str">
        <f t="shared" si="254"/>
        <v>اختتام</v>
      </c>
      <c r="AF964" s="1" t="str">
        <f>""</f>
        <v/>
      </c>
      <c r="AG964" s="1" t="str">
        <f>""</f>
        <v/>
      </c>
      <c r="AH964" s="1" t="str">
        <f>""</f>
        <v/>
      </c>
      <c r="AI964" s="1" t="str">
        <f>""</f>
        <v/>
      </c>
      <c r="AJ964" s="1" t="str">
        <f>""</f>
        <v/>
      </c>
      <c r="AK964" s="1" t="str">
        <f>""</f>
        <v/>
      </c>
    </row>
    <row r="965" spans="1:37" x14ac:dyDescent="0.2">
      <c r="A965" s="1">
        <v>200000</v>
      </c>
      <c r="B965" s="1">
        <v>951700336</v>
      </c>
      <c r="C965" s="1" t="str">
        <f>"تخليه -چهارمحال وبختياري -بروجن كارخانه آسفالت شهرداري بروجن"</f>
        <v>تخليه -چهارمحال وبختياري -بروجن كارخانه آسفالت شهرداري بروجن</v>
      </c>
      <c r="D965" s="1">
        <v>9511</v>
      </c>
      <c r="E965" s="1">
        <v>199560</v>
      </c>
      <c r="F965" s="1">
        <v>95</v>
      </c>
      <c r="G965" s="1">
        <v>440</v>
      </c>
      <c r="H965" s="1" t="str">
        <f>"95/11/09"</f>
        <v>95/11/09</v>
      </c>
      <c r="I965" s="1" t="str">
        <f t="shared" si="257"/>
        <v>كيلوگرم</v>
      </c>
      <c r="J965" s="1" t="str">
        <f>"0000000091"</f>
        <v>0000000091</v>
      </c>
      <c r="K965" s="1" t="str">
        <f>"قير  PG64-22"</f>
        <v>قير  PG64-22</v>
      </c>
      <c r="L965" s="1">
        <v>100</v>
      </c>
      <c r="M965" s="1" t="str">
        <f t="shared" si="244"/>
        <v>مخازن قير اصفهان</v>
      </c>
      <c r="N965" s="1">
        <v>7190</v>
      </c>
      <c r="O965" s="1">
        <v>50033551</v>
      </c>
      <c r="P965" s="1" t="str">
        <f>"  اداره كل راه و شهرسازي چهارمحال وبختياري"</f>
        <v xml:space="preserve">  اداره كل راه و شهرسازي چهارمحال وبختياري</v>
      </c>
      <c r="Q965" s="1">
        <v>17</v>
      </c>
      <c r="R965" s="1" t="str">
        <f>"فروش داخلي تهران - وزارت راه - راه روستايي - روکش"</f>
        <v>فروش داخلي تهران - وزارت راه - راه روستايي - روکش</v>
      </c>
      <c r="S965" s="1" t="str">
        <f t="shared" si="258"/>
        <v>قرارداد فروش</v>
      </c>
      <c r="T965" s="1" t="str">
        <f t="shared" si="259"/>
        <v>ندارد</v>
      </c>
      <c r="U965" s="1" t="str">
        <f>"مظلوم فريبرز(1008ج89)"</f>
        <v>مظلوم فريبرز(1008ج89)</v>
      </c>
      <c r="V965" s="1">
        <v>951700336</v>
      </c>
      <c r="W965" s="1">
        <v>951700336</v>
      </c>
      <c r="X965" s="1" t="str">
        <f>"1395460247"</f>
        <v>1395460247</v>
      </c>
      <c r="Y965" s="1" t="str">
        <f>"95/11/09"</f>
        <v>95/11/09</v>
      </c>
      <c r="Z965" s="1" t="str">
        <f>"52753/710"</f>
        <v>52753/710</v>
      </c>
      <c r="AA965" s="1" t="str">
        <f>"راه روستائي -روكش"</f>
        <v>راه روستائي -روكش</v>
      </c>
      <c r="AB965" s="1" t="str">
        <f>"95/10/25"</f>
        <v>95/10/25</v>
      </c>
      <c r="AC965" s="1" t="str">
        <f>"استان چهارمحال بختياري"</f>
        <v>استان چهارمحال بختياري</v>
      </c>
      <c r="AD965" s="1" t="str">
        <f>"95/11/04"</f>
        <v>95/11/04</v>
      </c>
      <c r="AE965" s="1" t="str">
        <f t="shared" si="254"/>
        <v>اختتام</v>
      </c>
      <c r="AF965" s="1" t="str">
        <f>""</f>
        <v/>
      </c>
      <c r="AG965" s="1" t="str">
        <f>""</f>
        <v/>
      </c>
      <c r="AH965" s="1" t="str">
        <f>""</f>
        <v/>
      </c>
      <c r="AI965" s="1" t="str">
        <f>""</f>
        <v/>
      </c>
      <c r="AJ965" s="1" t="str">
        <f>""</f>
        <v/>
      </c>
      <c r="AK965" s="1" t="str">
        <f>""</f>
        <v/>
      </c>
    </row>
    <row r="966" spans="1:37" x14ac:dyDescent="0.2">
      <c r="A966" s="1">
        <v>24000</v>
      </c>
      <c r="B966" s="1">
        <v>951100105</v>
      </c>
      <c r="C966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966" s="1">
        <v>6426</v>
      </c>
      <c r="E966" s="1">
        <v>22840</v>
      </c>
      <c r="F966" s="1">
        <v>95</v>
      </c>
      <c r="G966" s="1">
        <v>1160</v>
      </c>
      <c r="H966" s="1" t="str">
        <f>"95/05/27"</f>
        <v>95/05/27</v>
      </c>
      <c r="I966" s="1" t="str">
        <f t="shared" si="257"/>
        <v>كيلوگرم</v>
      </c>
      <c r="J966" s="1" t="str">
        <f>"0000000076"</f>
        <v>0000000076</v>
      </c>
      <c r="K966" s="1" t="str">
        <f>"قير 60/70 - فله"</f>
        <v>قير 60/70 - فله</v>
      </c>
      <c r="L966" s="1">
        <v>100</v>
      </c>
      <c r="M966" s="1" t="str">
        <f t="shared" si="244"/>
        <v>مخازن قير اصفهان</v>
      </c>
      <c r="N966" s="1">
        <v>8246</v>
      </c>
      <c r="O966" s="1">
        <v>50031586</v>
      </c>
      <c r="P966" s="1" t="str">
        <f>"  نيك محضراسپادانا"</f>
        <v xml:space="preserve">  نيك محضراسپادانا</v>
      </c>
      <c r="Q966" s="1">
        <v>11</v>
      </c>
      <c r="R966" s="1" t="str">
        <f>"فروش داخلي تهران - بورس"</f>
        <v>فروش داخلي تهران - بورس</v>
      </c>
      <c r="S966" s="1" t="str">
        <f t="shared" si="258"/>
        <v>قرارداد فروش</v>
      </c>
      <c r="T966" s="1" t="str">
        <f t="shared" si="259"/>
        <v>ندارد</v>
      </c>
      <c r="U966" s="1" t="str">
        <f>"عزيزي صفر(1006ج 89)"</f>
        <v>عزيزي صفر(1006ج 89)</v>
      </c>
      <c r="V966" s="1">
        <v>951100105</v>
      </c>
      <c r="W966" s="1">
        <v>951100105</v>
      </c>
      <c r="X966" s="1" t="str">
        <f>"1395423155"</f>
        <v>1395423155</v>
      </c>
      <c r="Y966" s="1" t="str">
        <f>"95/05/26"</f>
        <v>95/05/26</v>
      </c>
      <c r="Z966" s="1" t="str">
        <f>"95-34541"</f>
        <v>95-34541</v>
      </c>
      <c r="AA966" s="1" t="str">
        <f>"راه سازي"</f>
        <v>راه سازي</v>
      </c>
      <c r="AB966" s="1" t="str">
        <f>"95/05/26"</f>
        <v>95/05/26</v>
      </c>
      <c r="AC966" s="1" t="str">
        <f>"استان اصفهان"</f>
        <v>استان اصفهان</v>
      </c>
      <c r="AD966" s="1" t="str">
        <f>"95/05/20"</f>
        <v>95/05/20</v>
      </c>
      <c r="AE966" s="1" t="str">
        <f t="shared" si="254"/>
        <v>اختتام</v>
      </c>
      <c r="AF966" s="1" t="str">
        <f>""</f>
        <v/>
      </c>
      <c r="AG966" s="1" t="str">
        <f>""</f>
        <v/>
      </c>
      <c r="AH966" s="1" t="str">
        <f>""</f>
        <v/>
      </c>
      <c r="AI966" s="1" t="str">
        <f>""</f>
        <v/>
      </c>
      <c r="AJ966" s="1" t="str">
        <f>""</f>
        <v/>
      </c>
      <c r="AK966" s="1" t="str">
        <f>""</f>
        <v/>
      </c>
    </row>
    <row r="967" spans="1:37" x14ac:dyDescent="0.2">
      <c r="A967" s="1">
        <v>136000</v>
      </c>
      <c r="B967" s="1">
        <v>952000079</v>
      </c>
      <c r="C967" s="1" t="str">
        <f>"تخليه - لرستان پلدختر-جاده گلزار شهدا-کارخانه شن و ماسه شهرداري پلدختر"</f>
        <v>تخليه - لرستان پلدختر-جاده گلزار شهدا-کارخانه شن و ماسه شهرداري پلدختر</v>
      </c>
      <c r="D967" s="1">
        <v>6876</v>
      </c>
      <c r="E967" s="1">
        <v>134760</v>
      </c>
      <c r="F967" s="1">
        <v>95</v>
      </c>
      <c r="G967" s="1">
        <v>1240</v>
      </c>
      <c r="H967" s="1" t="str">
        <f>"95/06/20"</f>
        <v>95/06/20</v>
      </c>
      <c r="I967" s="1" t="str">
        <f t="shared" si="257"/>
        <v>كيلوگرم</v>
      </c>
      <c r="J967" s="1" t="str">
        <f>"0000000076"</f>
        <v>0000000076</v>
      </c>
      <c r="K967" s="1" t="str">
        <f>"قير 60/70 - فله"</f>
        <v>قير 60/70 - فله</v>
      </c>
      <c r="L967" s="1">
        <v>100</v>
      </c>
      <c r="M967" s="1" t="str">
        <f t="shared" si="244"/>
        <v>مخازن قير اصفهان</v>
      </c>
      <c r="N967" s="1">
        <v>8251</v>
      </c>
      <c r="O967" s="1">
        <v>50031831</v>
      </c>
      <c r="P967" s="1" t="str">
        <f>"  شهرداري پلدختر"</f>
        <v xml:space="preserve">  شهرداري پلدختر</v>
      </c>
      <c r="Q967" s="1">
        <v>20</v>
      </c>
      <c r="R967" s="1" t="str">
        <f>"فروش داخلي - سازمان شهرداري ها و دهياري هاي كشور"</f>
        <v>فروش داخلي - سازمان شهرداري ها و دهياري هاي كشور</v>
      </c>
      <c r="S967" s="1" t="str">
        <f t="shared" si="258"/>
        <v>قرارداد فروش</v>
      </c>
      <c r="T967" s="1" t="str">
        <f t="shared" si="259"/>
        <v>ندارد</v>
      </c>
      <c r="U967" s="1" t="str">
        <f>"بستاني محسن (2882039)"</f>
        <v>بستاني محسن (2882039)</v>
      </c>
      <c r="V967" s="1">
        <v>952000079</v>
      </c>
      <c r="W967" s="1">
        <v>952000079</v>
      </c>
      <c r="X967" s="1" t="str">
        <f>"1395430319"</f>
        <v>1395430319</v>
      </c>
      <c r="Y967" s="1" t="str">
        <f>"95/06/20"</f>
        <v>95/06/20</v>
      </c>
      <c r="Z967" s="1" t="str">
        <f>"27669"</f>
        <v>27669</v>
      </c>
      <c r="AA967" s="1" t="str">
        <f>"شهرداريها"</f>
        <v>شهرداريها</v>
      </c>
      <c r="AB967" s="1" t="str">
        <f>"95/06/10"</f>
        <v>95/06/10</v>
      </c>
      <c r="AC967" s="1" t="str">
        <f>"لرستان"</f>
        <v>لرستان</v>
      </c>
      <c r="AD967" s="1" t="str">
        <f>"95/06/17"</f>
        <v>95/06/17</v>
      </c>
      <c r="AE967" s="1" t="str">
        <f t="shared" si="254"/>
        <v>اختتام</v>
      </c>
      <c r="AF967" s="1" t="str">
        <f>""</f>
        <v/>
      </c>
      <c r="AG967" s="1" t="str">
        <f>""</f>
        <v/>
      </c>
      <c r="AH967" s="1" t="str">
        <f>""</f>
        <v/>
      </c>
      <c r="AI967" s="1" t="str">
        <f>""</f>
        <v/>
      </c>
      <c r="AJ967" s="1" t="str">
        <f>""</f>
        <v/>
      </c>
      <c r="AK967" s="1" t="str">
        <f>""</f>
        <v/>
      </c>
    </row>
    <row r="968" spans="1:37" x14ac:dyDescent="0.2">
      <c r="A968" s="1">
        <v>137000</v>
      </c>
      <c r="B968" s="1">
        <v>952000203</v>
      </c>
      <c r="C968" s="1" t="str">
        <f>"تخليه - لرستان پلدختر-جاده گلزار شهدا-کارخانه شن و ماسه شهرداري پلدختر"</f>
        <v>تخليه - لرستان پلدختر-جاده گلزار شهدا-کارخانه شن و ماسه شهرداري پلدختر</v>
      </c>
      <c r="D968" s="1">
        <v>8023</v>
      </c>
      <c r="E968" s="1">
        <v>135760</v>
      </c>
      <c r="F968" s="1">
        <v>95</v>
      </c>
      <c r="G968" s="1">
        <v>1240</v>
      </c>
      <c r="H968" s="1" t="str">
        <f>"95/08/16"</f>
        <v>95/08/16</v>
      </c>
      <c r="I968" s="1" t="str">
        <f t="shared" si="257"/>
        <v>كيلوگرم</v>
      </c>
      <c r="J968" s="1" t="str">
        <f>"0000000076"</f>
        <v>0000000076</v>
      </c>
      <c r="K968" s="1" t="str">
        <f>"قير 60/70 - فله"</f>
        <v>قير 60/70 - فله</v>
      </c>
      <c r="L968" s="1">
        <v>100</v>
      </c>
      <c r="M968" s="1" t="str">
        <f t="shared" ref="M968:M1031" si="260">"مخازن قير اصفهان"</f>
        <v>مخازن قير اصفهان</v>
      </c>
      <c r="N968" s="1">
        <v>8251</v>
      </c>
      <c r="O968" s="1">
        <v>50032510</v>
      </c>
      <c r="P968" s="1" t="str">
        <f>"  شهرداري پلدختر"</f>
        <v xml:space="preserve">  شهرداري پلدختر</v>
      </c>
      <c r="Q968" s="1">
        <v>20</v>
      </c>
      <c r="R968" s="1" t="str">
        <f>"فروش داخلي - سازمان شهرداري ها و دهياري هاي كشور"</f>
        <v>فروش داخلي - سازمان شهرداري ها و دهياري هاي كشور</v>
      </c>
      <c r="S968" s="1" t="str">
        <f t="shared" si="258"/>
        <v>قرارداد فروش</v>
      </c>
      <c r="T968" s="1" t="str">
        <f t="shared" si="259"/>
        <v>ندارد</v>
      </c>
      <c r="U968" s="1" t="str">
        <f>"بستاني محسن (2882039)"</f>
        <v>بستاني محسن (2882039)</v>
      </c>
      <c r="V968" s="1">
        <v>952000203</v>
      </c>
      <c r="W968" s="1">
        <v>952000203</v>
      </c>
      <c r="X968" s="1" t="str">
        <f>"1395443199"</f>
        <v>1395443199</v>
      </c>
      <c r="Y968" s="1" t="str">
        <f>"95/08/16"</f>
        <v>95/08/16</v>
      </c>
      <c r="Z968" s="1" t="str">
        <f>"39484"</f>
        <v>39484</v>
      </c>
      <c r="AA968" s="1" t="str">
        <f>"شهرداريها"</f>
        <v>شهرداريها</v>
      </c>
      <c r="AB968" s="1" t="str">
        <f>"95/08/11"</f>
        <v>95/08/11</v>
      </c>
      <c r="AC968" s="1" t="str">
        <f>"لرستان"</f>
        <v>لرستان</v>
      </c>
      <c r="AD968" s="1" t="str">
        <f>"95/08/15"</f>
        <v>95/08/15</v>
      </c>
      <c r="AE968" s="1" t="str">
        <f t="shared" si="254"/>
        <v>اختتام</v>
      </c>
      <c r="AF968" s="1" t="str">
        <f>""</f>
        <v/>
      </c>
      <c r="AG968" s="1" t="str">
        <f>""</f>
        <v/>
      </c>
      <c r="AH968" s="1" t="str">
        <f>""</f>
        <v/>
      </c>
      <c r="AI968" s="1" t="str">
        <f>""</f>
        <v/>
      </c>
      <c r="AJ968" s="1" t="str">
        <f>""</f>
        <v/>
      </c>
      <c r="AK968" s="1" t="str">
        <f>""</f>
        <v/>
      </c>
    </row>
    <row r="969" spans="1:37" x14ac:dyDescent="0.2">
      <c r="A969" s="1">
        <v>39000</v>
      </c>
      <c r="B969" s="1">
        <v>951700214</v>
      </c>
      <c r="C969" s="1" t="str">
        <f>"تخليه -خرم آباد-جاده كمربندي -جاده پيريجد-كيلومتر2"</f>
        <v>تخليه -خرم آباد-جاده كمربندي -جاده پيريجد-كيلومتر2</v>
      </c>
      <c r="D969" s="1">
        <v>7276</v>
      </c>
      <c r="E969" s="1">
        <v>36020</v>
      </c>
      <c r="F969" s="1">
        <v>95</v>
      </c>
      <c r="G969" s="1">
        <v>2980</v>
      </c>
      <c r="H969" s="1" t="str">
        <f>"95/07/05"</f>
        <v>95/07/05</v>
      </c>
      <c r="I969" s="1" t="str">
        <f t="shared" si="257"/>
        <v>كيلوگرم</v>
      </c>
      <c r="J969" s="1" t="str">
        <f t="shared" ref="J969:J977" si="261">"0000000092"</f>
        <v>0000000092</v>
      </c>
      <c r="K969" s="1" t="str">
        <f t="shared" ref="K969:K977" si="262">"قير  PG64-16"</f>
        <v>قير  PG64-16</v>
      </c>
      <c r="L969" s="1">
        <v>100</v>
      </c>
      <c r="M969" s="1" t="str">
        <f t="shared" si="260"/>
        <v>مخازن قير اصفهان</v>
      </c>
      <c r="N969" s="1">
        <v>8305</v>
      </c>
      <c r="O969" s="1">
        <v>50031959</v>
      </c>
      <c r="P969" s="1" t="str">
        <f>"  سپهربستر"</f>
        <v xml:space="preserve">  سپهربستر</v>
      </c>
      <c r="Q969" s="1">
        <v>17</v>
      </c>
      <c r="R969" s="1" t="str">
        <f>"فروش داخلي تهران - وزارت راه - راه روستايي - روکش"</f>
        <v>فروش داخلي تهران - وزارت راه - راه روستايي - روکش</v>
      </c>
      <c r="S969" s="1" t="str">
        <f t="shared" si="258"/>
        <v>قرارداد فروش</v>
      </c>
      <c r="T969" s="1" t="str">
        <f t="shared" si="259"/>
        <v>ندارد</v>
      </c>
      <c r="U969" s="1" t="str">
        <f>"ريسماني حسن(1007ج89)"</f>
        <v>ريسماني حسن(1007ج89)</v>
      </c>
      <c r="V969" s="1">
        <v>951700214</v>
      </c>
      <c r="W969" s="1">
        <v>951700214</v>
      </c>
      <c r="X969" s="1" t="str">
        <f>"1395433833"</f>
        <v>1395433833</v>
      </c>
      <c r="Y969" s="1" t="str">
        <f>"95/07/05"</f>
        <v>95/07/05</v>
      </c>
      <c r="Z969" s="1" t="str">
        <f>"31439/510"</f>
        <v>31439/510</v>
      </c>
      <c r="AA969" s="1" t="str">
        <f>"راه روستائي -روكش"</f>
        <v>راه روستائي -روكش</v>
      </c>
      <c r="AB969" s="1" t="str">
        <f>"95/07/03"</f>
        <v>95/07/03</v>
      </c>
      <c r="AC969" s="1" t="str">
        <f>"لرستان"</f>
        <v>لرستان</v>
      </c>
      <c r="AD969" s="1" t="str">
        <f>"95/07/05"</f>
        <v>95/07/05</v>
      </c>
      <c r="AE969" s="1" t="str">
        <f t="shared" si="254"/>
        <v>اختتام</v>
      </c>
      <c r="AF969" s="1" t="str">
        <f>""</f>
        <v/>
      </c>
      <c r="AG969" s="1" t="str">
        <f>""</f>
        <v/>
      </c>
      <c r="AH969" s="1" t="str">
        <f>""</f>
        <v/>
      </c>
      <c r="AI969" s="1" t="str">
        <f>""</f>
        <v/>
      </c>
      <c r="AJ969" s="1" t="str">
        <f>""</f>
        <v/>
      </c>
      <c r="AK969" s="1" t="str">
        <f>""</f>
        <v/>
      </c>
    </row>
    <row r="970" spans="1:37" x14ac:dyDescent="0.2">
      <c r="A970" s="1">
        <v>500000</v>
      </c>
      <c r="B970" s="1">
        <v>951900139</v>
      </c>
      <c r="C970" s="1" t="str">
        <f>"تخليه -ايرانشهر-پروژه روكش آسفالت ايرانشهر-خاش"</f>
        <v>تخليه -ايرانشهر-پروژه روكش آسفالت ايرانشهر-خاش</v>
      </c>
      <c r="D970" s="1">
        <v>7176</v>
      </c>
      <c r="E970" s="1">
        <v>485760</v>
      </c>
      <c r="F970" s="1">
        <v>95</v>
      </c>
      <c r="G970" s="1">
        <v>14240</v>
      </c>
      <c r="H970" s="1" t="str">
        <f>"95/06/08"</f>
        <v>95/06/08</v>
      </c>
      <c r="I970" s="1" t="str">
        <f t="shared" si="257"/>
        <v>كيلوگرم</v>
      </c>
      <c r="J970" s="1" t="str">
        <f t="shared" si="261"/>
        <v>0000000092</v>
      </c>
      <c r="K970" s="1" t="str">
        <f t="shared" si="262"/>
        <v>قير  PG64-16</v>
      </c>
      <c r="L970" s="1">
        <v>100</v>
      </c>
      <c r="M970" s="1" t="str">
        <f t="shared" si="260"/>
        <v>مخازن قير اصفهان</v>
      </c>
      <c r="N970" s="1">
        <v>8619</v>
      </c>
      <c r="O970" s="1">
        <v>50031705</v>
      </c>
      <c r="P970" s="1" t="str">
        <f>"  سبزصبحگاهان امين"</f>
        <v xml:space="preserve">  سبزصبحگاهان امين</v>
      </c>
      <c r="Q970" s="1">
        <v>19</v>
      </c>
      <c r="R97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70" s="1" t="str">
        <f t="shared" si="258"/>
        <v>قرارداد فروش</v>
      </c>
      <c r="T970" s="1" t="str">
        <f t="shared" si="259"/>
        <v>ندارد</v>
      </c>
      <c r="U970" s="1" t="str">
        <f>"حاصليان ترابرجنوب مرتضي حاصلي (4844006)"</f>
        <v>حاصليان ترابرجنوب مرتضي حاصلي (4844006)</v>
      </c>
      <c r="V970" s="1">
        <v>951900139</v>
      </c>
      <c r="W970" s="1">
        <v>951900139</v>
      </c>
      <c r="X970" s="1" t="str">
        <f>"1395427131"</f>
        <v>1395427131</v>
      </c>
      <c r="Y970" s="1" t="str">
        <f>"95/06/08"</f>
        <v>95/06/08</v>
      </c>
      <c r="Z970" s="1" t="str">
        <f>"25005/510"</f>
        <v>25005/510</v>
      </c>
      <c r="AA970" s="1" t="str">
        <f>"سازمان راهداري وحمل نقل جاده اي"</f>
        <v>سازمان راهداري وحمل نقل جاده اي</v>
      </c>
      <c r="AB970" s="1" t="str">
        <f>"95/05/31"</f>
        <v>95/05/31</v>
      </c>
      <c r="AC970" s="1" t="str">
        <f>"ايرانشهر"</f>
        <v>ايرانشهر</v>
      </c>
      <c r="AD970" s="1" t="str">
        <f>"95/06/07"</f>
        <v>95/06/07</v>
      </c>
      <c r="AE970" s="1" t="str">
        <f t="shared" si="254"/>
        <v>اختتام</v>
      </c>
      <c r="AF970" s="1" t="str">
        <f>""</f>
        <v/>
      </c>
      <c r="AG970" s="1" t="str">
        <f>""</f>
        <v/>
      </c>
      <c r="AH970" s="1" t="str">
        <f>""</f>
        <v/>
      </c>
      <c r="AI970" s="1" t="str">
        <f>""</f>
        <v/>
      </c>
      <c r="AJ970" s="1" t="str">
        <f>""</f>
        <v/>
      </c>
      <c r="AK970" s="1" t="str">
        <f>""</f>
        <v/>
      </c>
    </row>
    <row r="971" spans="1:37" x14ac:dyDescent="0.2">
      <c r="A971" s="1">
        <v>305000</v>
      </c>
      <c r="B971" s="1">
        <v>951400056</v>
      </c>
      <c r="C971" s="1" t="str">
        <f>"تخليه -لرستان -شهرستان دلفان -روستاي تنگ پري -شركت ايمن كارسمير"</f>
        <v>تخليه -لرستان -شهرستان دلفان -روستاي تنگ پري -شركت ايمن كارسمير</v>
      </c>
      <c r="D971" s="1">
        <v>6726</v>
      </c>
      <c r="E971" s="1">
        <v>305000</v>
      </c>
      <c r="F971" s="1">
        <v>95</v>
      </c>
      <c r="G971" s="1">
        <v>0</v>
      </c>
      <c r="H971" s="1" t="str">
        <f>"95/05/24"</f>
        <v>95/05/24</v>
      </c>
      <c r="I971" s="1" t="str">
        <f t="shared" si="257"/>
        <v>كيلوگرم</v>
      </c>
      <c r="J971" s="1" t="str">
        <f t="shared" si="261"/>
        <v>0000000092</v>
      </c>
      <c r="K971" s="1" t="str">
        <f t="shared" si="262"/>
        <v>قير  PG64-16</v>
      </c>
      <c r="L971" s="1">
        <v>100</v>
      </c>
      <c r="M971" s="1" t="str">
        <f t="shared" si="260"/>
        <v>مخازن قير اصفهان</v>
      </c>
      <c r="N971" s="1">
        <v>10511</v>
      </c>
      <c r="O971" s="1">
        <v>50031512</v>
      </c>
      <c r="P971" s="1" t="str">
        <f>"  ايمن كارسمير"</f>
        <v xml:space="preserve">  ايمن كارسمير</v>
      </c>
      <c r="Q971" s="1">
        <v>14</v>
      </c>
      <c r="R971" s="1" t="str">
        <f>"فروش داخلي - وزارت راه - حوزه راه روستايي ساخت"</f>
        <v>فروش داخلي - وزارت راه - حوزه راه روستايي ساخت</v>
      </c>
      <c r="S971" s="1" t="str">
        <f t="shared" si="258"/>
        <v>قرارداد فروش</v>
      </c>
      <c r="T971" s="1" t="str">
        <f t="shared" si="259"/>
        <v>ندارد</v>
      </c>
      <c r="U971" s="1" t="str">
        <f>"ريسماني حسن(1007ج89)"</f>
        <v>ريسماني حسن(1007ج89)</v>
      </c>
      <c r="V971" s="1">
        <v>951400056</v>
      </c>
      <c r="W971" s="1">
        <v>951400056</v>
      </c>
      <c r="X971" s="1" t="str">
        <f>"1395423496"</f>
        <v>1395423496</v>
      </c>
      <c r="Y971" s="1" t="str">
        <f>"95/05/24"</f>
        <v>95/05/24</v>
      </c>
      <c r="Z971" s="1" t="str">
        <f>"22202/510"</f>
        <v>22202/510</v>
      </c>
      <c r="AA971" s="1" t="str">
        <f>"راه وروستايي -ساخت"</f>
        <v>راه وروستايي -ساخت</v>
      </c>
      <c r="AB971" s="1" t="str">
        <f>"95/05/17"</f>
        <v>95/05/17</v>
      </c>
      <c r="AC971" s="1" t="str">
        <f>"لرستان"</f>
        <v>لرستان</v>
      </c>
      <c r="AD971" s="1" t="str">
        <f>"95/05/23"</f>
        <v>95/05/23</v>
      </c>
      <c r="AE971" s="1" t="str">
        <f t="shared" si="254"/>
        <v>اختتام</v>
      </c>
      <c r="AF971" s="1" t="str">
        <f>""</f>
        <v/>
      </c>
      <c r="AG971" s="1" t="str">
        <f>""</f>
        <v/>
      </c>
      <c r="AH971" s="1" t="str">
        <f>""</f>
        <v/>
      </c>
      <c r="AI971" s="1" t="str">
        <f>""</f>
        <v/>
      </c>
      <c r="AJ971" s="1" t="str">
        <f>""</f>
        <v/>
      </c>
      <c r="AK971" s="1" t="str">
        <f>""</f>
        <v/>
      </c>
    </row>
    <row r="972" spans="1:37" x14ac:dyDescent="0.2">
      <c r="A972" s="1">
        <v>300000</v>
      </c>
      <c r="B972" s="1">
        <v>951900092</v>
      </c>
      <c r="C972" s="1" t="str">
        <f>"تخليه -لرستان -پلدختر-سه راهي سراب جهانگير-كارخانه آسفالت جودكي"</f>
        <v>تخليه -لرستان -پلدختر-سه راهي سراب جهانگير-كارخانه آسفالت جودكي</v>
      </c>
      <c r="D972" s="1">
        <v>6726</v>
      </c>
      <c r="E972" s="1">
        <v>299880</v>
      </c>
      <c r="F972" s="1">
        <v>95</v>
      </c>
      <c r="G972" s="1">
        <v>120</v>
      </c>
      <c r="H972" s="1" t="str">
        <f>"95/05/16"</f>
        <v>95/05/16</v>
      </c>
      <c r="I972" s="1" t="str">
        <f t="shared" si="257"/>
        <v>كيلوگرم</v>
      </c>
      <c r="J972" s="1" t="str">
        <f t="shared" si="261"/>
        <v>0000000092</v>
      </c>
      <c r="K972" s="1" t="str">
        <f t="shared" si="262"/>
        <v>قير  PG64-16</v>
      </c>
      <c r="L972" s="1">
        <v>100</v>
      </c>
      <c r="M972" s="1" t="str">
        <f t="shared" si="260"/>
        <v>مخازن قير اصفهان</v>
      </c>
      <c r="N972" s="1">
        <v>10521</v>
      </c>
      <c r="O972" s="1">
        <v>50031441</v>
      </c>
      <c r="P972" s="1" t="str">
        <f>"  ساختماني يافته كوه"</f>
        <v xml:space="preserve">  ساختماني يافته كوه</v>
      </c>
      <c r="Q972" s="1">
        <v>19</v>
      </c>
      <c r="R97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72" s="1" t="str">
        <f t="shared" si="258"/>
        <v>قرارداد فروش</v>
      </c>
      <c r="T972" s="1" t="str">
        <f t="shared" si="259"/>
        <v>ندارد</v>
      </c>
      <c r="U972" s="1" t="str">
        <f>"بستاني محسن (2882039)"</f>
        <v>بستاني محسن (2882039)</v>
      </c>
      <c r="V972" s="1">
        <v>951900092</v>
      </c>
      <c r="W972" s="1">
        <v>951900092</v>
      </c>
      <c r="X972" s="1" t="str">
        <f>"1395421164"</f>
        <v>1395421164</v>
      </c>
      <c r="Y972" s="1" t="str">
        <f>"95/05/16"</f>
        <v>95/05/16</v>
      </c>
      <c r="Z972" s="1" t="str">
        <f>"19973/510"</f>
        <v>19973/510</v>
      </c>
      <c r="AA972" s="1" t="str">
        <f>"سازمان راهداري وحمل نقل جاده اي"</f>
        <v>سازمان راهداري وحمل نقل جاده اي</v>
      </c>
      <c r="AB972" s="1" t="str">
        <f>"95/05/05"</f>
        <v>95/05/05</v>
      </c>
      <c r="AC972" s="1" t="str">
        <f>"لرستان"</f>
        <v>لرستان</v>
      </c>
      <c r="AD972" s="1" t="str">
        <f>"95/05/13"</f>
        <v>95/05/13</v>
      </c>
      <c r="AE972" s="1" t="str">
        <f t="shared" ref="AE972:AE1003" si="263">"اختتام"</f>
        <v>اختتام</v>
      </c>
      <c r="AF972" s="1" t="str">
        <f>""</f>
        <v/>
      </c>
      <c r="AG972" s="1" t="str">
        <f>""</f>
        <v/>
      </c>
      <c r="AH972" s="1" t="str">
        <f>""</f>
        <v/>
      </c>
      <c r="AI972" s="1" t="str">
        <f>""</f>
        <v/>
      </c>
      <c r="AJ972" s="1" t="str">
        <f>""</f>
        <v/>
      </c>
      <c r="AK972" s="1" t="str">
        <f>""</f>
        <v/>
      </c>
    </row>
    <row r="973" spans="1:37" x14ac:dyDescent="0.2">
      <c r="A973" s="1">
        <v>546000</v>
      </c>
      <c r="B973" s="1">
        <v>951700337</v>
      </c>
      <c r="C973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973" s="1">
        <v>9511</v>
      </c>
      <c r="E973" s="1">
        <v>546000</v>
      </c>
      <c r="F973" s="1">
        <v>95</v>
      </c>
      <c r="G973" s="1">
        <v>0</v>
      </c>
      <c r="H973" s="1" t="str">
        <f>"95/11/13"</f>
        <v>95/11/13</v>
      </c>
      <c r="I973" s="1" t="str">
        <f t="shared" si="257"/>
        <v>كيلوگرم</v>
      </c>
      <c r="J973" s="1" t="str">
        <f t="shared" si="261"/>
        <v>0000000092</v>
      </c>
      <c r="K973" s="1" t="str">
        <f t="shared" si="262"/>
        <v>قير  PG64-16</v>
      </c>
      <c r="L973" s="1">
        <v>100</v>
      </c>
      <c r="M973" s="1" t="str">
        <f t="shared" si="260"/>
        <v>مخازن قير اصفهان</v>
      </c>
      <c r="N973" s="1">
        <v>10547</v>
      </c>
      <c r="O973" s="1">
        <v>50033582</v>
      </c>
      <c r="P973" s="1" t="str">
        <f>"  پي و پل جنوب"</f>
        <v xml:space="preserve">  پي و پل جنوب</v>
      </c>
      <c r="Q973" s="1">
        <v>17</v>
      </c>
      <c r="R973" s="1" t="str">
        <f>"فروش داخلي تهران - وزارت راه - راه روستايي - روکش"</f>
        <v>فروش داخلي تهران - وزارت راه - راه روستايي - روکش</v>
      </c>
      <c r="S973" s="1" t="str">
        <f t="shared" si="258"/>
        <v>قرارداد فروش</v>
      </c>
      <c r="T973" s="1" t="str">
        <f t="shared" si="259"/>
        <v>ندارد</v>
      </c>
      <c r="U973" s="1" t="str">
        <f>"قره باغي مجيد(1871065)"</f>
        <v>قره باغي مجيد(1871065)</v>
      </c>
      <c r="V973" s="1">
        <v>951700337</v>
      </c>
      <c r="W973" s="1">
        <v>951700337</v>
      </c>
      <c r="X973" s="1" t="str">
        <f>"1395462681"</f>
        <v>1395462681</v>
      </c>
      <c r="Y973" s="1" t="str">
        <f>"95/11/13"</f>
        <v>95/11/13</v>
      </c>
      <c r="Z973" s="1" t="str">
        <f>"56106/710"</f>
        <v>56106/710</v>
      </c>
      <c r="AA973" s="1" t="str">
        <f>"راه روستائي -روكش"</f>
        <v>راه روستائي -روكش</v>
      </c>
      <c r="AB973" s="1" t="str">
        <f>"95/11/11"</f>
        <v>95/11/11</v>
      </c>
      <c r="AC973" s="1" t="str">
        <f>"استان هرمزگان"</f>
        <v>استان هرمزگان</v>
      </c>
      <c r="AD973" s="1" t="str">
        <f>"95/11/13"</f>
        <v>95/11/13</v>
      </c>
      <c r="AE973" s="1" t="str">
        <f t="shared" si="263"/>
        <v>اختتام</v>
      </c>
      <c r="AF973" s="1" t="str">
        <f>""</f>
        <v/>
      </c>
      <c r="AG973" s="1" t="str">
        <f>""</f>
        <v/>
      </c>
      <c r="AH973" s="1" t="str">
        <f>""</f>
        <v/>
      </c>
      <c r="AI973" s="1" t="str">
        <f>""</f>
        <v/>
      </c>
      <c r="AJ973" s="1" t="str">
        <f>""</f>
        <v/>
      </c>
      <c r="AK973" s="1" t="str">
        <f>""</f>
        <v/>
      </c>
    </row>
    <row r="974" spans="1:37" x14ac:dyDescent="0.2">
      <c r="A974" s="1">
        <v>1000000</v>
      </c>
      <c r="B974" s="1">
        <v>951400145</v>
      </c>
      <c r="C974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974" s="1">
        <v>8998</v>
      </c>
      <c r="E974" s="1">
        <v>1000000</v>
      </c>
      <c r="F974" s="1">
        <v>95</v>
      </c>
      <c r="G974" s="1">
        <v>0</v>
      </c>
      <c r="H974" s="1" t="str">
        <f>"95/11/13"</f>
        <v>95/11/13</v>
      </c>
      <c r="I974" s="1" t="str">
        <f t="shared" si="257"/>
        <v>كيلوگرم</v>
      </c>
      <c r="J974" s="1" t="str">
        <f t="shared" si="261"/>
        <v>0000000092</v>
      </c>
      <c r="K974" s="1" t="str">
        <f t="shared" si="262"/>
        <v>قير  PG64-16</v>
      </c>
      <c r="L974" s="1">
        <v>100</v>
      </c>
      <c r="M974" s="1" t="str">
        <f t="shared" si="260"/>
        <v>مخازن قير اصفهان</v>
      </c>
      <c r="N974" s="1">
        <v>10547</v>
      </c>
      <c r="O974" s="1">
        <v>50033583</v>
      </c>
      <c r="P974" s="1" t="str">
        <f>"  پي و پل جنوب"</f>
        <v xml:space="preserve">  پي و پل جنوب</v>
      </c>
      <c r="Q974" s="1">
        <v>14</v>
      </c>
      <c r="R974" s="1" t="str">
        <f>"فروش داخلي - وزارت راه - حوزه راه روستايي ساخت"</f>
        <v>فروش داخلي - وزارت راه - حوزه راه روستايي ساخت</v>
      </c>
      <c r="S974" s="1" t="str">
        <f t="shared" si="258"/>
        <v>قرارداد فروش</v>
      </c>
      <c r="T974" s="1" t="str">
        <f t="shared" si="259"/>
        <v>ندارد</v>
      </c>
      <c r="U974" s="1" t="str">
        <f>"قره باغي مجيد(1871065)"</f>
        <v>قره باغي مجيد(1871065)</v>
      </c>
      <c r="V974" s="1">
        <v>951400145</v>
      </c>
      <c r="W974" s="1">
        <v>951400145</v>
      </c>
      <c r="X974" s="1" t="str">
        <f>"1395462681"</f>
        <v>1395462681</v>
      </c>
      <c r="Y974" s="1" t="str">
        <f>"95/11/13"</f>
        <v>95/11/13</v>
      </c>
      <c r="Z974" s="1" t="str">
        <f>"56112/710"</f>
        <v>56112/710</v>
      </c>
      <c r="AA974" s="1" t="str">
        <f>"راه وروستايي -ساخت"</f>
        <v>راه وروستايي -ساخت</v>
      </c>
      <c r="AB974" s="1" t="str">
        <f>"95/11/11"</f>
        <v>95/11/11</v>
      </c>
      <c r="AC974" s="1" t="str">
        <f>"استان هرمزگان"</f>
        <v>استان هرمزگان</v>
      </c>
      <c r="AD974" s="1" t="str">
        <f>"95/11/13"</f>
        <v>95/11/13</v>
      </c>
      <c r="AE974" s="1" t="str">
        <f t="shared" si="263"/>
        <v>اختتام</v>
      </c>
      <c r="AF974" s="1" t="str">
        <f>""</f>
        <v/>
      </c>
      <c r="AG974" s="1" t="str">
        <f>""</f>
        <v/>
      </c>
      <c r="AH974" s="1" t="str">
        <f>""</f>
        <v/>
      </c>
      <c r="AI974" s="1" t="str">
        <f>""</f>
        <v/>
      </c>
      <c r="AJ974" s="1" t="str">
        <f>""</f>
        <v/>
      </c>
      <c r="AK974" s="1" t="str">
        <f>""</f>
        <v/>
      </c>
    </row>
    <row r="975" spans="1:37" x14ac:dyDescent="0.2">
      <c r="A975" s="1">
        <v>1000000</v>
      </c>
      <c r="B975" s="1">
        <v>951600092</v>
      </c>
      <c r="C975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975" s="1">
        <v>8998</v>
      </c>
      <c r="E975" s="1">
        <v>1000000</v>
      </c>
      <c r="F975" s="1">
        <v>95</v>
      </c>
      <c r="G975" s="1">
        <v>0</v>
      </c>
      <c r="H975" s="1" t="str">
        <f>"95/12/07"</f>
        <v>95/12/07</v>
      </c>
      <c r="I975" s="1" t="str">
        <f t="shared" si="257"/>
        <v>كيلوگرم</v>
      </c>
      <c r="J975" s="1" t="str">
        <f t="shared" si="261"/>
        <v>0000000092</v>
      </c>
      <c r="K975" s="1" t="str">
        <f t="shared" si="262"/>
        <v>قير  PG64-16</v>
      </c>
      <c r="L975" s="1">
        <v>100</v>
      </c>
      <c r="M975" s="1" t="str">
        <f t="shared" si="260"/>
        <v>مخازن قير اصفهان</v>
      </c>
      <c r="N975" s="1">
        <v>10547</v>
      </c>
      <c r="O975" s="1">
        <v>50033876</v>
      </c>
      <c r="P975" s="1" t="str">
        <f>"  پي و پل جنوب"</f>
        <v xml:space="preserve">  پي و پل جنوب</v>
      </c>
      <c r="Q975" s="1">
        <v>16</v>
      </c>
      <c r="R975" s="1" t="str">
        <f>"فروش داخلي تهران - وزارت راه - معاونت اقتصاد"</f>
        <v>فروش داخلي تهران - وزارت راه - معاونت اقتصاد</v>
      </c>
      <c r="S975" s="1" t="str">
        <f t="shared" si="258"/>
        <v>قرارداد فروش</v>
      </c>
      <c r="T975" s="1" t="str">
        <f t="shared" si="259"/>
        <v>ندارد</v>
      </c>
      <c r="U975" s="1" t="str">
        <f>"قره باغي مجيد(1871065)"</f>
        <v>قره باغي مجيد(1871065)</v>
      </c>
      <c r="V975" s="1">
        <v>951600092</v>
      </c>
      <c r="W975" s="1">
        <v>951600092</v>
      </c>
      <c r="X975" s="1" t="str">
        <f>"1395467560"</f>
        <v>1395467560</v>
      </c>
      <c r="Y975" s="1" t="str">
        <f>"95/12/07"</f>
        <v>95/12/07</v>
      </c>
      <c r="Z975" s="1" t="str">
        <f>"60531/710"</f>
        <v>60531/710</v>
      </c>
      <c r="AA975" s="1" t="str">
        <f>"معاونت اقتصادوزارت راه وشهرسازي"</f>
        <v>معاونت اقتصادوزارت راه وشهرسازي</v>
      </c>
      <c r="AB975" s="1" t="str">
        <f>"95/12/02"</f>
        <v>95/12/02</v>
      </c>
      <c r="AC975" s="1" t="str">
        <f>"استان هرمزگان"</f>
        <v>استان هرمزگان</v>
      </c>
      <c r="AD975" s="1" t="str">
        <f>"95/12/07"</f>
        <v>95/12/07</v>
      </c>
      <c r="AE975" s="1" t="str">
        <f t="shared" si="263"/>
        <v>اختتام</v>
      </c>
      <c r="AF975" s="1" t="str">
        <f>""</f>
        <v/>
      </c>
      <c r="AG975" s="1" t="str">
        <f>""</f>
        <v/>
      </c>
      <c r="AH975" s="1" t="str">
        <f>""</f>
        <v/>
      </c>
      <c r="AI975" s="1" t="str">
        <f>""</f>
        <v/>
      </c>
      <c r="AJ975" s="1" t="str">
        <f>""</f>
        <v/>
      </c>
      <c r="AK975" s="1" t="str">
        <f>""</f>
        <v/>
      </c>
    </row>
    <row r="976" spans="1:37" x14ac:dyDescent="0.2">
      <c r="A976" s="1">
        <v>1000000</v>
      </c>
      <c r="B976" s="1">
        <v>951400172</v>
      </c>
      <c r="C976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976" s="1">
        <v>8998</v>
      </c>
      <c r="E976" s="1">
        <v>1000000</v>
      </c>
      <c r="F976" s="1">
        <v>95</v>
      </c>
      <c r="G976" s="1">
        <v>0</v>
      </c>
      <c r="H976" s="1" t="str">
        <f>"95/12/16"</f>
        <v>95/12/16</v>
      </c>
      <c r="I976" s="1" t="str">
        <f t="shared" si="257"/>
        <v>كيلوگرم</v>
      </c>
      <c r="J976" s="1" t="str">
        <f t="shared" si="261"/>
        <v>0000000092</v>
      </c>
      <c r="K976" s="1" t="str">
        <f t="shared" si="262"/>
        <v>قير  PG64-16</v>
      </c>
      <c r="L976" s="1">
        <v>100</v>
      </c>
      <c r="M976" s="1" t="str">
        <f t="shared" si="260"/>
        <v>مخازن قير اصفهان</v>
      </c>
      <c r="N976" s="1">
        <v>10547</v>
      </c>
      <c r="O976" s="1">
        <v>50034013</v>
      </c>
      <c r="P976" s="1" t="str">
        <f>"  پي و پل جنوب"</f>
        <v xml:space="preserve">  پي و پل جنوب</v>
      </c>
      <c r="Q976" s="1">
        <v>14</v>
      </c>
      <c r="R976" s="1" t="str">
        <f>"فروش داخلي - وزارت راه - حوزه راه روستايي ساخت"</f>
        <v>فروش داخلي - وزارت راه - حوزه راه روستايي ساخت</v>
      </c>
      <c r="S976" s="1" t="str">
        <f t="shared" si="258"/>
        <v>قرارداد فروش</v>
      </c>
      <c r="T976" s="1" t="str">
        <f t="shared" si="259"/>
        <v>ندارد</v>
      </c>
      <c r="U976" s="1" t="str">
        <f>"قره باغي مجيد(1871065)"</f>
        <v>قره باغي مجيد(1871065)</v>
      </c>
      <c r="V976" s="1">
        <v>951400172</v>
      </c>
      <c r="W976" s="1">
        <v>951400172</v>
      </c>
      <c r="X976" s="1" t="str">
        <f>"1395469184"</f>
        <v>1395469184</v>
      </c>
      <c r="Y976" s="1" t="str">
        <f>"95/12/16"</f>
        <v>95/12/16</v>
      </c>
      <c r="Z976" s="1" t="str">
        <f>"63254/710"</f>
        <v>63254/710</v>
      </c>
      <c r="AA976" s="1" t="str">
        <f>"راه وروستايي -ساخت"</f>
        <v>راه وروستايي -ساخت</v>
      </c>
      <c r="AB976" s="1" t="str">
        <f>"95/12/11"</f>
        <v>95/12/11</v>
      </c>
      <c r="AC976" s="1" t="str">
        <f>"استان هرمزگان"</f>
        <v>استان هرمزگان</v>
      </c>
      <c r="AD976" s="1" t="str">
        <f>"95/12/16"</f>
        <v>95/12/16</v>
      </c>
      <c r="AE976" s="1" t="str">
        <f t="shared" si="263"/>
        <v>اختتام</v>
      </c>
      <c r="AF976" s="1" t="str">
        <f>""</f>
        <v/>
      </c>
      <c r="AG976" s="1" t="str">
        <f>""</f>
        <v/>
      </c>
      <c r="AH976" s="1" t="str">
        <f>""</f>
        <v/>
      </c>
      <c r="AI976" s="1" t="str">
        <f>""</f>
        <v/>
      </c>
      <c r="AJ976" s="1" t="str">
        <f>""</f>
        <v/>
      </c>
      <c r="AK976" s="1" t="str">
        <f>""</f>
        <v/>
      </c>
    </row>
    <row r="977" spans="1:37" x14ac:dyDescent="0.2">
      <c r="A977" s="1">
        <v>1000000</v>
      </c>
      <c r="B977" s="1">
        <v>951700358</v>
      </c>
      <c r="C977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977" s="1">
        <v>8348</v>
      </c>
      <c r="E977" s="1">
        <v>1000000</v>
      </c>
      <c r="F977" s="1">
        <v>95</v>
      </c>
      <c r="G977" s="1">
        <v>0</v>
      </c>
      <c r="H977" s="1" t="str">
        <f>"95/12/23"</f>
        <v>95/12/23</v>
      </c>
      <c r="I977" s="1" t="str">
        <f t="shared" si="257"/>
        <v>كيلوگرم</v>
      </c>
      <c r="J977" s="1" t="str">
        <f t="shared" si="261"/>
        <v>0000000092</v>
      </c>
      <c r="K977" s="1" t="str">
        <f t="shared" si="262"/>
        <v>قير  PG64-16</v>
      </c>
      <c r="L977" s="1">
        <v>100</v>
      </c>
      <c r="M977" s="1" t="str">
        <f t="shared" si="260"/>
        <v>مخازن قير اصفهان</v>
      </c>
      <c r="N977" s="1">
        <v>10547</v>
      </c>
      <c r="O977" s="1">
        <v>50034154</v>
      </c>
      <c r="P977" s="1" t="str">
        <f>"  پي و پل جنوب"</f>
        <v xml:space="preserve">  پي و پل جنوب</v>
      </c>
      <c r="Q977" s="1">
        <v>17</v>
      </c>
      <c r="R977" s="1" t="str">
        <f>"فروش داخلي تهران - وزارت راه - راه روستايي - روکش"</f>
        <v>فروش داخلي تهران - وزارت راه - راه روستايي - روکش</v>
      </c>
      <c r="S977" s="1" t="str">
        <f t="shared" si="258"/>
        <v>قرارداد فروش</v>
      </c>
      <c r="T977" s="1" t="str">
        <f t="shared" si="259"/>
        <v>ندارد</v>
      </c>
      <c r="U977" s="1" t="str">
        <f>"قره باغي مجيد(1871065)"</f>
        <v>قره باغي مجيد(1871065)</v>
      </c>
      <c r="V977" s="1">
        <v>951700358</v>
      </c>
      <c r="W977" s="1">
        <v>951700358</v>
      </c>
      <c r="X977" s="1" t="str">
        <f>"1395470873"</f>
        <v>1395470873</v>
      </c>
      <c r="Y977" s="1" t="str">
        <f>"95/12/23"</f>
        <v>95/12/23</v>
      </c>
      <c r="Z977" s="1" t="str">
        <f>"65493/710"</f>
        <v>65493/710</v>
      </c>
      <c r="AA977" s="1" t="str">
        <f>"راه روستائي -روكش"</f>
        <v>راه روستائي -روكش</v>
      </c>
      <c r="AB977" s="1" t="str">
        <f>"95/12/21"</f>
        <v>95/12/21</v>
      </c>
      <c r="AC977" s="1" t="str">
        <f>"استان هرمزگان"</f>
        <v>استان هرمزگان</v>
      </c>
      <c r="AD977" s="1" t="str">
        <f>"95/12/23"</f>
        <v>95/12/23</v>
      </c>
      <c r="AE977" s="1" t="str">
        <f t="shared" si="263"/>
        <v>اختتام</v>
      </c>
      <c r="AF977" s="1" t="str">
        <f>""</f>
        <v/>
      </c>
      <c r="AG977" s="1" t="str">
        <f>""</f>
        <v/>
      </c>
      <c r="AH977" s="1" t="str">
        <f>""</f>
        <v/>
      </c>
      <c r="AI977" s="1" t="str">
        <f>""</f>
        <v/>
      </c>
      <c r="AJ977" s="1" t="str">
        <f>""</f>
        <v/>
      </c>
      <c r="AK977" s="1" t="str">
        <f>""</f>
        <v/>
      </c>
    </row>
    <row r="978" spans="1:37" x14ac:dyDescent="0.2">
      <c r="A978" s="1">
        <v>500000</v>
      </c>
      <c r="B978" s="1">
        <v>951900045</v>
      </c>
      <c r="C978" s="1" t="str">
        <f>"تخليه -يزد-اردکان -محوراردکان -عقدا-کارگاه شرکت سطح راهان"</f>
        <v>تخليه -يزد-اردکان -محوراردکان -عقدا-کارگاه شرکت سطح راهان</v>
      </c>
      <c r="D978" s="1">
        <v>6250</v>
      </c>
      <c r="E978" s="1">
        <v>499560</v>
      </c>
      <c r="F978" s="1">
        <v>95</v>
      </c>
      <c r="G978" s="1">
        <v>440</v>
      </c>
      <c r="H978" s="1" t="str">
        <f>"95/04/21"</f>
        <v>95/04/21</v>
      </c>
      <c r="I978" s="1" t="str">
        <f t="shared" si="257"/>
        <v>كيلوگرم</v>
      </c>
      <c r="J978" s="1" t="str">
        <f>"0000000091"</f>
        <v>0000000091</v>
      </c>
      <c r="K978" s="1" t="str">
        <f>"قير  PG64-22"</f>
        <v>قير  PG64-22</v>
      </c>
      <c r="L978" s="1">
        <v>100</v>
      </c>
      <c r="M978" s="1" t="str">
        <f t="shared" si="260"/>
        <v>مخازن قير اصفهان</v>
      </c>
      <c r="N978" s="1">
        <v>10225</v>
      </c>
      <c r="O978" s="1">
        <v>50031263</v>
      </c>
      <c r="P978" s="1" t="str">
        <f>"  سطح راهان"</f>
        <v xml:space="preserve">  سطح راهان</v>
      </c>
      <c r="Q978" s="1">
        <v>19</v>
      </c>
      <c r="R9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78" s="1" t="str">
        <f t="shared" si="258"/>
        <v>قرارداد فروش</v>
      </c>
      <c r="T978" s="1" t="str">
        <f t="shared" si="259"/>
        <v>ندارد</v>
      </c>
      <c r="U978" s="1" t="str">
        <f>"قانعي محمدرضا(1011ج89)"</f>
        <v>قانعي محمدرضا(1011ج89)</v>
      </c>
      <c r="V978" s="1">
        <v>951900045</v>
      </c>
      <c r="W978" s="1">
        <v>951900045</v>
      </c>
      <c r="X978" s="1" t="str">
        <f>"1395413317"</f>
        <v>1395413317</v>
      </c>
      <c r="Y978" s="1" t="str">
        <f>"95/04/20"</f>
        <v>95/04/20</v>
      </c>
      <c r="Z978" s="1" t="str">
        <f>"15562/510"</f>
        <v>15562/510</v>
      </c>
      <c r="AA978" s="1" t="str">
        <f>"سازمان راهداري وحمل نقل جاده اي"</f>
        <v>سازمان راهداري وحمل نقل جاده اي</v>
      </c>
      <c r="AB978" s="1" t="str">
        <f>"95/04/12"</f>
        <v>95/04/12</v>
      </c>
      <c r="AC978" s="1" t="str">
        <f>"استان يزد"</f>
        <v>استان يزد</v>
      </c>
      <c r="AD978" s="1" t="str">
        <f>"95/04/15"</f>
        <v>95/04/15</v>
      </c>
      <c r="AE978" s="1" t="str">
        <f t="shared" si="263"/>
        <v>اختتام</v>
      </c>
      <c r="AF978" s="1" t="str">
        <f>""</f>
        <v/>
      </c>
      <c r="AG978" s="1" t="str">
        <f>""</f>
        <v/>
      </c>
      <c r="AH978" s="1" t="str">
        <f>""</f>
        <v/>
      </c>
      <c r="AI978" s="1" t="str">
        <f>""</f>
        <v/>
      </c>
      <c r="AJ978" s="1" t="str">
        <f>""</f>
        <v/>
      </c>
      <c r="AK978" s="1" t="str">
        <f>""</f>
        <v/>
      </c>
    </row>
    <row r="979" spans="1:37" x14ac:dyDescent="0.2">
      <c r="A979" s="1">
        <v>400000</v>
      </c>
      <c r="B979" s="1">
        <v>951900276</v>
      </c>
      <c r="C979" s="1" t="str">
        <f>"تخليه -يزد-شهرستان اردكان -محوراردكان -نايين -كارگاه شركت سطح راهان"</f>
        <v>تخليه -يزد-شهرستان اردكان -محوراردكان -نايين -كارگاه شركت سطح راهان</v>
      </c>
      <c r="D979" s="1">
        <v>8854</v>
      </c>
      <c r="E979" s="1">
        <v>400000</v>
      </c>
      <c r="F979" s="1">
        <v>95</v>
      </c>
      <c r="G979" s="1">
        <v>0</v>
      </c>
      <c r="H979" s="1" t="str">
        <f>"95/12/11"</f>
        <v>95/12/11</v>
      </c>
      <c r="I979" s="1" t="str">
        <f t="shared" si="257"/>
        <v>كيلوگرم</v>
      </c>
      <c r="J979" s="1" t="str">
        <f>"0000000091"</f>
        <v>0000000091</v>
      </c>
      <c r="K979" s="1" t="str">
        <f>"قير  PG64-22"</f>
        <v>قير  PG64-22</v>
      </c>
      <c r="L979" s="1">
        <v>100</v>
      </c>
      <c r="M979" s="1" t="str">
        <f t="shared" si="260"/>
        <v>مخازن قير اصفهان</v>
      </c>
      <c r="N979" s="1">
        <v>10225</v>
      </c>
      <c r="O979" s="1">
        <v>50033978</v>
      </c>
      <c r="P979" s="1" t="str">
        <f>"  سطح راهان"</f>
        <v xml:space="preserve">  سطح راهان</v>
      </c>
      <c r="Q979" s="1">
        <v>19</v>
      </c>
      <c r="R97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79" s="1" t="str">
        <f t="shared" si="258"/>
        <v>قرارداد فروش</v>
      </c>
      <c r="T979" s="1" t="str">
        <f t="shared" si="259"/>
        <v>ندارد</v>
      </c>
      <c r="U979" s="1" t="str">
        <f>"قانعي محمدرضا(1011ج89)"</f>
        <v>قانعي محمدرضا(1011ج89)</v>
      </c>
      <c r="V979" s="1">
        <v>951900276</v>
      </c>
      <c r="W979" s="1">
        <v>951900276</v>
      </c>
      <c r="X979" s="1" t="str">
        <f>"1395468364"</f>
        <v>1395468364</v>
      </c>
      <c r="Y979" s="1" t="str">
        <f>"95/12/11"</f>
        <v>95/12/11</v>
      </c>
      <c r="Z979" s="1" t="str">
        <f>"61950/710"</f>
        <v>61950/710</v>
      </c>
      <c r="AA979" s="1" t="str">
        <f>"سازمان راهداري وحمل نقل جاده اي"</f>
        <v>سازمان راهداري وحمل نقل جاده اي</v>
      </c>
      <c r="AB979" s="1" t="str">
        <f>"95/12/08"</f>
        <v>95/12/08</v>
      </c>
      <c r="AC979" s="1" t="str">
        <f>"استان يزد"</f>
        <v>استان يزد</v>
      </c>
      <c r="AD979" s="1" t="str">
        <f>"95/12/10"</f>
        <v>95/12/10</v>
      </c>
      <c r="AE979" s="1" t="str">
        <f t="shared" si="263"/>
        <v>اختتام</v>
      </c>
      <c r="AF979" s="1" t="str">
        <f>""</f>
        <v/>
      </c>
      <c r="AG979" s="1" t="str">
        <f>""</f>
        <v/>
      </c>
      <c r="AH979" s="1" t="str">
        <f>""</f>
        <v/>
      </c>
      <c r="AI979" s="1" t="str">
        <f>""</f>
        <v/>
      </c>
      <c r="AJ979" s="1" t="str">
        <f>""</f>
        <v/>
      </c>
      <c r="AK979" s="1" t="str">
        <f>""</f>
        <v/>
      </c>
    </row>
    <row r="980" spans="1:37" x14ac:dyDescent="0.2">
      <c r="A980" s="1">
        <v>700000</v>
      </c>
      <c r="B980" s="1">
        <v>951800095</v>
      </c>
      <c r="C980" s="1" t="str">
        <f>"تخليه -چهارمحال وبختياري -پروژه بانددوم لردگان كوشكي -كارخانه آسفالت كوثرخانميرزا"</f>
        <v>تخليه -چهارمحال وبختياري -پروژه بانددوم لردگان كوشكي -كارخانه آسفالت كوثرخانميرزا</v>
      </c>
      <c r="D980" s="1">
        <v>8323</v>
      </c>
      <c r="E980" s="1">
        <v>698180</v>
      </c>
      <c r="F980" s="1">
        <v>95</v>
      </c>
      <c r="G980" s="1">
        <v>1820</v>
      </c>
      <c r="H980" s="1" t="str">
        <f>"95/08/08"</f>
        <v>95/08/08</v>
      </c>
      <c r="I980" s="1" t="str">
        <f t="shared" si="257"/>
        <v>كيلوگرم</v>
      </c>
      <c r="J980" s="1" t="str">
        <f>"0000000091"</f>
        <v>0000000091</v>
      </c>
      <c r="K980" s="1" t="str">
        <f>"قير  PG64-22"</f>
        <v>قير  PG64-22</v>
      </c>
      <c r="L980" s="1">
        <v>100</v>
      </c>
      <c r="M980" s="1" t="str">
        <f t="shared" si="260"/>
        <v>مخازن قير اصفهان</v>
      </c>
      <c r="N980" s="1">
        <v>10253</v>
      </c>
      <c r="O980" s="1">
        <v>50032340</v>
      </c>
      <c r="P980" s="1" t="str">
        <f>"  مهندسي پروژه هاي آب ونيروي ايران (پانير)"</f>
        <v xml:space="preserve">  مهندسي پروژه هاي آب ونيروي ايران (پانير)</v>
      </c>
      <c r="Q980" s="1">
        <v>18</v>
      </c>
      <c r="R980" s="1" t="str">
        <f>"فروش داخلي تهران - وزارت راه - شرکت ساخت و توسعه راهها"</f>
        <v>فروش داخلي تهران - وزارت راه - شرکت ساخت و توسعه راهها</v>
      </c>
      <c r="S980" s="1" t="str">
        <f t="shared" si="258"/>
        <v>قرارداد فروش</v>
      </c>
      <c r="T980" s="1" t="str">
        <f t="shared" si="259"/>
        <v>ندارد</v>
      </c>
      <c r="U980" s="1" t="str">
        <f>"قره باغي مجيد(1871065)"</f>
        <v>قره باغي مجيد(1871065)</v>
      </c>
      <c r="V980" s="1">
        <v>951800095</v>
      </c>
      <c r="W980" s="1">
        <v>951800095</v>
      </c>
      <c r="X980" s="1" t="str">
        <f>"1395433847"</f>
        <v>1395433847</v>
      </c>
      <c r="Y980" s="1" t="str">
        <f>"95/08/08"</f>
        <v>95/08/08</v>
      </c>
      <c r="Z980" s="1" t="str">
        <f>"30707/510"</f>
        <v>30707/510</v>
      </c>
      <c r="AA980" s="1" t="str">
        <f>"شركت  ساخت وتوسعه راهها"</f>
        <v>شركت  ساخت وتوسعه راهها</v>
      </c>
      <c r="AB980" s="1" t="str">
        <f>"95/06/28"</f>
        <v>95/06/28</v>
      </c>
      <c r="AC980" s="1" t="str">
        <f>"استان چهارمحال بختياري"</f>
        <v>استان چهارمحال بختياري</v>
      </c>
      <c r="AD980" s="1" t="str">
        <f>"95/07/05"</f>
        <v>95/07/05</v>
      </c>
      <c r="AE980" s="1" t="str">
        <f t="shared" si="263"/>
        <v>اختتام</v>
      </c>
      <c r="AF980" s="1" t="str">
        <f>""</f>
        <v/>
      </c>
      <c r="AG980" s="1" t="str">
        <f>""</f>
        <v/>
      </c>
      <c r="AH980" s="1" t="str">
        <f>""</f>
        <v/>
      </c>
      <c r="AI980" s="1" t="str">
        <f>""</f>
        <v/>
      </c>
      <c r="AJ980" s="1" t="str">
        <f>""</f>
        <v/>
      </c>
      <c r="AK980" s="1" t="str">
        <f>""</f>
        <v/>
      </c>
    </row>
    <row r="981" spans="1:37" x14ac:dyDescent="0.2">
      <c r="A981" s="1">
        <v>600000</v>
      </c>
      <c r="B981" s="1">
        <v>951400123</v>
      </c>
      <c r="C981" s="1" t="str">
        <f>"تخليه كهگيلويه وبويراحمدپروژه بهسازي وآسفالت راه ديشموك مله خرسك باغ كلك بناري مورخاني كارخانه مظفرخيرآباد"</f>
        <v>تخليه كهگيلويه وبويراحمدپروژه بهسازي وآسفالت راه ديشموك مله خرسك باغ كلك بناري مورخاني كارخانه مظفرخيرآباد</v>
      </c>
      <c r="D981" s="1">
        <v>9061</v>
      </c>
      <c r="E981" s="1">
        <v>293460</v>
      </c>
      <c r="F981" s="1">
        <v>95</v>
      </c>
      <c r="G981" s="1">
        <v>306540</v>
      </c>
      <c r="H981" s="1" t="str">
        <f>"95/10/18"</f>
        <v>95/10/18</v>
      </c>
      <c r="I981" s="1" t="str">
        <f t="shared" si="257"/>
        <v>كيلوگرم</v>
      </c>
      <c r="J981" s="1" t="str">
        <f>"0000000091"</f>
        <v>0000000091</v>
      </c>
      <c r="K981" s="1" t="str">
        <f>"قير  PG64-22"</f>
        <v>قير  PG64-22</v>
      </c>
      <c r="L981" s="1">
        <v>100</v>
      </c>
      <c r="M981" s="1" t="str">
        <f t="shared" si="260"/>
        <v>مخازن قير اصفهان</v>
      </c>
      <c r="N981" s="1">
        <v>10343</v>
      </c>
      <c r="O981" s="1">
        <v>50033322</v>
      </c>
      <c r="P981" s="1" t="str">
        <f>"  اداره كل راه وشهرسازي كهگيلويه وبويراحمد"</f>
        <v xml:space="preserve">  اداره كل راه وشهرسازي كهگيلويه وبويراحمد</v>
      </c>
      <c r="Q981" s="1">
        <v>14</v>
      </c>
      <c r="R981" s="1" t="str">
        <f>"فروش داخلي - وزارت راه - حوزه راه روستايي ساخت"</f>
        <v>فروش داخلي - وزارت راه - حوزه راه روستايي ساخت</v>
      </c>
      <c r="S981" s="1" t="str">
        <f t="shared" si="258"/>
        <v>قرارداد فروش</v>
      </c>
      <c r="T981" s="1" t="str">
        <f t="shared" si="259"/>
        <v>ندارد</v>
      </c>
      <c r="U981" s="1" t="str">
        <f>"غلام نجفي سيامك‌‌‌‌‌‌(1881082)"</f>
        <v>غلام نجفي سيامك‌‌‌‌‌‌(1881082)</v>
      </c>
      <c r="V981" s="1">
        <v>951400123</v>
      </c>
      <c r="W981" s="1">
        <v>951400123</v>
      </c>
      <c r="X981" s="1" t="str">
        <f>"1395457461"</f>
        <v>1395457461</v>
      </c>
      <c r="Y981" s="1" t="str">
        <f>"95/10/18"</f>
        <v>95/10/18</v>
      </c>
      <c r="Z981" s="1" t="str">
        <f>"50883/710"</f>
        <v>50883/710</v>
      </c>
      <c r="AA981" s="1" t="str">
        <f>"راه وروستايي -ساخت"</f>
        <v>راه وروستايي -ساخت</v>
      </c>
      <c r="AB981" s="1" t="str">
        <f>"95/10/15"</f>
        <v>95/10/15</v>
      </c>
      <c r="AC981" s="1" t="str">
        <f>"كهكيلويه و بوير احمد"</f>
        <v>كهكيلويه و بوير احمد</v>
      </c>
      <c r="AD981" s="1" t="str">
        <f>"95/10/18"</f>
        <v>95/10/18</v>
      </c>
      <c r="AE981" s="1" t="str">
        <f t="shared" si="263"/>
        <v>اختتام</v>
      </c>
      <c r="AF981" s="1" t="str">
        <f>""</f>
        <v/>
      </c>
      <c r="AG981" s="1" t="str">
        <f>""</f>
        <v/>
      </c>
      <c r="AH981" s="1" t="str">
        <f>""</f>
        <v/>
      </c>
      <c r="AI981" s="1" t="str">
        <f>""</f>
        <v/>
      </c>
      <c r="AJ981" s="1" t="str">
        <f>""</f>
        <v/>
      </c>
      <c r="AK981" s="1" t="str">
        <f>""</f>
        <v/>
      </c>
    </row>
    <row r="982" spans="1:37" x14ac:dyDescent="0.2">
      <c r="A982" s="1">
        <v>500000</v>
      </c>
      <c r="B982" s="1">
        <v>951800018</v>
      </c>
      <c r="C982" s="1" t="str">
        <f>"تخليه -يزد-كيلومتر63محوراردكان -چوپانان -جهادنصريزد"</f>
        <v>تخليه -يزد-كيلومتر63محوراردكان -چوپانان -جهادنصريزد</v>
      </c>
      <c r="D982" s="1">
        <v>6050</v>
      </c>
      <c r="E982" s="1">
        <v>498320</v>
      </c>
      <c r="F982" s="1">
        <v>95</v>
      </c>
      <c r="G982" s="1">
        <v>1680</v>
      </c>
      <c r="H982" s="1" t="str">
        <f>"95/03/24"</f>
        <v>95/03/24</v>
      </c>
      <c r="I982" s="1" t="str">
        <f t="shared" si="257"/>
        <v>كيلوگرم</v>
      </c>
      <c r="J982" s="1" t="str">
        <f>"0000000092"</f>
        <v>0000000092</v>
      </c>
      <c r="K982" s="1" t="str">
        <f>"قير  PG64-16"</f>
        <v>قير  PG64-16</v>
      </c>
      <c r="L982" s="1">
        <v>100</v>
      </c>
      <c r="M982" s="1" t="str">
        <f t="shared" si="260"/>
        <v>مخازن قير اصفهان</v>
      </c>
      <c r="N982" s="1">
        <v>1665</v>
      </c>
      <c r="O982" s="1">
        <v>50031027</v>
      </c>
      <c r="P982" s="1" t="str">
        <f>"  جهاد نصر يزد"</f>
        <v xml:space="preserve">  جهاد نصر يزد</v>
      </c>
      <c r="Q982" s="1">
        <v>18</v>
      </c>
      <c r="R982" s="1" t="str">
        <f>"فروش داخلي تهران - وزارت راه - شرکت ساخت و توسعه راهها"</f>
        <v>فروش داخلي تهران - وزارت راه - شرکت ساخت و توسعه راهها</v>
      </c>
      <c r="S982" s="1" t="str">
        <f t="shared" si="258"/>
        <v>قرارداد فروش</v>
      </c>
      <c r="T982" s="1" t="str">
        <f t="shared" si="259"/>
        <v>ندارد</v>
      </c>
      <c r="U982" s="1" t="str">
        <f>"غلام نجفي سيامك‌‌‌‌‌‌(1881082)"</f>
        <v>غلام نجفي سيامك‌‌‌‌‌‌(1881082)</v>
      </c>
      <c r="V982" s="1">
        <v>951800018</v>
      </c>
      <c r="W982" s="1">
        <v>951800018</v>
      </c>
      <c r="X982" s="1" t="str">
        <f>"1395409036"</f>
        <v>1395409036</v>
      </c>
      <c r="Y982" s="1" t="str">
        <f>"95/03/24"</f>
        <v>95/03/24</v>
      </c>
      <c r="Z982" s="1" t="str">
        <f>"11092/510"</f>
        <v>11092/510</v>
      </c>
      <c r="AA982" s="1" t="str">
        <f>"شركت  ساخت وتوسعه راهها"</f>
        <v>شركت  ساخت وتوسعه راهها</v>
      </c>
      <c r="AB982" s="1" t="str">
        <f>"95/03/18"</f>
        <v>95/03/18</v>
      </c>
      <c r="AC982" s="1" t="str">
        <f>"استان يزد"</f>
        <v>استان يزد</v>
      </c>
      <c r="AD982" s="1" t="str">
        <f>"95/03/24"</f>
        <v>95/03/24</v>
      </c>
      <c r="AE982" s="1" t="str">
        <f t="shared" si="263"/>
        <v>اختتام</v>
      </c>
      <c r="AF982" s="1" t="str">
        <f>""</f>
        <v/>
      </c>
      <c r="AG982" s="1" t="str">
        <f>""</f>
        <v/>
      </c>
      <c r="AH982" s="1" t="str">
        <f>""</f>
        <v/>
      </c>
      <c r="AI982" s="1" t="str">
        <f>""</f>
        <v/>
      </c>
      <c r="AJ982" s="1" t="str">
        <f>""</f>
        <v/>
      </c>
      <c r="AK982" s="1" t="str">
        <f>""</f>
        <v/>
      </c>
    </row>
    <row r="983" spans="1:37" x14ac:dyDescent="0.2">
      <c r="A983" s="1">
        <v>1000000</v>
      </c>
      <c r="B983" s="1">
        <v>951900152</v>
      </c>
      <c r="C983" s="1" t="str">
        <f>"تخليه -استان مركزي -كارگاه شركت آزادراه ساوه سلفچگان"</f>
        <v>تخليه -استان مركزي -كارگاه شركت آزادراه ساوه سلفچگان</v>
      </c>
      <c r="D983" s="1">
        <v>7276</v>
      </c>
      <c r="E983" s="1">
        <v>999860</v>
      </c>
      <c r="F983" s="1">
        <v>95</v>
      </c>
      <c r="G983" s="1">
        <v>140</v>
      </c>
      <c r="H983" s="1" t="str">
        <f>"95/07/04"</f>
        <v>95/07/04</v>
      </c>
      <c r="I983" s="1" t="str">
        <f t="shared" si="257"/>
        <v>كيلوگرم</v>
      </c>
      <c r="J983" s="1" t="str">
        <f>"0000000092"</f>
        <v>0000000092</v>
      </c>
      <c r="K983" s="1" t="str">
        <f>"قير  PG64-16"</f>
        <v>قير  PG64-16</v>
      </c>
      <c r="L983" s="1">
        <v>100</v>
      </c>
      <c r="M983" s="1" t="str">
        <f t="shared" si="260"/>
        <v>مخازن قير اصفهان</v>
      </c>
      <c r="N983" s="1">
        <v>10553</v>
      </c>
      <c r="O983" s="1">
        <v>50031935</v>
      </c>
      <c r="P983" s="1" t="str">
        <f>"  آزادراه ساوه سلفچگان"</f>
        <v xml:space="preserve">  آزادراه ساوه سلفچگان</v>
      </c>
      <c r="Q983" s="1">
        <v>19</v>
      </c>
      <c r="R98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3" s="1" t="str">
        <f t="shared" si="258"/>
        <v>قرارداد فروش</v>
      </c>
      <c r="T983" s="1" t="str">
        <f t="shared" si="259"/>
        <v>ندارد</v>
      </c>
      <c r="U983" s="1" t="str">
        <f>"فتاح زاده سيداحمد(3843011)"</f>
        <v>فتاح زاده سيداحمد(3843011)</v>
      </c>
      <c r="V983" s="1">
        <v>951900152</v>
      </c>
      <c r="W983" s="1">
        <v>951900152</v>
      </c>
      <c r="X983" s="1" t="str">
        <f>"1395433637"</f>
        <v>1395433637</v>
      </c>
      <c r="Y983" s="1" t="str">
        <f>"95/07/04"</f>
        <v>95/07/04</v>
      </c>
      <c r="Z983" s="1" t="str">
        <f>"30677/510"</f>
        <v>30677/510</v>
      </c>
      <c r="AA983" s="1" t="str">
        <f>"سازمان راهداري وحمل نقل جاده اي"</f>
        <v>سازمان راهداري وحمل نقل جاده اي</v>
      </c>
      <c r="AB983" s="1" t="str">
        <f>"95/06/28"</f>
        <v>95/06/28</v>
      </c>
      <c r="AC983" s="1" t="str">
        <f>"استان مركزي"</f>
        <v>استان مركزي</v>
      </c>
      <c r="AD983" s="1" t="str">
        <f>"95/07/04"</f>
        <v>95/07/04</v>
      </c>
      <c r="AE983" s="1" t="str">
        <f t="shared" si="263"/>
        <v>اختتام</v>
      </c>
      <c r="AF983" s="1" t="str">
        <f>""</f>
        <v/>
      </c>
      <c r="AG983" s="1" t="str">
        <f>""</f>
        <v/>
      </c>
      <c r="AH983" s="1" t="str">
        <f>""</f>
        <v/>
      </c>
      <c r="AI983" s="1" t="str">
        <f>""</f>
        <v/>
      </c>
      <c r="AJ983" s="1" t="str">
        <f>""</f>
        <v/>
      </c>
      <c r="AK983" s="1" t="str">
        <f>""</f>
        <v/>
      </c>
    </row>
    <row r="984" spans="1:37" x14ac:dyDescent="0.2">
      <c r="A984" s="1">
        <v>431000</v>
      </c>
      <c r="B984" s="1">
        <v>951700207</v>
      </c>
      <c r="C984" s="1" t="str">
        <f>"تخليه -لرستان -كيلومتر8جاده خرم آباد-الشتر(تنگ شبيخون )ابتداي جاده پارك جنگلي مخملكوه كارخانه آسفالت مشكين راه رباط"</f>
        <v>تخليه -لرستان -كيلومتر8جاده خرم آباد-الشتر(تنگ شبيخون )ابتداي جاده پارك جنگلي مخملكوه كارخانه آسفالت مشكين راه رباط</v>
      </c>
      <c r="D984" s="1">
        <v>7176</v>
      </c>
      <c r="E984" s="1">
        <v>430120</v>
      </c>
      <c r="F984" s="1">
        <v>95</v>
      </c>
      <c r="G984" s="1">
        <v>880</v>
      </c>
      <c r="H984" s="1" t="str">
        <f>"95/06/23"</f>
        <v>95/06/23</v>
      </c>
      <c r="I984" s="1" t="str">
        <f t="shared" si="257"/>
        <v>كيلوگرم</v>
      </c>
      <c r="J984" s="1" t="str">
        <f>"0000000092"</f>
        <v>0000000092</v>
      </c>
      <c r="K984" s="1" t="str">
        <f>"قير  PG64-16"</f>
        <v>قير  PG64-16</v>
      </c>
      <c r="L984" s="1">
        <v>100</v>
      </c>
      <c r="M984" s="1" t="str">
        <f t="shared" si="260"/>
        <v>مخازن قير اصفهان</v>
      </c>
      <c r="N984" s="1">
        <v>10617</v>
      </c>
      <c r="O984" s="1">
        <v>50031856</v>
      </c>
      <c r="P984" s="1" t="str">
        <f>"  مشكين راه رباط"</f>
        <v xml:space="preserve">  مشكين راه رباط</v>
      </c>
      <c r="Q984" s="1">
        <v>17</v>
      </c>
      <c r="R984" s="1" t="str">
        <f>"فروش داخلي تهران - وزارت راه - راه روستايي - روکش"</f>
        <v>فروش داخلي تهران - وزارت راه - راه روستايي - روکش</v>
      </c>
      <c r="S984" s="1" t="str">
        <f t="shared" si="258"/>
        <v>قرارداد فروش</v>
      </c>
      <c r="T984" s="1" t="str">
        <f t="shared" si="259"/>
        <v>ندارد</v>
      </c>
      <c r="U984" s="1" t="str">
        <f>"(دارابي) اسماعيل(2842035)"</f>
        <v>(دارابي) اسماعيل(2842035)</v>
      </c>
      <c r="V984" s="1">
        <v>951700207</v>
      </c>
      <c r="W984" s="1">
        <v>951700207</v>
      </c>
      <c r="X984" s="1" t="str">
        <f>"1395430747"</f>
        <v>1395430747</v>
      </c>
      <c r="Y984" s="1" t="str">
        <f>"95/06/23"</f>
        <v>95/06/23</v>
      </c>
      <c r="Z984" s="1" t="str">
        <f>"29077/510"</f>
        <v>29077/510</v>
      </c>
      <c r="AA984" s="1" t="str">
        <f>"راه روستائي -روكش"</f>
        <v>راه روستائي -روكش</v>
      </c>
      <c r="AB984" s="1" t="str">
        <f>"95/06/17"</f>
        <v>95/06/17</v>
      </c>
      <c r="AC984" s="1" t="str">
        <f>"لرستان"</f>
        <v>لرستان</v>
      </c>
      <c r="AD984" s="1" t="str">
        <f>"95/06/21"</f>
        <v>95/06/21</v>
      </c>
      <c r="AE984" s="1" t="str">
        <f t="shared" si="263"/>
        <v>اختتام</v>
      </c>
      <c r="AF984" s="1" t="str">
        <f>""</f>
        <v/>
      </c>
      <c r="AG984" s="1" t="str">
        <f>""</f>
        <v/>
      </c>
      <c r="AH984" s="1" t="str">
        <f>""</f>
        <v/>
      </c>
      <c r="AI984" s="1" t="str">
        <f>""</f>
        <v/>
      </c>
      <c r="AJ984" s="1" t="str">
        <f>""</f>
        <v/>
      </c>
      <c r="AK984" s="1" t="str">
        <f>""</f>
        <v/>
      </c>
    </row>
    <row r="985" spans="1:37" x14ac:dyDescent="0.2">
      <c r="A985" s="1">
        <v>800000</v>
      </c>
      <c r="B985" s="1">
        <v>951300014</v>
      </c>
      <c r="C985" s="1" t="str">
        <f>"تخليه-شهرک صنعتي بيرجند-شرکت همواره ره آذر"</f>
        <v>تخليه-شهرک صنعتي بيرجند-شرکت همواره ره آذر</v>
      </c>
      <c r="D985" s="1">
        <v>6726</v>
      </c>
      <c r="E985" s="1">
        <v>799360</v>
      </c>
      <c r="F985" s="1">
        <v>95</v>
      </c>
      <c r="G985" s="1">
        <v>640</v>
      </c>
      <c r="H985" s="1" t="str">
        <f>"95/05/06"</f>
        <v>95/05/06</v>
      </c>
      <c r="I985" s="1" t="str">
        <f t="shared" si="257"/>
        <v>كيلوگرم</v>
      </c>
      <c r="J985" s="1" t="str">
        <f>"0000000092"</f>
        <v>0000000092</v>
      </c>
      <c r="K985" s="1" t="str">
        <f>"قير  PG64-16"</f>
        <v>قير  PG64-16</v>
      </c>
      <c r="L985" s="1">
        <v>100</v>
      </c>
      <c r="M985" s="1" t="str">
        <f t="shared" si="260"/>
        <v>مخازن قير اصفهان</v>
      </c>
      <c r="N985" s="1">
        <v>10682</v>
      </c>
      <c r="O985" s="1">
        <v>50031372</v>
      </c>
      <c r="P985" s="1" t="str">
        <f>"  بنياد مسکن انقلاب  اسلامي خراسان جنوبي"</f>
        <v xml:space="preserve">  بنياد مسکن انقلاب  اسلامي خراسان جنوبي</v>
      </c>
      <c r="Q985" s="1">
        <v>13</v>
      </c>
      <c r="R985" s="1" t="str">
        <f>"فروش داخلي - وزارت راه - حوزه بنياد مسكن"</f>
        <v>فروش داخلي - وزارت راه - حوزه بنياد مسكن</v>
      </c>
      <c r="S985" s="1" t="str">
        <f t="shared" si="258"/>
        <v>قرارداد فروش</v>
      </c>
      <c r="T985" s="1" t="str">
        <f t="shared" si="259"/>
        <v>ندارد</v>
      </c>
      <c r="U985" s="1" t="str">
        <f>"آقا علي منوچهر(1016ج89)"</f>
        <v>آقا علي منوچهر(1016ج89)</v>
      </c>
      <c r="V985" s="1">
        <v>951300014</v>
      </c>
      <c r="W985" s="1">
        <v>951300014</v>
      </c>
      <c r="X985" s="1" t="str">
        <f>"1395418089"</f>
        <v>1395418089</v>
      </c>
      <c r="Y985" s="1" t="str">
        <f>"95/05/06"</f>
        <v>95/05/06</v>
      </c>
      <c r="Z985" s="1" t="str">
        <f>"18723/510"</f>
        <v>18723/510</v>
      </c>
      <c r="AA985" s="1" t="str">
        <f>"بنياد مسكن -مسكن مهر"</f>
        <v>بنياد مسكن -مسكن مهر</v>
      </c>
      <c r="AB985" s="1" t="str">
        <f>"95/04/29"</f>
        <v>95/04/29</v>
      </c>
      <c r="AC985" s="1" t="str">
        <f>"خراسان جنوبي"</f>
        <v>خراسان جنوبي</v>
      </c>
      <c r="AD985" s="1" t="str">
        <f>"95/05/05"</f>
        <v>95/05/05</v>
      </c>
      <c r="AE985" s="1" t="str">
        <f t="shared" si="263"/>
        <v>اختتام</v>
      </c>
      <c r="AF985" s="1" t="str">
        <f>""</f>
        <v/>
      </c>
      <c r="AG985" s="1" t="str">
        <f>""</f>
        <v/>
      </c>
      <c r="AH985" s="1" t="str">
        <f>""</f>
        <v/>
      </c>
      <c r="AI985" s="1" t="str">
        <f>""</f>
        <v/>
      </c>
      <c r="AJ985" s="1" t="str">
        <f>""</f>
        <v/>
      </c>
      <c r="AK985" s="1" t="str">
        <f>""</f>
        <v/>
      </c>
    </row>
    <row r="986" spans="1:37" x14ac:dyDescent="0.2">
      <c r="A986" s="1">
        <v>306000</v>
      </c>
      <c r="B986" s="1">
        <v>951300016</v>
      </c>
      <c r="C986" s="1" t="str">
        <f>"تخليه - خراسان جنوبي -شهرستان قاين-شهر اسفدن-کارخانه آسفالت شرکت توس راديه"</f>
        <v>تخليه - خراسان جنوبي -شهرستان قاين-شهر اسفدن-کارخانه آسفالت شرکت توس راديه</v>
      </c>
      <c r="D986" s="1">
        <v>6726</v>
      </c>
      <c r="E986" s="1">
        <v>305200</v>
      </c>
      <c r="F986" s="1">
        <v>95</v>
      </c>
      <c r="G986" s="1">
        <v>800</v>
      </c>
      <c r="H986" s="1" t="str">
        <f>"95/05/06"</f>
        <v>95/05/06</v>
      </c>
      <c r="I986" s="1" t="str">
        <f t="shared" si="257"/>
        <v>كيلوگرم</v>
      </c>
      <c r="J986" s="1" t="str">
        <f>"0000000092"</f>
        <v>0000000092</v>
      </c>
      <c r="K986" s="1" t="str">
        <f>"قير  PG64-16"</f>
        <v>قير  PG64-16</v>
      </c>
      <c r="L986" s="1">
        <v>100</v>
      </c>
      <c r="M986" s="1" t="str">
        <f t="shared" si="260"/>
        <v>مخازن قير اصفهان</v>
      </c>
      <c r="N986" s="1">
        <v>10682</v>
      </c>
      <c r="O986" s="1">
        <v>50031374</v>
      </c>
      <c r="P986" s="1" t="str">
        <f>"  بنياد مسکن انقلاب  اسلامي خراسان جنوبي"</f>
        <v xml:space="preserve">  بنياد مسکن انقلاب  اسلامي خراسان جنوبي</v>
      </c>
      <c r="Q986" s="1">
        <v>13</v>
      </c>
      <c r="R986" s="1" t="str">
        <f>"فروش داخلي - وزارت راه - حوزه بنياد مسكن"</f>
        <v>فروش داخلي - وزارت راه - حوزه بنياد مسكن</v>
      </c>
      <c r="S986" s="1" t="str">
        <f t="shared" si="258"/>
        <v>قرارداد فروش</v>
      </c>
      <c r="T986" s="1" t="str">
        <f t="shared" si="259"/>
        <v>ندارد</v>
      </c>
      <c r="U986" s="1" t="str">
        <f>"كاردان اسپادان راه مصطفي  (1911100)"</f>
        <v>كاردان اسپادان راه مصطفي  (1911100)</v>
      </c>
      <c r="V986" s="1">
        <v>951300016</v>
      </c>
      <c r="W986" s="1">
        <v>951300016</v>
      </c>
      <c r="X986" s="1" t="str">
        <f>"1395418089"</f>
        <v>1395418089</v>
      </c>
      <c r="Y986" s="1" t="str">
        <f>"95/05/06"</f>
        <v>95/05/06</v>
      </c>
      <c r="Z986" s="1" t="str">
        <f>"18723/510"</f>
        <v>18723/510</v>
      </c>
      <c r="AA986" s="1" t="str">
        <f>"بنياد مسكن -مسكن مهر"</f>
        <v>بنياد مسكن -مسكن مهر</v>
      </c>
      <c r="AB986" s="1" t="str">
        <f>"95/04/29"</f>
        <v>95/04/29</v>
      </c>
      <c r="AC986" s="1" t="str">
        <f>"خراسان جنوبي"</f>
        <v>خراسان جنوبي</v>
      </c>
      <c r="AD986" s="1" t="str">
        <f>"95/05/05"</f>
        <v>95/05/05</v>
      </c>
      <c r="AE986" s="1" t="str">
        <f t="shared" si="263"/>
        <v>اختتام</v>
      </c>
      <c r="AF986" s="1" t="str">
        <f>""</f>
        <v/>
      </c>
      <c r="AG986" s="1" t="str">
        <f>""</f>
        <v/>
      </c>
      <c r="AH986" s="1" t="str">
        <f>""</f>
        <v/>
      </c>
      <c r="AI986" s="1" t="str">
        <f>""</f>
        <v/>
      </c>
      <c r="AJ986" s="1" t="str">
        <f>""</f>
        <v/>
      </c>
      <c r="AK986" s="1" t="str">
        <f>""</f>
        <v/>
      </c>
    </row>
    <row r="987" spans="1:37" x14ac:dyDescent="0.2">
      <c r="A987" s="1">
        <v>500000</v>
      </c>
      <c r="B987" s="1">
        <v>951900033</v>
      </c>
      <c r="C987" s="1" t="str">
        <f>"تخليه-کاشمر-محور شادمهر-نرسيده به ميدان شهرباني-کيلومتر4سمت راست"</f>
        <v>تخليه-کاشمر-محور شادمهر-نرسيده به ميدان شهرباني-کيلومتر4سمت راست</v>
      </c>
      <c r="D987" s="1">
        <v>6250</v>
      </c>
      <c r="E987" s="1">
        <v>500000</v>
      </c>
      <c r="F987" s="1">
        <v>95</v>
      </c>
      <c r="G987" s="1">
        <v>0</v>
      </c>
      <c r="H987" s="1" t="str">
        <f>"95/04/12"</f>
        <v>95/04/12</v>
      </c>
      <c r="I987" s="1" t="str">
        <f t="shared" si="257"/>
        <v>كيلوگرم</v>
      </c>
      <c r="J987" s="1" t="str">
        <f>"0000000091"</f>
        <v>0000000091</v>
      </c>
      <c r="K987" s="1" t="str">
        <f>"قير  PG64-22"</f>
        <v>قير  PG64-22</v>
      </c>
      <c r="L987" s="1">
        <v>100</v>
      </c>
      <c r="M987" s="1" t="str">
        <f t="shared" si="260"/>
        <v>مخازن قير اصفهان</v>
      </c>
      <c r="N987" s="1">
        <v>10478</v>
      </c>
      <c r="O987" s="1">
        <v>50031181</v>
      </c>
      <c r="P987" s="1" t="str">
        <f>"  نودژراه مطلق"</f>
        <v xml:space="preserve">  نودژراه مطلق</v>
      </c>
      <c r="Q987" s="1">
        <v>19</v>
      </c>
      <c r="R9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7" s="1" t="str">
        <f t="shared" si="258"/>
        <v>قرارداد فروش</v>
      </c>
      <c r="T987" s="1" t="str">
        <f t="shared" si="259"/>
        <v>ندارد</v>
      </c>
      <c r="U987" s="1" t="str">
        <f>"ترك شاهسوندي مهدي(1022ج89)"</f>
        <v>ترك شاهسوندي مهدي(1022ج89)</v>
      </c>
      <c r="V987" s="1">
        <v>951900033</v>
      </c>
      <c r="W987" s="1">
        <v>951900033</v>
      </c>
      <c r="X987" s="1" t="str">
        <f>"1395412598"</f>
        <v>1395412598</v>
      </c>
      <c r="Y987" s="1" t="str">
        <f>"95/04/12"</f>
        <v>95/04/12</v>
      </c>
      <c r="Z987" s="1" t="str">
        <f>"14715/510"</f>
        <v>14715/510</v>
      </c>
      <c r="AA987" s="1" t="str">
        <f>"سازمان راهداري وحمل نقل جاده اي"</f>
        <v>سازمان راهداري وحمل نقل جاده اي</v>
      </c>
      <c r="AB987" s="1" t="str">
        <f>"95/04/08"</f>
        <v>95/04/08</v>
      </c>
      <c r="AC987" s="1" t="str">
        <f>"خراسان رضوي"</f>
        <v>خراسان رضوي</v>
      </c>
      <c r="AD987" s="1" t="str">
        <f>"95/04/12"</f>
        <v>95/04/12</v>
      </c>
      <c r="AE987" s="1" t="str">
        <f t="shared" si="263"/>
        <v>اختتام</v>
      </c>
      <c r="AF987" s="1" t="str">
        <f>""</f>
        <v/>
      </c>
      <c r="AG987" s="1" t="str">
        <f>""</f>
        <v/>
      </c>
      <c r="AH987" s="1" t="str">
        <f>""</f>
        <v/>
      </c>
      <c r="AI987" s="1" t="str">
        <f>""</f>
        <v/>
      </c>
      <c r="AJ987" s="1" t="str">
        <f>""</f>
        <v/>
      </c>
      <c r="AK987" s="1" t="str">
        <f>""</f>
        <v/>
      </c>
    </row>
    <row r="988" spans="1:37" x14ac:dyDescent="0.2">
      <c r="A988" s="1">
        <v>793000</v>
      </c>
      <c r="B988" s="1">
        <v>951400009</v>
      </c>
      <c r="C988" s="1" t="str">
        <f>"تخليه -كرمانشاه كيلومتر23محورجوانرود-ثلاث كارخانه آسفالت پيشگامان"</f>
        <v>تخليه -كرمانشاه كيلومتر23محورجوانرود-ثلاث كارخانه آسفالت پيشگامان</v>
      </c>
      <c r="D988" s="1">
        <v>5650</v>
      </c>
      <c r="E988" s="1">
        <v>791940</v>
      </c>
      <c r="F988" s="1">
        <v>95</v>
      </c>
      <c r="G988" s="1">
        <v>1060</v>
      </c>
      <c r="H988" s="1" t="str">
        <f>"95/02/13"</f>
        <v>95/02/13</v>
      </c>
      <c r="I988" s="1" t="str">
        <f t="shared" si="257"/>
        <v>كيلوگرم</v>
      </c>
      <c r="J988" s="1" t="str">
        <f>"0000000091"</f>
        <v>0000000091</v>
      </c>
      <c r="K988" s="1" t="str">
        <f>"قير  PG64-22"</f>
        <v>قير  PG64-22</v>
      </c>
      <c r="L988" s="1">
        <v>100</v>
      </c>
      <c r="M988" s="1" t="str">
        <f t="shared" si="260"/>
        <v>مخازن قير اصفهان</v>
      </c>
      <c r="N988" s="1">
        <v>10517</v>
      </c>
      <c r="O988" s="1">
        <v>50030697</v>
      </c>
      <c r="P988" s="1" t="str">
        <f>"  پيشگامان پيمان"</f>
        <v xml:space="preserve">  پيشگامان پيمان</v>
      </c>
      <c r="Q988" s="1">
        <v>14</v>
      </c>
      <c r="R988" s="1" t="str">
        <f>"فروش داخلي - وزارت راه - حوزه راه روستايي ساخت"</f>
        <v>فروش داخلي - وزارت راه - حوزه راه روستايي ساخت</v>
      </c>
      <c r="S988" s="1" t="str">
        <f t="shared" si="258"/>
        <v>قرارداد فروش</v>
      </c>
      <c r="T988" s="1" t="str">
        <f t="shared" si="259"/>
        <v>ندارد</v>
      </c>
      <c r="U988" s="1" t="str">
        <f>"ميهن دوست عبداله(2842010)"</f>
        <v>ميهن دوست عبداله(2842010)</v>
      </c>
      <c r="V988" s="1">
        <v>951400009</v>
      </c>
      <c r="W988" s="1">
        <v>951400009</v>
      </c>
      <c r="X988" s="1" t="str">
        <f>"1395401950"</f>
        <v>1395401950</v>
      </c>
      <c r="Y988" s="1" t="str">
        <f>"95/02/12"</f>
        <v>95/02/12</v>
      </c>
      <c r="Z988" s="1" t="str">
        <f>"62062/510"</f>
        <v>62062/510</v>
      </c>
      <c r="AA988" s="1" t="str">
        <f>"راه وروستايي -ساخت"</f>
        <v>راه وروستايي -ساخت</v>
      </c>
      <c r="AB988" s="1" t="str">
        <f>"94/11/11"</f>
        <v>94/11/11</v>
      </c>
      <c r="AC988" s="1" t="str">
        <f>"استان كرمانشاه"</f>
        <v>استان كرمانشاه</v>
      </c>
      <c r="AD988" s="1" t="str">
        <f>"95/02/11"</f>
        <v>95/02/11</v>
      </c>
      <c r="AE988" s="1" t="str">
        <f t="shared" si="263"/>
        <v>اختتام</v>
      </c>
      <c r="AF988" s="1" t="str">
        <f>""</f>
        <v/>
      </c>
      <c r="AG988" s="1" t="str">
        <f>""</f>
        <v/>
      </c>
      <c r="AH988" s="1" t="str">
        <f>""</f>
        <v/>
      </c>
      <c r="AI988" s="1" t="str">
        <f>""</f>
        <v/>
      </c>
      <c r="AJ988" s="1" t="str">
        <f>""</f>
        <v/>
      </c>
      <c r="AK988" s="1" t="str">
        <f>""</f>
        <v/>
      </c>
    </row>
    <row r="989" spans="1:37" x14ac:dyDescent="0.2">
      <c r="A989" s="1">
        <v>194000</v>
      </c>
      <c r="B989" s="1">
        <v>956200108</v>
      </c>
      <c r="C989" s="1" t="str">
        <f>"تخليه ايلام كيلومتر65جاده اسلام آبادغرب به طرف پلدخترنرسيده به شهرك توحيدكارخانه آسفالت آج راه غرب"</f>
        <v>تخليه ايلام كيلومتر65جاده اسلام آبادغرب به طرف پلدخترنرسيده به شهرك توحيدكارخانه آسفالت آج راه غرب</v>
      </c>
      <c r="D989" s="1">
        <v>7026</v>
      </c>
      <c r="E989" s="1">
        <v>192320</v>
      </c>
      <c r="F989" s="1">
        <v>95</v>
      </c>
      <c r="G989" s="1">
        <v>1680</v>
      </c>
      <c r="H989" s="1" t="str">
        <f>"95/09/21"</f>
        <v>95/09/21</v>
      </c>
      <c r="I989" s="1" t="str">
        <f t="shared" si="257"/>
        <v>كيلوگرم</v>
      </c>
      <c r="J989" s="1" t="str">
        <f>"0000000076"</f>
        <v>0000000076</v>
      </c>
      <c r="K989" s="1" t="str">
        <f>"قير 60/70 - فله"</f>
        <v>قير 60/70 - فله</v>
      </c>
      <c r="L989" s="1">
        <v>100</v>
      </c>
      <c r="M989" s="1" t="str">
        <f t="shared" si="260"/>
        <v>مخازن قير اصفهان</v>
      </c>
      <c r="N989" s="1">
        <v>8293</v>
      </c>
      <c r="O989" s="1">
        <v>50032982</v>
      </c>
      <c r="P989" s="1" t="str">
        <f>"  آج راه غرب"</f>
        <v xml:space="preserve">  آج راه غرب</v>
      </c>
      <c r="Q989" s="1">
        <v>62</v>
      </c>
      <c r="R989" s="1" t="str">
        <f>"فروش داخلي - سازمان بنيادمسكن انقلاب اسلامي"</f>
        <v>فروش داخلي - سازمان بنيادمسكن انقلاب اسلامي</v>
      </c>
      <c r="S989" s="1" t="str">
        <f t="shared" si="258"/>
        <v>قرارداد فروش</v>
      </c>
      <c r="T989" s="1" t="str">
        <f t="shared" si="259"/>
        <v>ندارد</v>
      </c>
      <c r="U989" s="1" t="str">
        <f>"قره باغي مجيد(1871065)"</f>
        <v>قره باغي مجيد(1871065)</v>
      </c>
      <c r="V989" s="1">
        <v>956200108</v>
      </c>
      <c r="W989" s="1">
        <v>956200108</v>
      </c>
      <c r="X989" s="1" t="str">
        <f>"1395451281"</f>
        <v>1395451281</v>
      </c>
      <c r="Y989" s="1" t="str">
        <f>"95/09/21"</f>
        <v>95/09/21</v>
      </c>
      <c r="Z989" s="1" t="str">
        <f>"39491/د"</f>
        <v>39491/د</v>
      </c>
      <c r="AA989" s="1" t="str">
        <f>"بنيادمسكن انقلاب اسلامي"</f>
        <v>بنيادمسكن انقلاب اسلامي</v>
      </c>
      <c r="AB989" s="1" t="str">
        <f>"95/09/20"</f>
        <v>95/09/20</v>
      </c>
      <c r="AC989" s="1" t="str">
        <f>"استان ايلام"</f>
        <v>استان ايلام</v>
      </c>
      <c r="AD989" s="1" t="str">
        <f>"95/09/21"</f>
        <v>95/09/21</v>
      </c>
      <c r="AE989" s="1" t="str">
        <f t="shared" si="263"/>
        <v>اختتام</v>
      </c>
      <c r="AF989" s="1" t="str">
        <f>""</f>
        <v/>
      </c>
      <c r="AG989" s="1" t="str">
        <f>""</f>
        <v/>
      </c>
      <c r="AH989" s="1" t="str">
        <f>""</f>
        <v/>
      </c>
      <c r="AI989" s="1" t="str">
        <f>""</f>
        <v/>
      </c>
      <c r="AJ989" s="1" t="str">
        <f>""</f>
        <v/>
      </c>
      <c r="AK989" s="1" t="str">
        <f>""</f>
        <v/>
      </c>
    </row>
    <row r="990" spans="1:37" x14ac:dyDescent="0.2">
      <c r="A990" s="1">
        <v>1000000</v>
      </c>
      <c r="B990" s="1">
        <v>951800058</v>
      </c>
      <c r="C990" s="1" t="str">
        <f>"تخليه -يزد-كيلومتر63محوراردكان -چوپانان -جهادنصريزد"</f>
        <v>تخليه -يزد-كيلومتر63محوراردكان -چوپانان -جهادنصريزد</v>
      </c>
      <c r="D990" s="1">
        <v>7176</v>
      </c>
      <c r="E990" s="1">
        <v>760040</v>
      </c>
      <c r="F990" s="1">
        <v>95</v>
      </c>
      <c r="G990" s="1">
        <v>239960</v>
      </c>
      <c r="H990" s="1" t="str">
        <f>"95/06/04"</f>
        <v>95/06/04</v>
      </c>
      <c r="I990" s="1" t="str">
        <f t="shared" si="257"/>
        <v>كيلوگرم</v>
      </c>
      <c r="J990" s="1" t="str">
        <f>"0000000092"</f>
        <v>0000000092</v>
      </c>
      <c r="K990" s="1" t="str">
        <f>"قير  PG64-16"</f>
        <v>قير  PG64-16</v>
      </c>
      <c r="L990" s="1">
        <v>100</v>
      </c>
      <c r="M990" s="1" t="str">
        <f t="shared" si="260"/>
        <v>مخازن قير اصفهان</v>
      </c>
      <c r="N990" s="1">
        <v>1665</v>
      </c>
      <c r="O990" s="1">
        <v>50031640</v>
      </c>
      <c r="P990" s="1" t="str">
        <f>"  جهاد نصر يزد"</f>
        <v xml:space="preserve">  جهاد نصر يزد</v>
      </c>
      <c r="Q990" s="1">
        <v>18</v>
      </c>
      <c r="R990" s="1" t="str">
        <f>"فروش داخلي تهران - وزارت راه - شرکت ساخت و توسعه راهها"</f>
        <v>فروش داخلي تهران - وزارت راه - شرکت ساخت و توسعه راهها</v>
      </c>
      <c r="S990" s="1" t="str">
        <f t="shared" si="258"/>
        <v>قرارداد فروش</v>
      </c>
      <c r="T990" s="1" t="str">
        <f t="shared" si="259"/>
        <v>ندارد</v>
      </c>
      <c r="U990" s="1" t="str">
        <f>"غلام نجفي سيامك‌‌‌‌‌‌(1881082)"</f>
        <v>غلام نجفي سيامك‌‌‌‌‌‌(1881082)</v>
      </c>
      <c r="V990" s="1">
        <v>951800058</v>
      </c>
      <c r="W990" s="1">
        <v>951800058</v>
      </c>
      <c r="X990" s="1" t="str">
        <f>"1395426704"</f>
        <v>1395426704</v>
      </c>
      <c r="Y990" s="1" t="str">
        <f>"95/06/04"</f>
        <v>95/06/04</v>
      </c>
      <c r="Z990" s="1" t="str">
        <f>"23946/510"</f>
        <v>23946/510</v>
      </c>
      <c r="AA990" s="1" t="str">
        <f>"شركت  ساخت وتوسعه راهها"</f>
        <v>شركت  ساخت وتوسعه راهها</v>
      </c>
      <c r="AB990" s="1" t="str">
        <f>"95/05/26"</f>
        <v>95/05/26</v>
      </c>
      <c r="AC990" s="1" t="str">
        <f>"استان يزد"</f>
        <v>استان يزد</v>
      </c>
      <c r="AD990" s="1" t="str">
        <f>"95/06/03"</f>
        <v>95/06/03</v>
      </c>
      <c r="AE990" s="1" t="str">
        <f t="shared" si="263"/>
        <v>اختتام</v>
      </c>
      <c r="AF990" s="1" t="str">
        <f>""</f>
        <v/>
      </c>
      <c r="AG990" s="1" t="str">
        <f>""</f>
        <v/>
      </c>
      <c r="AH990" s="1" t="str">
        <f>""</f>
        <v/>
      </c>
      <c r="AI990" s="1" t="str">
        <f>""</f>
        <v/>
      </c>
      <c r="AJ990" s="1" t="str">
        <f>""</f>
        <v/>
      </c>
      <c r="AK990" s="1" t="str">
        <f>""</f>
        <v/>
      </c>
    </row>
    <row r="991" spans="1:37" x14ac:dyDescent="0.2">
      <c r="A991" s="1">
        <v>500000</v>
      </c>
      <c r="B991" s="1">
        <v>951900121</v>
      </c>
      <c r="C991" s="1" t="str">
        <f>"تخليه -جنوب كرمان -جيرفت جنب كارخانه سبوس -كارخانه ره يادسازه جنوب"</f>
        <v>تخليه -جنوب كرمان -جيرفت جنب كارخانه سبوس -كارخانه ره يادسازه جنوب</v>
      </c>
      <c r="D991" s="1">
        <v>6726</v>
      </c>
      <c r="E991" s="1">
        <v>496060</v>
      </c>
      <c r="F991" s="1">
        <v>95</v>
      </c>
      <c r="G991" s="1">
        <v>3940</v>
      </c>
      <c r="H991" s="1" t="str">
        <f>"95/05/24"</f>
        <v>95/05/24</v>
      </c>
      <c r="I991" s="1" t="str">
        <f t="shared" si="257"/>
        <v>كيلوگرم</v>
      </c>
      <c r="J991" s="1" t="str">
        <f>"0000000092"</f>
        <v>0000000092</v>
      </c>
      <c r="K991" s="1" t="str">
        <f>"قير  PG64-16"</f>
        <v>قير  PG64-16</v>
      </c>
      <c r="L991" s="1">
        <v>100</v>
      </c>
      <c r="M991" s="1" t="str">
        <f t="shared" si="260"/>
        <v>مخازن قير اصفهان</v>
      </c>
      <c r="N991" s="1">
        <v>9424</v>
      </c>
      <c r="O991" s="1">
        <v>50031522</v>
      </c>
      <c r="P991" s="1" t="str">
        <f>"  راه وساختمان ره يادسازه جنوب"</f>
        <v xml:space="preserve">  راه وساختمان ره يادسازه جنوب</v>
      </c>
      <c r="Q991" s="1">
        <v>19</v>
      </c>
      <c r="R9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1" s="1" t="str">
        <f t="shared" si="258"/>
        <v>قرارداد فروش</v>
      </c>
      <c r="T991" s="1" t="str">
        <f t="shared" si="259"/>
        <v>ندارد</v>
      </c>
      <c r="U991" s="1" t="str">
        <f>"حاصليان ترابرجنوب مرتضي حاصلي (4844006)"</f>
        <v>حاصليان ترابرجنوب مرتضي حاصلي (4844006)</v>
      </c>
      <c r="V991" s="1">
        <v>951900121</v>
      </c>
      <c r="W991" s="1">
        <v>951900121</v>
      </c>
      <c r="X991" s="1" t="str">
        <f>"1395423457"</f>
        <v>1395423457</v>
      </c>
      <c r="Y991" s="1" t="str">
        <f>"95/05/24"</f>
        <v>95/05/24</v>
      </c>
      <c r="Z991" s="1" t="str">
        <f>"62497/510"</f>
        <v>62497/510</v>
      </c>
      <c r="AA991" s="1" t="str">
        <f>"سازمان راهداري وحمل نقل جاده اي"</f>
        <v>سازمان راهداري وحمل نقل جاده اي</v>
      </c>
      <c r="AB991" s="1" t="str">
        <f>"94/11/12"</f>
        <v>94/11/12</v>
      </c>
      <c r="AC991" s="1" t="str">
        <f>"جنوب کرمان"</f>
        <v>جنوب کرمان</v>
      </c>
      <c r="AD991" s="1" t="str">
        <f>"95/05/23"</f>
        <v>95/05/23</v>
      </c>
      <c r="AE991" s="1" t="str">
        <f t="shared" si="263"/>
        <v>اختتام</v>
      </c>
      <c r="AF991" s="1" t="str">
        <f>""</f>
        <v/>
      </c>
      <c r="AG991" s="1" t="str">
        <f>""</f>
        <v/>
      </c>
      <c r="AH991" s="1" t="str">
        <f>""</f>
        <v/>
      </c>
      <c r="AI991" s="1" t="str">
        <f>""</f>
        <v/>
      </c>
      <c r="AJ991" s="1" t="str">
        <f>""</f>
        <v/>
      </c>
      <c r="AK991" s="1" t="str">
        <f>""</f>
        <v/>
      </c>
    </row>
    <row r="992" spans="1:37" x14ac:dyDescent="0.2">
      <c r="A992" s="1">
        <v>400000</v>
      </c>
      <c r="B992" s="1">
        <v>951900029</v>
      </c>
      <c r="C992" s="1" t="str">
        <f>"تخليه -ايلام -كيلومتر20جاده سرابله به پل سيمره مجتمع صنعتي نجفيان -شركت تعاوني 131چرداول"</f>
        <v>تخليه -ايلام -كيلومتر20جاده سرابله به پل سيمره مجتمع صنعتي نجفيان -شركت تعاوني 131چرداول</v>
      </c>
      <c r="D992" s="1">
        <v>6250</v>
      </c>
      <c r="E992" s="1">
        <v>400000</v>
      </c>
      <c r="F992" s="1">
        <v>95</v>
      </c>
      <c r="G992" s="1">
        <v>0</v>
      </c>
      <c r="H992" s="1" t="str">
        <f>"95/04/06"</f>
        <v>95/04/06</v>
      </c>
      <c r="I992" s="1" t="str">
        <f t="shared" si="257"/>
        <v>كيلوگرم</v>
      </c>
      <c r="J992" s="1" t="str">
        <f>"0000000092"</f>
        <v>0000000092</v>
      </c>
      <c r="K992" s="1" t="str">
        <f>"قير  PG64-16"</f>
        <v>قير  PG64-16</v>
      </c>
      <c r="L992" s="1">
        <v>100</v>
      </c>
      <c r="M992" s="1" t="str">
        <f t="shared" si="260"/>
        <v>مخازن قير اصفهان</v>
      </c>
      <c r="N992" s="1">
        <v>9455</v>
      </c>
      <c r="O992" s="1">
        <v>50031137</v>
      </c>
      <c r="P992" s="1" t="str">
        <f>"  تعاوني 131سنگ شكن چرداول"</f>
        <v xml:space="preserve">  تعاوني 131سنگ شكن چرداول</v>
      </c>
      <c r="Q992" s="1">
        <v>19</v>
      </c>
      <c r="R9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2" s="1" t="str">
        <f t="shared" si="258"/>
        <v>قرارداد فروش</v>
      </c>
      <c r="T992" s="1" t="str">
        <f t="shared" si="259"/>
        <v>ندارد</v>
      </c>
      <c r="U992" s="1" t="str">
        <f>"عظيمي محمد(2842015)"</f>
        <v>عظيمي محمد(2842015)</v>
      </c>
      <c r="V992" s="1">
        <v>951900029</v>
      </c>
      <c r="W992" s="1">
        <v>951900029</v>
      </c>
      <c r="X992" s="1" t="str">
        <f>"1395411207"</f>
        <v>1395411207</v>
      </c>
      <c r="Y992" s="1" t="str">
        <f>"95/04/06"</f>
        <v>95/04/06</v>
      </c>
      <c r="Z992" s="1" t="str">
        <f>"12755/510"</f>
        <v>12755/510</v>
      </c>
      <c r="AA992" s="1" t="str">
        <f>"سازمان راهداري وحمل نقل جاده اي"</f>
        <v>سازمان راهداري وحمل نقل جاده اي</v>
      </c>
      <c r="AB992" s="1" t="str">
        <f>"95/03/26"</f>
        <v>95/03/26</v>
      </c>
      <c r="AC992" s="1" t="str">
        <f>"استان ايلام"</f>
        <v>استان ايلام</v>
      </c>
      <c r="AD992" s="1" t="str">
        <f>"95/04/05"</f>
        <v>95/04/05</v>
      </c>
      <c r="AE992" s="1" t="str">
        <f t="shared" si="263"/>
        <v>اختتام</v>
      </c>
      <c r="AF992" s="1" t="str">
        <f>""</f>
        <v/>
      </c>
      <c r="AG992" s="1" t="str">
        <f>""</f>
        <v/>
      </c>
      <c r="AH992" s="1" t="str">
        <f>""</f>
        <v/>
      </c>
      <c r="AI992" s="1" t="str">
        <f>""</f>
        <v/>
      </c>
      <c r="AJ992" s="1" t="str">
        <f>""</f>
        <v/>
      </c>
      <c r="AK992" s="1" t="str">
        <f>""</f>
        <v/>
      </c>
    </row>
    <row r="993" spans="1:37" x14ac:dyDescent="0.2">
      <c r="A993" s="1">
        <v>300000</v>
      </c>
      <c r="B993" s="1">
        <v>951900215</v>
      </c>
      <c r="C993" s="1" t="str">
        <f>"تخليه -لرستان -الشتر-كيلومتر1جاده خرم آباد-فيروزآباد-كارخانه آسفالت زاگرس راه نصر"</f>
        <v>تخليه -لرستان -الشتر-كيلومتر1جاده خرم آباد-فيروزآباد-كارخانه آسفالت زاگرس راه نصر</v>
      </c>
      <c r="D993" s="1">
        <v>7276</v>
      </c>
      <c r="E993" s="1">
        <v>299280</v>
      </c>
      <c r="F993" s="1">
        <v>95</v>
      </c>
      <c r="G993" s="1">
        <v>720</v>
      </c>
      <c r="H993" s="1" t="str">
        <f>"95/09/07"</f>
        <v>95/09/07</v>
      </c>
      <c r="I993" s="1" t="str">
        <f t="shared" si="257"/>
        <v>كيلوگرم</v>
      </c>
      <c r="J993" s="1" t="str">
        <f>"0000000091"</f>
        <v>0000000091</v>
      </c>
      <c r="K993" s="1" t="str">
        <f>"قير  PG64-22"</f>
        <v>قير  PG64-22</v>
      </c>
      <c r="L993" s="1">
        <v>100</v>
      </c>
      <c r="M993" s="1" t="str">
        <f t="shared" si="260"/>
        <v>مخازن قير اصفهان</v>
      </c>
      <c r="N993" s="1">
        <v>8147</v>
      </c>
      <c r="O993" s="1">
        <v>50032721</v>
      </c>
      <c r="P993" s="1" t="str">
        <f>"  زاگرس راه نصر"</f>
        <v xml:space="preserve">  زاگرس راه نصر</v>
      </c>
      <c r="Q993" s="1">
        <v>19</v>
      </c>
      <c r="R9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3" s="1" t="str">
        <f t="shared" si="258"/>
        <v>قرارداد فروش</v>
      </c>
      <c r="T993" s="1" t="str">
        <f t="shared" si="259"/>
        <v>ندارد</v>
      </c>
      <c r="U993" s="1" t="str">
        <f>"عظيمي محمد(2842015)"</f>
        <v>عظيمي محمد(2842015)</v>
      </c>
      <c r="V993" s="1">
        <v>951900215</v>
      </c>
      <c r="W993" s="1">
        <v>951900215</v>
      </c>
      <c r="X993" s="1" t="str">
        <f>"1395447616"</f>
        <v>1395447616</v>
      </c>
      <c r="Y993" s="1" t="str">
        <f>"95/09/07"</f>
        <v>95/09/07</v>
      </c>
      <c r="Z993" s="1" t="str">
        <f>"39765/710"</f>
        <v>39765/710</v>
      </c>
      <c r="AA993" s="1" t="str">
        <f>"سازمان راهداري وحمل نقل جاده اي"</f>
        <v>سازمان راهداري وحمل نقل جاده اي</v>
      </c>
      <c r="AB993" s="1" t="str">
        <f>"95/08/15"</f>
        <v>95/08/15</v>
      </c>
      <c r="AC993" s="1" t="str">
        <f>"لرستان"</f>
        <v>لرستان</v>
      </c>
      <c r="AD993" s="1" t="str">
        <f>"95/09/06"</f>
        <v>95/09/06</v>
      </c>
      <c r="AE993" s="1" t="str">
        <f t="shared" si="263"/>
        <v>اختتام</v>
      </c>
      <c r="AF993" s="1" t="str">
        <f>""</f>
        <v/>
      </c>
      <c r="AG993" s="1" t="str">
        <f>""</f>
        <v/>
      </c>
      <c r="AH993" s="1" t="str">
        <f>""</f>
        <v/>
      </c>
      <c r="AI993" s="1" t="str">
        <f>""</f>
        <v/>
      </c>
      <c r="AJ993" s="1" t="str">
        <f>""</f>
        <v/>
      </c>
      <c r="AK993" s="1" t="str">
        <f>""</f>
        <v/>
      </c>
    </row>
    <row r="994" spans="1:37" x14ac:dyDescent="0.2">
      <c r="A994" s="1">
        <v>300000</v>
      </c>
      <c r="B994" s="1">
        <v>951900077</v>
      </c>
      <c r="C994" s="1" t="str">
        <f>"تخليه -اصفهان -فريدن -كارخانه آسفالت دامنه"</f>
        <v>تخليه -اصفهان -فريدن -كارخانه آسفالت دامنه</v>
      </c>
      <c r="D994" s="1">
        <v>6726</v>
      </c>
      <c r="E994" s="1">
        <v>299960</v>
      </c>
      <c r="F994" s="1">
        <v>95</v>
      </c>
      <c r="G994" s="1">
        <v>40</v>
      </c>
      <c r="H994" s="1" t="str">
        <f>"95/05/05"</f>
        <v>95/05/05</v>
      </c>
      <c r="I994" s="1" t="str">
        <f t="shared" si="257"/>
        <v>كيلوگرم</v>
      </c>
      <c r="J994" s="1" t="str">
        <f>"0000000091"</f>
        <v>0000000091</v>
      </c>
      <c r="K994" s="1" t="str">
        <f>"قير  PG64-22"</f>
        <v>قير  PG64-22</v>
      </c>
      <c r="L994" s="1">
        <v>100</v>
      </c>
      <c r="M994" s="1" t="str">
        <f t="shared" si="260"/>
        <v>مخازن قير اصفهان</v>
      </c>
      <c r="N994" s="1">
        <v>10536</v>
      </c>
      <c r="O994" s="1">
        <v>50031369</v>
      </c>
      <c r="P994" s="1" t="str">
        <f>"  آبجيل صنعت"</f>
        <v xml:space="preserve">  آبجيل صنعت</v>
      </c>
      <c r="Q994" s="1">
        <v>19</v>
      </c>
      <c r="R99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4" s="1" t="str">
        <f t="shared" si="258"/>
        <v>قرارداد فروش</v>
      </c>
      <c r="T994" s="1" t="str">
        <f t="shared" si="259"/>
        <v>ندارد</v>
      </c>
      <c r="U994" s="1" t="str">
        <f>"سيفي پور گودرز(1019ج89)"</f>
        <v>سيفي پور گودرز(1019ج89)</v>
      </c>
      <c r="V994" s="1">
        <v>951900077</v>
      </c>
      <c r="W994" s="1">
        <v>951900077</v>
      </c>
      <c r="X994" s="1" t="str">
        <f>"1395418121"</f>
        <v>1395418121</v>
      </c>
      <c r="Y994" s="1" t="str">
        <f>"95/05/05"</f>
        <v>95/05/05</v>
      </c>
      <c r="Z994" s="1" t="str">
        <f>"18165/510"</f>
        <v>18165/510</v>
      </c>
      <c r="AA994" s="1" t="str">
        <f>"سازمان راهداري وحمل نقل جاده اي"</f>
        <v>سازمان راهداري وحمل نقل جاده اي</v>
      </c>
      <c r="AB994" s="1" t="str">
        <f>"95/04/27"</f>
        <v>95/04/27</v>
      </c>
      <c r="AC994" s="1" t="str">
        <f>"استان اصفهان"</f>
        <v>استان اصفهان</v>
      </c>
      <c r="AD994" s="1" t="str">
        <f>"95/05/05"</f>
        <v>95/05/05</v>
      </c>
      <c r="AE994" s="1" t="str">
        <f t="shared" si="263"/>
        <v>اختتام</v>
      </c>
      <c r="AF994" s="1" t="str">
        <f>""</f>
        <v/>
      </c>
      <c r="AG994" s="1" t="str">
        <f>""</f>
        <v/>
      </c>
      <c r="AH994" s="1" t="str">
        <f>""</f>
        <v/>
      </c>
      <c r="AI994" s="1" t="str">
        <f>""</f>
        <v/>
      </c>
      <c r="AJ994" s="1" t="str">
        <f>""</f>
        <v/>
      </c>
      <c r="AK994" s="1" t="str">
        <f>""</f>
        <v/>
      </c>
    </row>
    <row r="995" spans="1:37" x14ac:dyDescent="0.2">
      <c r="A995" s="1">
        <v>150000</v>
      </c>
      <c r="B995" s="1">
        <v>951900114</v>
      </c>
      <c r="C995" s="1" t="str">
        <f>"تخليه -اصفهان -شهرستان سميرم -شهرحناكيلومتر5جاده چشمه خوني -كارخانه آسفالت شرکت چشمه ساران خانميرزا"</f>
        <v>تخليه -اصفهان -شهرستان سميرم -شهرحناكيلومتر5جاده چشمه خوني -كارخانه آسفالت شرکت چشمه ساران خانميرزا</v>
      </c>
      <c r="D995" s="1">
        <v>6726</v>
      </c>
      <c r="E995" s="1">
        <v>23540</v>
      </c>
      <c r="F995" s="1">
        <v>95</v>
      </c>
      <c r="G995" s="1">
        <v>126460</v>
      </c>
      <c r="H995" s="1" t="str">
        <f>"95/05/23"</f>
        <v>95/05/23</v>
      </c>
      <c r="I995" s="1" t="str">
        <f t="shared" si="257"/>
        <v>كيلوگرم</v>
      </c>
      <c r="J995" s="1" t="str">
        <f>"0000000091"</f>
        <v>0000000091</v>
      </c>
      <c r="K995" s="1" t="str">
        <f>"قير  PG64-22"</f>
        <v>قير  PG64-22</v>
      </c>
      <c r="L995" s="1">
        <v>100</v>
      </c>
      <c r="M995" s="1" t="str">
        <f t="shared" si="260"/>
        <v>مخازن قير اصفهان</v>
      </c>
      <c r="N995" s="1">
        <v>10538</v>
      </c>
      <c r="O995" s="1">
        <v>50031503</v>
      </c>
      <c r="P995" s="1" t="str">
        <f>"  چشمه ساران خانميرزا"</f>
        <v xml:space="preserve">  چشمه ساران خانميرزا</v>
      </c>
      <c r="Q995" s="1">
        <v>19</v>
      </c>
      <c r="R99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5" s="1" t="str">
        <f t="shared" si="258"/>
        <v>قرارداد فروش</v>
      </c>
      <c r="T995" s="1" t="str">
        <f t="shared" si="259"/>
        <v>ندارد</v>
      </c>
      <c r="U995" s="1" t="str">
        <f>"شهبازي محمدرضا(1029ج89)"</f>
        <v>شهبازي محمدرضا(1029ج89)</v>
      </c>
      <c r="V995" s="1">
        <v>951900114</v>
      </c>
      <c r="W995" s="1">
        <v>951900114</v>
      </c>
      <c r="X995" s="1" t="str">
        <f>"1395421996"</f>
        <v>1395421996</v>
      </c>
      <c r="Y995" s="1" t="str">
        <f>"95/05/23"</f>
        <v>95/05/23</v>
      </c>
      <c r="Z995" s="1" t="str">
        <f>"21860/510"</f>
        <v>21860/510</v>
      </c>
      <c r="AA995" s="1" t="str">
        <f>"سازمان راهداري وحمل نقل جاده اي"</f>
        <v>سازمان راهداري وحمل نقل جاده اي</v>
      </c>
      <c r="AB995" s="1" t="str">
        <f>"95/05/16"</f>
        <v>95/05/16</v>
      </c>
      <c r="AC995" s="1" t="str">
        <f>"استان اصفهان"</f>
        <v>استان اصفهان</v>
      </c>
      <c r="AD995" s="1" t="str">
        <f>"95/05/18"</f>
        <v>95/05/18</v>
      </c>
      <c r="AE995" s="1" t="str">
        <f t="shared" si="263"/>
        <v>اختتام</v>
      </c>
      <c r="AF995" s="1" t="str">
        <f>""</f>
        <v/>
      </c>
      <c r="AG995" s="1" t="str">
        <f>""</f>
        <v/>
      </c>
      <c r="AH995" s="1" t="str">
        <f>""</f>
        <v/>
      </c>
      <c r="AI995" s="1" t="str">
        <f>""</f>
        <v/>
      </c>
      <c r="AJ995" s="1" t="str">
        <f>""</f>
        <v/>
      </c>
      <c r="AK995" s="1" t="str">
        <f>""</f>
        <v/>
      </c>
    </row>
    <row r="996" spans="1:37" x14ac:dyDescent="0.2">
      <c r="A996" s="1">
        <v>500000</v>
      </c>
      <c r="B996" s="1">
        <v>956100006</v>
      </c>
      <c r="C996" s="1" t="str">
        <f>"تخليه -مشهدپشت آرامگاه فردوسي -جاده اسفنديان -کارخانه رهبان آسفالت"</f>
        <v>تخليه -مشهدپشت آرامگاه فردوسي -جاده اسفنديان -کارخانه رهبان آسفالت</v>
      </c>
      <c r="D996" s="1">
        <v>6250</v>
      </c>
      <c r="E996" s="1">
        <v>499460</v>
      </c>
      <c r="F996" s="1">
        <v>95</v>
      </c>
      <c r="G996" s="1">
        <v>540</v>
      </c>
      <c r="H996" s="1" t="str">
        <f>"95/04/29"</f>
        <v>95/04/29</v>
      </c>
      <c r="I996" s="1" t="str">
        <f t="shared" si="257"/>
        <v>كيلوگرم</v>
      </c>
      <c r="J996" s="1" t="str">
        <f t="shared" ref="J996:J1009" si="264">"0000000092"</f>
        <v>0000000092</v>
      </c>
      <c r="K996" s="1" t="str">
        <f t="shared" ref="K996:K1009" si="265">"قير  PG64-16"</f>
        <v>قير  PG64-16</v>
      </c>
      <c r="L996" s="1">
        <v>100</v>
      </c>
      <c r="M996" s="1" t="str">
        <f t="shared" si="260"/>
        <v>مخازن قير اصفهان</v>
      </c>
      <c r="N996" s="1">
        <v>4042</v>
      </c>
      <c r="O996" s="1">
        <v>50031322</v>
      </c>
      <c r="P996" s="1" t="str">
        <f>"  ره بان آسفالت"</f>
        <v xml:space="preserve">  ره بان آسفالت</v>
      </c>
      <c r="Q996" s="1">
        <v>61</v>
      </c>
      <c r="R996" s="1" t="str">
        <f>"فروش داخلي - وزارت راه - مسكن مهر"</f>
        <v>فروش داخلي - وزارت راه - مسكن مهر</v>
      </c>
      <c r="S996" s="1" t="str">
        <f t="shared" si="258"/>
        <v>قرارداد فروش</v>
      </c>
      <c r="T996" s="1" t="str">
        <f t="shared" si="259"/>
        <v>ندارد</v>
      </c>
      <c r="U996" s="1" t="str">
        <f>"حسيني سيدجواد(1841076)"</f>
        <v>حسيني سيدجواد(1841076)</v>
      </c>
      <c r="V996" s="1">
        <v>956100006</v>
      </c>
      <c r="W996" s="1">
        <v>956100006</v>
      </c>
      <c r="X996" s="1" t="str">
        <f>"1395416544"</f>
        <v>1395416544</v>
      </c>
      <c r="Y996" s="1" t="str">
        <f>"95/04/29"</f>
        <v>95/04/29</v>
      </c>
      <c r="Z996" s="1" t="str">
        <f>"18141/510"</f>
        <v>18141/510</v>
      </c>
      <c r="AA996" s="1" t="str">
        <f>"مسكن مهر-وزارت راه"</f>
        <v>مسكن مهر-وزارت راه</v>
      </c>
      <c r="AB996" s="1" t="str">
        <f>"95/04/27"</f>
        <v>95/04/27</v>
      </c>
      <c r="AC996" s="1" t="str">
        <f>"خراسان رضوي"</f>
        <v>خراسان رضوي</v>
      </c>
      <c r="AD996" s="1" t="str">
        <f>"95/04/29"</f>
        <v>95/04/29</v>
      </c>
      <c r="AE996" s="1" t="str">
        <f t="shared" si="263"/>
        <v>اختتام</v>
      </c>
      <c r="AF996" s="1" t="str">
        <f>""</f>
        <v/>
      </c>
      <c r="AG996" s="1" t="str">
        <f>""</f>
        <v/>
      </c>
      <c r="AH996" s="1" t="str">
        <f>""</f>
        <v/>
      </c>
      <c r="AI996" s="1" t="str">
        <f>""</f>
        <v/>
      </c>
      <c r="AJ996" s="1" t="str">
        <f>""</f>
        <v/>
      </c>
      <c r="AK996" s="1" t="str">
        <f>""</f>
        <v/>
      </c>
    </row>
    <row r="997" spans="1:37" x14ac:dyDescent="0.2">
      <c r="A997" s="1">
        <v>400000</v>
      </c>
      <c r="B997" s="1">
        <v>951800021</v>
      </c>
      <c r="C997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997" s="1">
        <v>6050</v>
      </c>
      <c r="E997" s="1">
        <v>399700</v>
      </c>
      <c r="F997" s="1">
        <v>95</v>
      </c>
      <c r="G997" s="1">
        <v>300</v>
      </c>
      <c r="H997" s="1" t="str">
        <f>"95/03/30"</f>
        <v>95/03/30</v>
      </c>
      <c r="I997" s="1" t="str">
        <f t="shared" si="257"/>
        <v>كيلوگرم</v>
      </c>
      <c r="J997" s="1" t="str">
        <f t="shared" si="264"/>
        <v>0000000092</v>
      </c>
      <c r="K997" s="1" t="str">
        <f t="shared" si="265"/>
        <v>قير  PG64-16</v>
      </c>
      <c r="L997" s="1">
        <v>100</v>
      </c>
      <c r="M997" s="1" t="str">
        <f t="shared" si="260"/>
        <v>مخازن قير اصفهان</v>
      </c>
      <c r="N997" s="1">
        <v>4089</v>
      </c>
      <c r="O997" s="1">
        <v>50031150</v>
      </c>
      <c r="P997" s="1" t="str">
        <f>"  تعاوني خدمات زيربنائي رفسنجان"</f>
        <v xml:space="preserve">  تعاوني خدمات زيربنائي رفسنجان</v>
      </c>
      <c r="Q997" s="1">
        <v>18</v>
      </c>
      <c r="R997" s="1" t="str">
        <f>"فروش داخلي تهران - وزارت راه - شرکت ساخت و توسعه راهها"</f>
        <v>فروش داخلي تهران - وزارت راه - شرکت ساخت و توسعه راهها</v>
      </c>
      <c r="S997" s="1" t="str">
        <f t="shared" si="258"/>
        <v>قرارداد فروش</v>
      </c>
      <c r="T997" s="1" t="str">
        <f t="shared" si="259"/>
        <v>ندارد</v>
      </c>
      <c r="U997" s="1" t="str">
        <f>"بابامحمدي عنايت اله(4844000)"</f>
        <v>بابامحمدي عنايت اله(4844000)</v>
      </c>
      <c r="V997" s="1">
        <v>951800021</v>
      </c>
      <c r="W997" s="1">
        <v>951800021</v>
      </c>
      <c r="X997" s="1" t="str">
        <f>"1395410167"</f>
        <v>1395410167</v>
      </c>
      <c r="Y997" s="1" t="str">
        <f>"95/03/30"</f>
        <v>95/03/30</v>
      </c>
      <c r="Z997" s="1" t="str">
        <f>"12305/510"</f>
        <v>12305/510</v>
      </c>
      <c r="AA997" s="1" t="str">
        <f>"شركت  ساخت وتوسعه راهها"</f>
        <v>شركت  ساخت وتوسعه راهها</v>
      </c>
      <c r="AB997" s="1" t="str">
        <f>"95/03/25"</f>
        <v>95/03/25</v>
      </c>
      <c r="AC997" s="1" t="str">
        <f>"استان كرمان"</f>
        <v>استان كرمان</v>
      </c>
      <c r="AD997" s="1" t="str">
        <f>"95/03/30"</f>
        <v>95/03/30</v>
      </c>
      <c r="AE997" s="1" t="str">
        <f t="shared" si="263"/>
        <v>اختتام</v>
      </c>
      <c r="AF997" s="1" t="str">
        <f>""</f>
        <v/>
      </c>
      <c r="AG997" s="1" t="str">
        <f>""</f>
        <v/>
      </c>
      <c r="AH997" s="1" t="str">
        <f>""</f>
        <v/>
      </c>
      <c r="AI997" s="1" t="str">
        <f>""</f>
        <v/>
      </c>
      <c r="AJ997" s="1" t="str">
        <f>""</f>
        <v/>
      </c>
      <c r="AK997" s="1" t="str">
        <f>""</f>
        <v/>
      </c>
    </row>
    <row r="998" spans="1:37" x14ac:dyDescent="0.2">
      <c r="A998" s="1">
        <v>500000</v>
      </c>
      <c r="B998" s="1">
        <v>951800101</v>
      </c>
      <c r="C998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998" s="1">
        <v>7276</v>
      </c>
      <c r="E998" s="1">
        <v>138180</v>
      </c>
      <c r="F998" s="1">
        <v>95</v>
      </c>
      <c r="G998" s="1">
        <v>361820</v>
      </c>
      <c r="H998" s="1" t="str">
        <f>"95/09/13"</f>
        <v>95/09/13</v>
      </c>
      <c r="I998" s="1" t="str">
        <f t="shared" si="257"/>
        <v>كيلوگرم</v>
      </c>
      <c r="J998" s="1" t="str">
        <f t="shared" si="264"/>
        <v>0000000092</v>
      </c>
      <c r="K998" s="1" t="str">
        <f t="shared" si="265"/>
        <v>قير  PG64-16</v>
      </c>
      <c r="L998" s="1">
        <v>100</v>
      </c>
      <c r="M998" s="1" t="str">
        <f t="shared" si="260"/>
        <v>مخازن قير اصفهان</v>
      </c>
      <c r="N998" s="1">
        <v>4089</v>
      </c>
      <c r="O998" s="1">
        <v>50032824</v>
      </c>
      <c r="P998" s="1" t="str">
        <f>"  تعاوني خدمات زيربنائي رفسنجان"</f>
        <v xml:space="preserve">  تعاوني خدمات زيربنائي رفسنجان</v>
      </c>
      <c r="Q998" s="1">
        <v>18</v>
      </c>
      <c r="R998" s="1" t="str">
        <f>"فروش داخلي تهران - وزارت راه - شرکت ساخت و توسعه راهها"</f>
        <v>فروش داخلي تهران - وزارت راه - شرکت ساخت و توسعه راهها</v>
      </c>
      <c r="S998" s="1" t="str">
        <f t="shared" si="258"/>
        <v>قرارداد فروش</v>
      </c>
      <c r="T998" s="1" t="str">
        <f t="shared" si="259"/>
        <v>ندارد</v>
      </c>
      <c r="U998" s="1" t="str">
        <f>"تعاوني خدمات زيربنايي رفسنجان (00109)"</f>
        <v>تعاوني خدمات زيربنايي رفسنجان (00109)</v>
      </c>
      <c r="V998" s="1">
        <v>951800101</v>
      </c>
      <c r="W998" s="1">
        <v>951800101</v>
      </c>
      <c r="X998" s="1" t="str">
        <f>"1395447891"</f>
        <v>1395447891</v>
      </c>
      <c r="Y998" s="1" t="str">
        <f>"95/09/13"</f>
        <v>95/09/13</v>
      </c>
      <c r="Z998" s="1" t="str">
        <f>"42087/710"</f>
        <v>42087/710</v>
      </c>
      <c r="AA998" s="1" t="str">
        <f>"شركت  ساخت وتوسعه راهها"</f>
        <v>شركت  ساخت وتوسعه راهها</v>
      </c>
      <c r="AB998" s="1" t="str">
        <f>"95/08/29"</f>
        <v>95/08/29</v>
      </c>
      <c r="AC998" s="1" t="str">
        <f>"استان كرمان"</f>
        <v>استان كرمان</v>
      </c>
      <c r="AD998" s="1" t="str">
        <f>"95/09/09"</f>
        <v>95/09/09</v>
      </c>
      <c r="AE998" s="1" t="str">
        <f t="shared" si="263"/>
        <v>اختتام</v>
      </c>
      <c r="AF998" s="1" t="str">
        <f>""</f>
        <v/>
      </c>
      <c r="AG998" s="1" t="str">
        <f>""</f>
        <v/>
      </c>
      <c r="AH998" s="1" t="str">
        <f>""</f>
        <v/>
      </c>
      <c r="AI998" s="1" t="str">
        <f>""</f>
        <v/>
      </c>
      <c r="AJ998" s="1" t="str">
        <f>""</f>
        <v/>
      </c>
      <c r="AK998" s="1" t="str">
        <f>""</f>
        <v/>
      </c>
    </row>
    <row r="999" spans="1:37" x14ac:dyDescent="0.2">
      <c r="A999" s="1">
        <v>1000000</v>
      </c>
      <c r="B999" s="1">
        <v>951700264</v>
      </c>
      <c r="C999" s="1" t="str">
        <f>"تخليه فارس نيريزكارخانه سيويل تونل"</f>
        <v>تخليه فارس نيريزكارخانه سيويل تونل</v>
      </c>
      <c r="D999" s="1">
        <v>8323</v>
      </c>
      <c r="E999" s="1">
        <v>631680</v>
      </c>
      <c r="F999" s="1">
        <v>95</v>
      </c>
      <c r="G999" s="1">
        <v>368320</v>
      </c>
      <c r="H999" s="1" t="str">
        <f>"95/08/08"</f>
        <v>95/08/08</v>
      </c>
      <c r="I999" s="1" t="str">
        <f t="shared" si="257"/>
        <v>كيلوگرم</v>
      </c>
      <c r="J999" s="1" t="str">
        <f t="shared" si="264"/>
        <v>0000000092</v>
      </c>
      <c r="K999" s="1" t="str">
        <f t="shared" si="265"/>
        <v>قير  PG64-16</v>
      </c>
      <c r="L999" s="1">
        <v>100</v>
      </c>
      <c r="M999" s="1" t="str">
        <f t="shared" si="260"/>
        <v>مخازن قير اصفهان</v>
      </c>
      <c r="N999" s="1">
        <v>4133</v>
      </c>
      <c r="O999" s="1">
        <v>50032646</v>
      </c>
      <c r="P999" s="1" t="str">
        <f>"  اداره كل راه وشهرسازي فارس"</f>
        <v xml:space="preserve">  اداره كل راه وشهرسازي فارس</v>
      </c>
      <c r="Q999" s="1">
        <v>17</v>
      </c>
      <c r="R999" s="1" t="str">
        <f>"فروش داخلي تهران - وزارت راه - راه روستايي - روکش"</f>
        <v>فروش داخلي تهران - وزارت راه - راه روستايي - روکش</v>
      </c>
      <c r="S999" s="1" t="str">
        <f t="shared" si="258"/>
        <v>قرارداد فروش</v>
      </c>
      <c r="T999" s="1" t="str">
        <f t="shared" si="259"/>
        <v>ندارد</v>
      </c>
      <c r="U999" s="1" t="str">
        <f>"دهقانيان بيژن (4954038)"</f>
        <v>دهقانيان بيژن (4954038)</v>
      </c>
      <c r="V999" s="1">
        <v>951700264</v>
      </c>
      <c r="W999" s="1">
        <v>951700264</v>
      </c>
      <c r="X999" s="1" t="str">
        <f>"1395436742"</f>
        <v>1395436742</v>
      </c>
      <c r="Y999" s="1" t="str">
        <f>"95/08/08"</f>
        <v>95/08/08</v>
      </c>
      <c r="Z999" s="1" t="str">
        <f>"33980/510"</f>
        <v>33980/510</v>
      </c>
      <c r="AA999" s="1" t="str">
        <f>"راه روستائي -روكش"</f>
        <v>راه روستائي -روكش</v>
      </c>
      <c r="AB999" s="1" t="str">
        <f>"95/07/14"</f>
        <v>95/07/14</v>
      </c>
      <c r="AC999" s="1" t="str">
        <f>"استان فارس"</f>
        <v>استان فارس</v>
      </c>
      <c r="AD999" s="1" t="str">
        <f>"95/07/17"</f>
        <v>95/07/17</v>
      </c>
      <c r="AE999" s="1" t="str">
        <f t="shared" si="263"/>
        <v>اختتام</v>
      </c>
      <c r="AF999" s="1" t="str">
        <f>""</f>
        <v/>
      </c>
      <c r="AG999" s="1" t="str">
        <f>""</f>
        <v/>
      </c>
      <c r="AH999" s="1" t="str">
        <f>""</f>
        <v/>
      </c>
      <c r="AI999" s="1" t="str">
        <f>""</f>
        <v/>
      </c>
      <c r="AJ999" s="1" t="str">
        <f>""</f>
        <v/>
      </c>
      <c r="AK999" s="1" t="str">
        <f>""</f>
        <v/>
      </c>
    </row>
    <row r="1000" spans="1:37" x14ac:dyDescent="0.2">
      <c r="A1000" s="1">
        <v>400000</v>
      </c>
      <c r="B1000" s="1">
        <v>951900067</v>
      </c>
      <c r="C1000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00" s="1">
        <v>6726</v>
      </c>
      <c r="E1000" s="1">
        <v>399320</v>
      </c>
      <c r="F1000" s="1">
        <v>95</v>
      </c>
      <c r="G1000" s="1">
        <v>680</v>
      </c>
      <c r="H1000" s="1" t="str">
        <f>"95/05/04"</f>
        <v>95/05/04</v>
      </c>
      <c r="I1000" s="1" t="str">
        <f t="shared" si="257"/>
        <v>كيلوگرم</v>
      </c>
      <c r="J1000" s="1" t="str">
        <f t="shared" si="264"/>
        <v>0000000092</v>
      </c>
      <c r="K1000" s="1" t="str">
        <f t="shared" si="265"/>
        <v>قير  PG64-16</v>
      </c>
      <c r="L1000" s="1">
        <v>100</v>
      </c>
      <c r="M1000" s="1" t="str">
        <f t="shared" si="260"/>
        <v>مخازن قير اصفهان</v>
      </c>
      <c r="N1000" s="1">
        <v>10717</v>
      </c>
      <c r="O1000" s="1">
        <v>50031350</v>
      </c>
      <c r="P1000" s="1" t="str">
        <f>"  تعاوني نگين صحت جيرفت"</f>
        <v xml:space="preserve">  تعاوني نگين صحت جيرفت</v>
      </c>
      <c r="Q1000" s="1">
        <v>19</v>
      </c>
      <c r="R100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00" s="1" t="str">
        <f t="shared" si="258"/>
        <v>قرارداد فروش</v>
      </c>
      <c r="T1000" s="1" t="str">
        <f t="shared" si="259"/>
        <v>ندارد</v>
      </c>
      <c r="U1000" s="1" t="str">
        <f>"دهقانيان بهرام(4844012)"</f>
        <v>دهقانيان بهرام(4844012)</v>
      </c>
      <c r="V1000" s="1">
        <v>951900067</v>
      </c>
      <c r="W1000" s="1">
        <v>951900067</v>
      </c>
      <c r="X1000" s="1" t="str">
        <f>"1395417777"</f>
        <v>1395417777</v>
      </c>
      <c r="Y1000" s="1" t="str">
        <f>"95/05/04"</f>
        <v>95/05/04</v>
      </c>
      <c r="Z1000" s="1" t="str">
        <f>"12822/510"</f>
        <v>12822/510</v>
      </c>
      <c r="AA1000" s="1" t="str">
        <f>"سازمان راهداري وحمل نقل جاده اي"</f>
        <v>سازمان راهداري وحمل نقل جاده اي</v>
      </c>
      <c r="AB1000" s="1" t="str">
        <f>"95/03/29"</f>
        <v>95/03/29</v>
      </c>
      <c r="AC1000" s="1" t="str">
        <f>"جنوب کرمان"</f>
        <v>جنوب کرمان</v>
      </c>
      <c r="AD1000" s="1" t="str">
        <f>"95/05/04"</f>
        <v>95/05/04</v>
      </c>
      <c r="AE1000" s="1" t="str">
        <f t="shared" si="263"/>
        <v>اختتام</v>
      </c>
      <c r="AF1000" s="1" t="str">
        <f>""</f>
        <v/>
      </c>
      <c r="AG1000" s="1" t="str">
        <f>""</f>
        <v/>
      </c>
      <c r="AH1000" s="1" t="str">
        <f>""</f>
        <v/>
      </c>
      <c r="AI1000" s="1" t="str">
        <f>""</f>
        <v/>
      </c>
      <c r="AJ1000" s="1" t="str">
        <f>""</f>
        <v/>
      </c>
      <c r="AK1000" s="1" t="str">
        <f>""</f>
        <v/>
      </c>
    </row>
    <row r="1001" spans="1:37" x14ac:dyDescent="0.2">
      <c r="A1001" s="1">
        <v>94000</v>
      </c>
      <c r="B1001" s="1">
        <v>951400130</v>
      </c>
      <c r="C1001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01" s="1">
        <v>9511</v>
      </c>
      <c r="E1001" s="1">
        <v>94000</v>
      </c>
      <c r="F1001" s="1">
        <v>95</v>
      </c>
      <c r="G1001" s="1">
        <v>0</v>
      </c>
      <c r="H1001" s="1" t="str">
        <f>"95/11/03"</f>
        <v>95/11/03</v>
      </c>
      <c r="I1001" s="1" t="str">
        <f t="shared" si="257"/>
        <v>كيلوگرم</v>
      </c>
      <c r="J1001" s="1" t="str">
        <f t="shared" si="264"/>
        <v>0000000092</v>
      </c>
      <c r="K1001" s="1" t="str">
        <f t="shared" si="265"/>
        <v>قير  PG64-16</v>
      </c>
      <c r="L1001" s="1">
        <v>100</v>
      </c>
      <c r="M1001" s="1" t="str">
        <f t="shared" si="260"/>
        <v>مخازن قير اصفهان</v>
      </c>
      <c r="N1001" s="1">
        <v>10717</v>
      </c>
      <c r="O1001" s="1">
        <v>50033474</v>
      </c>
      <c r="P1001" s="1" t="str">
        <f>"  تعاوني نگين صحت جيرفت"</f>
        <v xml:space="preserve">  تعاوني نگين صحت جيرفت</v>
      </c>
      <c r="Q1001" s="1">
        <v>14</v>
      </c>
      <c r="R1001" s="1" t="str">
        <f>"فروش داخلي - وزارت راه - حوزه راه روستايي ساخت"</f>
        <v>فروش داخلي - وزارت راه - حوزه راه روستايي ساخت</v>
      </c>
      <c r="S1001" s="1" t="str">
        <f t="shared" si="258"/>
        <v>قرارداد فروش</v>
      </c>
      <c r="T1001" s="1" t="str">
        <f t="shared" si="259"/>
        <v>ندارد</v>
      </c>
      <c r="U1001" s="1" t="str">
        <f>"دشت بشي پودنگ وبرادران رضا(4844014)"</f>
        <v>دشت بشي پودنگ وبرادران رضا(4844014)</v>
      </c>
      <c r="V1001" s="1">
        <v>951400130</v>
      </c>
      <c r="W1001" s="1">
        <v>951400130</v>
      </c>
      <c r="X1001" s="1" t="str">
        <f>"1395456109"</f>
        <v>1395456109</v>
      </c>
      <c r="Y1001" s="1" t="str">
        <f>"95/11/03"</f>
        <v>95/11/03</v>
      </c>
      <c r="Z1001" s="1" t="str">
        <f>"47056/710"</f>
        <v>47056/710</v>
      </c>
      <c r="AA1001" s="1" t="str">
        <f>"راه وروستايي -ساخت"</f>
        <v>راه وروستايي -ساخت</v>
      </c>
      <c r="AB1001" s="1" t="str">
        <f>"95/09/28"</f>
        <v>95/09/28</v>
      </c>
      <c r="AC1001" s="1" t="str">
        <f>"جنوب کرمان"</f>
        <v>جنوب کرمان</v>
      </c>
      <c r="AD1001" s="1" t="str">
        <f>"95/10/11"</f>
        <v>95/10/11</v>
      </c>
      <c r="AE1001" s="1" t="str">
        <f t="shared" si="263"/>
        <v>اختتام</v>
      </c>
      <c r="AF1001" s="1" t="str">
        <f>""</f>
        <v/>
      </c>
      <c r="AG1001" s="1" t="str">
        <f>""</f>
        <v/>
      </c>
      <c r="AH1001" s="1" t="str">
        <f>""</f>
        <v/>
      </c>
      <c r="AI1001" s="1" t="str">
        <f>""</f>
        <v/>
      </c>
      <c r="AJ1001" s="1" t="str">
        <f>""</f>
        <v/>
      </c>
      <c r="AK1001" s="1" t="str">
        <f>""</f>
        <v/>
      </c>
    </row>
    <row r="1002" spans="1:37" x14ac:dyDescent="0.2">
      <c r="A1002" s="1">
        <v>72000</v>
      </c>
      <c r="B1002" s="1">
        <v>951400131</v>
      </c>
      <c r="C1002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02" s="1">
        <v>9511</v>
      </c>
      <c r="E1002" s="1">
        <v>70320</v>
      </c>
      <c r="F1002" s="1">
        <v>95</v>
      </c>
      <c r="G1002" s="1">
        <v>1680</v>
      </c>
      <c r="H1002" s="1" t="str">
        <f>"95/11/03"</f>
        <v>95/11/03</v>
      </c>
      <c r="I1002" s="1" t="str">
        <f t="shared" si="257"/>
        <v>كيلوگرم</v>
      </c>
      <c r="J1002" s="1" t="str">
        <f t="shared" si="264"/>
        <v>0000000092</v>
      </c>
      <c r="K1002" s="1" t="str">
        <f t="shared" si="265"/>
        <v>قير  PG64-16</v>
      </c>
      <c r="L1002" s="1">
        <v>100</v>
      </c>
      <c r="M1002" s="1" t="str">
        <f t="shared" si="260"/>
        <v>مخازن قير اصفهان</v>
      </c>
      <c r="N1002" s="1">
        <v>10717</v>
      </c>
      <c r="O1002" s="1">
        <v>50033475</v>
      </c>
      <c r="P1002" s="1" t="str">
        <f>"  تعاوني نگين صحت جيرفت"</f>
        <v xml:space="preserve">  تعاوني نگين صحت جيرفت</v>
      </c>
      <c r="Q1002" s="1">
        <v>14</v>
      </c>
      <c r="R1002" s="1" t="str">
        <f>"فروش داخلي - وزارت راه - حوزه راه روستايي ساخت"</f>
        <v>فروش داخلي - وزارت راه - حوزه راه روستايي ساخت</v>
      </c>
      <c r="S1002" s="1" t="str">
        <f t="shared" si="258"/>
        <v>قرارداد فروش</v>
      </c>
      <c r="T1002" s="1" t="str">
        <f t="shared" si="259"/>
        <v>ندارد</v>
      </c>
      <c r="U1002" s="1" t="str">
        <f>"دشت بشي پودنگ وبرادران رضا(4844014)"</f>
        <v>دشت بشي پودنگ وبرادران رضا(4844014)</v>
      </c>
      <c r="V1002" s="1">
        <v>951400131</v>
      </c>
      <c r="W1002" s="1">
        <v>951400131</v>
      </c>
      <c r="X1002" s="1" t="str">
        <f>"1395456109"</f>
        <v>1395456109</v>
      </c>
      <c r="Y1002" s="1" t="str">
        <f>"95/11/03"</f>
        <v>95/11/03</v>
      </c>
      <c r="Z1002" s="1" t="str">
        <f>"45724/710"</f>
        <v>45724/710</v>
      </c>
      <c r="AA1002" s="1" t="str">
        <f>"راه وروستايي -ساخت"</f>
        <v>راه وروستايي -ساخت</v>
      </c>
      <c r="AB1002" s="1" t="str">
        <f>"95/09/21"</f>
        <v>95/09/21</v>
      </c>
      <c r="AC1002" s="1" t="str">
        <f>"جنوب کرمان"</f>
        <v>جنوب کرمان</v>
      </c>
      <c r="AD1002" s="1" t="str">
        <f>"95/10/11"</f>
        <v>95/10/11</v>
      </c>
      <c r="AE1002" s="1" t="str">
        <f t="shared" si="263"/>
        <v>اختتام</v>
      </c>
      <c r="AF1002" s="1" t="str">
        <f>""</f>
        <v/>
      </c>
      <c r="AG1002" s="1" t="str">
        <f>""</f>
        <v/>
      </c>
      <c r="AH1002" s="1" t="str">
        <f>""</f>
        <v/>
      </c>
      <c r="AI1002" s="1" t="str">
        <f>""</f>
        <v/>
      </c>
      <c r="AJ1002" s="1" t="str">
        <f>""</f>
        <v/>
      </c>
      <c r="AK1002" s="1" t="str">
        <f>""</f>
        <v/>
      </c>
    </row>
    <row r="1003" spans="1:37" x14ac:dyDescent="0.2">
      <c r="A1003" s="1">
        <v>500000</v>
      </c>
      <c r="B1003" s="1">
        <v>951600097</v>
      </c>
      <c r="C1003" s="1" t="str">
        <f>"تخليه ايلام شهرستان ملكشاهي مخازن قيرشركت پرتوافشان خرم"</f>
        <v>تخليه ايلام شهرستان ملكشاهي مخازن قيرشركت پرتوافشان خرم</v>
      </c>
      <c r="D1003" s="1">
        <v>8348</v>
      </c>
      <c r="E1003" s="1">
        <v>499580</v>
      </c>
      <c r="F1003" s="1">
        <v>95</v>
      </c>
      <c r="G1003" s="1">
        <v>420</v>
      </c>
      <c r="H1003" s="1" t="str">
        <f>"95/12/25"</f>
        <v>95/12/25</v>
      </c>
      <c r="I1003" s="1" t="str">
        <f t="shared" si="257"/>
        <v>كيلوگرم</v>
      </c>
      <c r="J1003" s="1" t="str">
        <f t="shared" si="264"/>
        <v>0000000092</v>
      </c>
      <c r="K1003" s="1" t="str">
        <f t="shared" si="265"/>
        <v>قير  PG64-16</v>
      </c>
      <c r="L1003" s="1">
        <v>100</v>
      </c>
      <c r="M1003" s="1" t="str">
        <f t="shared" si="260"/>
        <v>مخازن قير اصفهان</v>
      </c>
      <c r="N1003" s="1">
        <v>10924</v>
      </c>
      <c r="O1003" s="1">
        <v>50034264</v>
      </c>
      <c r="P1003" s="1" t="str">
        <f>"  پرتو افشان خرم"</f>
        <v xml:space="preserve">  پرتو افشان خرم</v>
      </c>
      <c r="Q1003" s="1">
        <v>16</v>
      </c>
      <c r="R1003" s="1" t="str">
        <f>"فروش داخلي تهران - وزارت راه - معاونت اقتصاد"</f>
        <v>فروش داخلي تهران - وزارت راه - معاونت اقتصاد</v>
      </c>
      <c r="S1003" s="1" t="str">
        <f t="shared" si="258"/>
        <v>قرارداد فروش</v>
      </c>
      <c r="T1003" s="1" t="str">
        <f t="shared" si="259"/>
        <v>ندارد</v>
      </c>
      <c r="U1003" s="1" t="str">
        <f>"عظيمي محمد(2842015)"</f>
        <v>عظيمي محمد(2842015)</v>
      </c>
      <c r="V1003" s="1">
        <v>951600097</v>
      </c>
      <c r="W1003" s="1">
        <v>951600097</v>
      </c>
      <c r="X1003" s="1" t="str">
        <f>"1395471041"</f>
        <v>1395471041</v>
      </c>
      <c r="Y1003" s="1" t="str">
        <f>"95/12/25"</f>
        <v>95/12/25</v>
      </c>
      <c r="Z1003" s="1" t="str">
        <f>"66116/710"</f>
        <v>66116/710</v>
      </c>
      <c r="AA1003" s="1" t="str">
        <f>"معاونت اقتصادوزارت راه وشهرسازي"</f>
        <v>معاونت اقتصادوزارت راه وشهرسازي</v>
      </c>
      <c r="AB1003" s="1" t="str">
        <f>"95/12/23"</f>
        <v>95/12/23</v>
      </c>
      <c r="AC1003" s="1" t="str">
        <f>"استان ايلام"</f>
        <v>استان ايلام</v>
      </c>
      <c r="AD1003" s="1" t="str">
        <f>"95/12/25"</f>
        <v>95/12/25</v>
      </c>
      <c r="AE1003" s="1" t="str">
        <f t="shared" si="263"/>
        <v>اختتام</v>
      </c>
      <c r="AF1003" s="1" t="str">
        <f>""</f>
        <v/>
      </c>
      <c r="AG1003" s="1" t="str">
        <f>""</f>
        <v/>
      </c>
      <c r="AH1003" s="1" t="str">
        <f>""</f>
        <v/>
      </c>
      <c r="AI1003" s="1" t="str">
        <f>""</f>
        <v/>
      </c>
      <c r="AJ1003" s="1" t="str">
        <f>""</f>
        <v/>
      </c>
      <c r="AK1003" s="1" t="str">
        <f>""</f>
        <v/>
      </c>
    </row>
    <row r="1004" spans="1:37" x14ac:dyDescent="0.2">
      <c r="A1004" s="1">
        <v>1300000</v>
      </c>
      <c r="B1004" s="1">
        <v>951900199</v>
      </c>
      <c r="C1004" s="1" t="str">
        <f>"تخليه-ايلام-جاده ايلام- بدره -کارخانه آسفالت شرکت ايلام راه بان"</f>
        <v>تخليه-ايلام-جاده ايلام- بدره -کارخانه آسفالت شرکت ايلام راه بان</v>
      </c>
      <c r="D1004" s="1">
        <v>8323</v>
      </c>
      <c r="E1004" s="1">
        <v>1299920</v>
      </c>
      <c r="F1004" s="1">
        <v>95</v>
      </c>
      <c r="G1004" s="1">
        <v>80</v>
      </c>
      <c r="H1004" s="1" t="str">
        <f>"95/08/26"</f>
        <v>95/08/26</v>
      </c>
      <c r="I1004" s="1" t="str">
        <f t="shared" si="257"/>
        <v>كيلوگرم</v>
      </c>
      <c r="J1004" s="1" t="str">
        <f t="shared" si="264"/>
        <v>0000000092</v>
      </c>
      <c r="K1004" s="1" t="str">
        <f t="shared" si="265"/>
        <v>قير  PG64-16</v>
      </c>
      <c r="L1004" s="1">
        <v>100</v>
      </c>
      <c r="M1004" s="1" t="str">
        <f t="shared" si="260"/>
        <v>مخازن قير اصفهان</v>
      </c>
      <c r="N1004" s="1">
        <v>10942</v>
      </c>
      <c r="O1004" s="1">
        <v>50032623</v>
      </c>
      <c r="P1004" s="1" t="str">
        <f>"  سپهران سازه کبير کوه"</f>
        <v xml:space="preserve">  سپهران سازه کبير کوه</v>
      </c>
      <c r="Q1004" s="1">
        <v>19</v>
      </c>
      <c r="R10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04" s="1" t="str">
        <f t="shared" si="258"/>
        <v>قرارداد فروش</v>
      </c>
      <c r="T1004" s="1" t="str">
        <f t="shared" si="259"/>
        <v>ندارد</v>
      </c>
      <c r="U1004" s="1" t="str">
        <f>"عظيمي محمد(2842015)"</f>
        <v>عظيمي محمد(2842015)</v>
      </c>
      <c r="V1004" s="1">
        <v>951900199</v>
      </c>
      <c r="W1004" s="1">
        <v>951900199</v>
      </c>
      <c r="X1004" s="1" t="str">
        <f>"1395446086"</f>
        <v>1395446086</v>
      </c>
      <c r="Y1004" s="1" t="str">
        <f>"95/08/26"</f>
        <v>95/08/26</v>
      </c>
      <c r="Z1004" s="1" t="str">
        <f>"38476/710"</f>
        <v>38476/710</v>
      </c>
      <c r="AA1004" s="1" t="str">
        <f>"سازمان راهداري وحمل نقل جاده اي"</f>
        <v>سازمان راهداري وحمل نقل جاده اي</v>
      </c>
      <c r="AB1004" s="1" t="str">
        <f>"95/08/10"</f>
        <v>95/08/10</v>
      </c>
      <c r="AC1004" s="1" t="str">
        <f>"استان ايلام"</f>
        <v>استان ايلام</v>
      </c>
      <c r="AD1004" s="1" t="str">
        <f>"95/08/26"</f>
        <v>95/08/26</v>
      </c>
      <c r="AE1004" s="1" t="str">
        <f t="shared" ref="AE1004:AE1035" si="266">"اختتام"</f>
        <v>اختتام</v>
      </c>
      <c r="AF1004" s="1" t="str">
        <f>""</f>
        <v/>
      </c>
      <c r="AG1004" s="1" t="str">
        <f>""</f>
        <v/>
      </c>
      <c r="AH1004" s="1" t="str">
        <f>""</f>
        <v/>
      </c>
      <c r="AI1004" s="1" t="str">
        <f>""</f>
        <v/>
      </c>
      <c r="AJ1004" s="1" t="str">
        <f>""</f>
        <v/>
      </c>
      <c r="AK1004" s="1" t="str">
        <f>""</f>
        <v/>
      </c>
    </row>
    <row r="1005" spans="1:37" x14ac:dyDescent="0.2">
      <c r="A1005" s="1">
        <v>210000</v>
      </c>
      <c r="B1005" s="1">
        <v>951700072</v>
      </c>
      <c r="C1005" s="1" t="str">
        <f>"تخليه -ايلام -دره شهرشهرداري دره شهر"</f>
        <v>تخليه -ايلام -دره شهرشهرداري دره شهر</v>
      </c>
      <c r="D1005" s="1">
        <v>6250</v>
      </c>
      <c r="E1005" s="1">
        <v>210000</v>
      </c>
      <c r="F1005" s="1">
        <v>95</v>
      </c>
      <c r="G1005" s="1">
        <v>0</v>
      </c>
      <c r="H1005" s="1" t="str">
        <f>"95/04/06"</f>
        <v>95/04/06</v>
      </c>
      <c r="I1005" s="1" t="str">
        <f t="shared" si="257"/>
        <v>كيلوگرم</v>
      </c>
      <c r="J1005" s="1" t="str">
        <f t="shared" si="264"/>
        <v>0000000092</v>
      </c>
      <c r="K1005" s="1" t="str">
        <f t="shared" si="265"/>
        <v>قير  PG64-16</v>
      </c>
      <c r="L1005" s="1">
        <v>100</v>
      </c>
      <c r="M1005" s="1" t="str">
        <f t="shared" si="260"/>
        <v>مخازن قير اصفهان</v>
      </c>
      <c r="N1005" s="1">
        <v>10985</v>
      </c>
      <c r="O1005" s="1">
        <v>50031146</v>
      </c>
      <c r="P1005" s="1" t="str">
        <f>"  عمران مكانيك زاگرس"</f>
        <v xml:space="preserve">  عمران مكانيك زاگرس</v>
      </c>
      <c r="Q1005" s="1">
        <v>17</v>
      </c>
      <c r="R1005" s="1" t="str">
        <f>"فروش داخلي تهران - وزارت راه - راه روستايي - روکش"</f>
        <v>فروش داخلي تهران - وزارت راه - راه روستايي - روکش</v>
      </c>
      <c r="S1005" s="1" t="str">
        <f t="shared" si="258"/>
        <v>قرارداد فروش</v>
      </c>
      <c r="T1005" s="1" t="str">
        <f t="shared" si="259"/>
        <v>ندارد</v>
      </c>
      <c r="U1005" s="1" t="str">
        <f>"عظيمي محمد(2842015)"</f>
        <v>عظيمي محمد(2842015)</v>
      </c>
      <c r="V1005" s="1">
        <v>951700072</v>
      </c>
      <c r="W1005" s="1">
        <v>951700072</v>
      </c>
      <c r="X1005" s="1" t="str">
        <f>"1395411362"</f>
        <v>1395411362</v>
      </c>
      <c r="Y1005" s="1" t="str">
        <f>"95/04/06"</f>
        <v>95/04/06</v>
      </c>
      <c r="Z1005" s="1" t="str">
        <f>"13566/510"</f>
        <v>13566/510</v>
      </c>
      <c r="AA1005" s="1" t="str">
        <f>"راه روستائي -روكش"</f>
        <v>راه روستائي -روكش</v>
      </c>
      <c r="AB1005" s="1" t="str">
        <f>"95/03/31"</f>
        <v>95/03/31</v>
      </c>
      <c r="AC1005" s="1" t="str">
        <f>"استان ايلام"</f>
        <v>استان ايلام</v>
      </c>
      <c r="AD1005" s="1" t="str">
        <f>"95/04/06"</f>
        <v>95/04/06</v>
      </c>
      <c r="AE1005" s="1" t="str">
        <f t="shared" si="266"/>
        <v>اختتام</v>
      </c>
      <c r="AF1005" s="1" t="str">
        <f>""</f>
        <v/>
      </c>
      <c r="AG1005" s="1" t="str">
        <f>""</f>
        <v/>
      </c>
      <c r="AH1005" s="1" t="str">
        <f>""</f>
        <v/>
      </c>
      <c r="AI1005" s="1" t="str">
        <f>""</f>
        <v/>
      </c>
      <c r="AJ1005" s="1" t="str">
        <f>""</f>
        <v/>
      </c>
      <c r="AK1005" s="1" t="str">
        <f>""</f>
        <v/>
      </c>
    </row>
    <row r="1006" spans="1:37" x14ac:dyDescent="0.2">
      <c r="A1006" s="1">
        <v>665000</v>
      </c>
      <c r="B1006" s="1">
        <v>951700210</v>
      </c>
      <c r="C1006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1006" s="1">
        <v>7276</v>
      </c>
      <c r="E1006" s="1">
        <v>658720</v>
      </c>
      <c r="F1006" s="1">
        <v>95</v>
      </c>
      <c r="G1006" s="1">
        <v>6280</v>
      </c>
      <c r="H1006" s="1" t="str">
        <f>"95/07/04"</f>
        <v>95/07/04</v>
      </c>
      <c r="I1006" s="1" t="str">
        <f t="shared" si="257"/>
        <v>كيلوگرم</v>
      </c>
      <c r="J1006" s="1" t="str">
        <f t="shared" si="264"/>
        <v>0000000092</v>
      </c>
      <c r="K1006" s="1" t="str">
        <f t="shared" si="265"/>
        <v>قير  PG64-16</v>
      </c>
      <c r="L1006" s="1">
        <v>100</v>
      </c>
      <c r="M1006" s="1" t="str">
        <f t="shared" si="260"/>
        <v>مخازن قير اصفهان</v>
      </c>
      <c r="N1006" s="1">
        <v>9485</v>
      </c>
      <c r="O1006" s="1">
        <v>50031920</v>
      </c>
      <c r="P1006" s="1" t="str">
        <f>"  بلوران سازه خرم"</f>
        <v xml:space="preserve">  بلوران سازه خرم</v>
      </c>
      <c r="Q1006" s="1">
        <v>17</v>
      </c>
      <c r="R1006" s="1" t="str">
        <f>"فروش داخلي تهران - وزارت راه - راه روستايي - روکش"</f>
        <v>فروش داخلي تهران - وزارت راه - راه روستايي - روکش</v>
      </c>
      <c r="S1006" s="1" t="str">
        <f t="shared" si="258"/>
        <v>قرارداد فروش</v>
      </c>
      <c r="T1006" s="1" t="str">
        <f t="shared" si="259"/>
        <v>ندارد</v>
      </c>
      <c r="U1006" s="1" t="str">
        <f>"ريسماني حسن(1007ج89)"</f>
        <v>ريسماني حسن(1007ج89)</v>
      </c>
      <c r="V1006" s="1">
        <v>951700210</v>
      </c>
      <c r="W1006" s="1">
        <v>951700210</v>
      </c>
      <c r="X1006" s="1" t="str">
        <f>"1395433641"</f>
        <v>1395433641</v>
      </c>
      <c r="Y1006" s="1" t="str">
        <f>"95/07/04"</f>
        <v>95/07/04</v>
      </c>
      <c r="Z1006" s="1" t="str">
        <f>"30366/510"</f>
        <v>30366/510</v>
      </c>
      <c r="AA1006" s="1" t="str">
        <f>"راه روستائي -روكش"</f>
        <v>راه روستائي -روكش</v>
      </c>
      <c r="AB1006" s="1" t="str">
        <f>"95/06/27"</f>
        <v>95/06/27</v>
      </c>
      <c r="AC1006" s="1" t="str">
        <f>"لرستان"</f>
        <v>لرستان</v>
      </c>
      <c r="AD1006" s="1" t="str">
        <f>"95/07/04"</f>
        <v>95/07/04</v>
      </c>
      <c r="AE1006" s="1" t="str">
        <f t="shared" si="266"/>
        <v>اختتام</v>
      </c>
      <c r="AF1006" s="1" t="str">
        <f>""</f>
        <v/>
      </c>
      <c r="AG1006" s="1" t="str">
        <f>""</f>
        <v/>
      </c>
      <c r="AH1006" s="1" t="str">
        <f>""</f>
        <v/>
      </c>
      <c r="AI1006" s="1" t="str">
        <f>""</f>
        <v/>
      </c>
      <c r="AJ1006" s="1" t="str">
        <f>""</f>
        <v/>
      </c>
      <c r="AK1006" s="1" t="str">
        <f>""</f>
        <v/>
      </c>
    </row>
    <row r="1007" spans="1:37" x14ac:dyDescent="0.2">
      <c r="A1007" s="1">
        <v>387000</v>
      </c>
      <c r="B1007" s="1">
        <v>951400065</v>
      </c>
      <c r="C1007" s="1" t="str">
        <f>"تخليه : لرستان - خرم آباد کيلومتر 50جاده پل قديمي کشکان روبروي پاسگاه انتظامي کارخانه آسفالت بهاروند"</f>
        <v>تخليه : لرستان - خرم آباد کيلومتر 50جاده پل قديمي کشکان روبروي پاسگاه انتظامي کارخانه آسفالت بهاروند</v>
      </c>
      <c r="D1007" s="1">
        <v>7176</v>
      </c>
      <c r="E1007" s="1">
        <v>385040</v>
      </c>
      <c r="F1007" s="1">
        <v>95</v>
      </c>
      <c r="G1007" s="1">
        <v>1960</v>
      </c>
      <c r="H1007" s="1" t="str">
        <f>"95/06/11"</f>
        <v>95/06/11</v>
      </c>
      <c r="I1007" s="1" t="str">
        <f t="shared" si="257"/>
        <v>كيلوگرم</v>
      </c>
      <c r="J1007" s="1" t="str">
        <f t="shared" si="264"/>
        <v>0000000092</v>
      </c>
      <c r="K1007" s="1" t="str">
        <f t="shared" si="265"/>
        <v>قير  PG64-16</v>
      </c>
      <c r="L1007" s="1">
        <v>100</v>
      </c>
      <c r="M1007" s="1" t="str">
        <f t="shared" si="260"/>
        <v>مخازن قير اصفهان</v>
      </c>
      <c r="N1007" s="1">
        <v>9527</v>
      </c>
      <c r="O1007" s="1">
        <v>50031747</v>
      </c>
      <c r="P1007" s="1" t="str">
        <f>"  آبادگران راه خرم"</f>
        <v xml:space="preserve">  آبادگران راه خرم</v>
      </c>
      <c r="Q1007" s="1">
        <v>14</v>
      </c>
      <c r="R1007" s="1" t="str">
        <f>"فروش داخلي - وزارت راه - حوزه راه روستايي ساخت"</f>
        <v>فروش داخلي - وزارت راه - حوزه راه روستايي ساخت</v>
      </c>
      <c r="S1007" s="1" t="str">
        <f t="shared" si="258"/>
        <v>قرارداد فروش</v>
      </c>
      <c r="T1007" s="1" t="str">
        <f t="shared" si="259"/>
        <v>ندارد</v>
      </c>
      <c r="U1007" s="1" t="str">
        <f>"ريسماني حسن(1007ج89)"</f>
        <v>ريسماني حسن(1007ج89)</v>
      </c>
      <c r="V1007" s="1">
        <v>951400065</v>
      </c>
      <c r="W1007" s="1">
        <v>951400065</v>
      </c>
      <c r="X1007" s="1" t="str">
        <f>"1395428491"</f>
        <v>1395428491</v>
      </c>
      <c r="Y1007" s="1" t="str">
        <f>"95/06/11"</f>
        <v>95/06/11</v>
      </c>
      <c r="Z1007" s="1" t="str">
        <f>"27014/510"</f>
        <v>27014/510</v>
      </c>
      <c r="AA1007" s="1" t="str">
        <f>"راه وروستايي -ساخت"</f>
        <v>راه وروستايي -ساخت</v>
      </c>
      <c r="AB1007" s="1" t="str">
        <f>"95/06/09"</f>
        <v>95/06/09</v>
      </c>
      <c r="AC1007" s="1" t="str">
        <f>"لرستان"</f>
        <v>لرستان</v>
      </c>
      <c r="AD1007" s="1" t="str">
        <f>"95/06/10"</f>
        <v>95/06/10</v>
      </c>
      <c r="AE1007" s="1" t="str">
        <f t="shared" si="266"/>
        <v>اختتام</v>
      </c>
      <c r="AF1007" s="1" t="str">
        <f>""</f>
        <v/>
      </c>
      <c r="AG1007" s="1" t="str">
        <f>""</f>
        <v/>
      </c>
      <c r="AH1007" s="1" t="str">
        <f>""</f>
        <v/>
      </c>
      <c r="AI1007" s="1" t="str">
        <f>""</f>
        <v/>
      </c>
      <c r="AJ1007" s="1" t="str">
        <f>""</f>
        <v/>
      </c>
      <c r="AK1007" s="1" t="str">
        <f>""</f>
        <v/>
      </c>
    </row>
    <row r="1008" spans="1:37" x14ac:dyDescent="0.2">
      <c r="A1008" s="1">
        <v>245000</v>
      </c>
      <c r="B1008" s="1">
        <v>951300005</v>
      </c>
      <c r="C1008" s="1" t="str">
        <f>"تخليه -اصفهان پليس راه شاهين شهركيلومتر12جاده علويجه كارخانه آسفالت مترو-مزروعي"</f>
        <v>تخليه -اصفهان پليس راه شاهين شهركيلومتر12جاده علويجه كارخانه آسفالت مترو-مزروعي</v>
      </c>
      <c r="D1008" s="1">
        <v>5650</v>
      </c>
      <c r="E1008" s="1">
        <v>243660</v>
      </c>
      <c r="F1008" s="1">
        <v>95</v>
      </c>
      <c r="G1008" s="1">
        <v>1340</v>
      </c>
      <c r="H1008" s="1" t="str">
        <f>"95/02/15"</f>
        <v>95/02/15</v>
      </c>
      <c r="I1008" s="1" t="str">
        <f t="shared" si="257"/>
        <v>كيلوگرم</v>
      </c>
      <c r="J1008" s="1" t="str">
        <f t="shared" si="264"/>
        <v>0000000092</v>
      </c>
      <c r="K1008" s="1" t="str">
        <f t="shared" si="265"/>
        <v>قير  PG64-16</v>
      </c>
      <c r="L1008" s="1">
        <v>100</v>
      </c>
      <c r="M1008" s="1" t="str">
        <f t="shared" si="260"/>
        <v>مخازن قير اصفهان</v>
      </c>
      <c r="N1008" s="1">
        <v>9814</v>
      </c>
      <c r="O1008" s="1">
        <v>50030744</v>
      </c>
      <c r="P1008" s="1" t="str">
        <f>"  بنيادمسكن انقلاب اسلامي اصفهان"</f>
        <v xml:space="preserve">  بنيادمسكن انقلاب اسلامي اصفهان</v>
      </c>
      <c r="Q1008" s="1">
        <v>13</v>
      </c>
      <c r="R1008" s="1" t="str">
        <f>"فروش داخلي - وزارت راه - حوزه بنياد مسكن"</f>
        <v>فروش داخلي - وزارت راه - حوزه بنياد مسكن</v>
      </c>
      <c r="S1008" s="1" t="str">
        <f t="shared" si="258"/>
        <v>قرارداد فروش</v>
      </c>
      <c r="T1008" s="1" t="str">
        <f t="shared" si="259"/>
        <v>ندارد</v>
      </c>
      <c r="U1008" s="1" t="str">
        <f>"عزيزي صفر(1006ج 89)"</f>
        <v>عزيزي صفر(1006ج 89)</v>
      </c>
      <c r="V1008" s="1">
        <v>951300005</v>
      </c>
      <c r="W1008" s="1">
        <v>951300005</v>
      </c>
      <c r="X1008" s="1" t="str">
        <f>"1395401949"</f>
        <v>1395401949</v>
      </c>
      <c r="Y1008" s="1" t="str">
        <f>"95/02/15"</f>
        <v>95/02/15</v>
      </c>
      <c r="Z1008" s="1" t="str">
        <f>"67517/510"</f>
        <v>67517/510</v>
      </c>
      <c r="AA1008" s="1" t="str">
        <f>"بنياد مسكن -مسكن مهر"</f>
        <v>بنياد مسكن -مسكن مهر</v>
      </c>
      <c r="AB1008" s="1" t="str">
        <f>"94/12/09"</f>
        <v>94/12/09</v>
      </c>
      <c r="AC1008" s="1" t="str">
        <f>"استان اصفهان"</f>
        <v>استان اصفهان</v>
      </c>
      <c r="AD1008" s="1" t="str">
        <f>"95/02/11"</f>
        <v>95/02/11</v>
      </c>
      <c r="AE1008" s="1" t="str">
        <f t="shared" si="266"/>
        <v>اختتام</v>
      </c>
      <c r="AF1008" s="1" t="str">
        <f>""</f>
        <v/>
      </c>
      <c r="AG1008" s="1" t="str">
        <f>""</f>
        <v/>
      </c>
      <c r="AH1008" s="1" t="str">
        <f>""</f>
        <v/>
      </c>
      <c r="AI1008" s="1" t="str">
        <f>""</f>
        <v/>
      </c>
      <c r="AJ1008" s="1" t="str">
        <f>""</f>
        <v/>
      </c>
      <c r="AK1008" s="1" t="str">
        <f>""</f>
        <v/>
      </c>
    </row>
    <row r="1009" spans="1:37" x14ac:dyDescent="0.2">
      <c r="A1009" s="1">
        <v>160000</v>
      </c>
      <c r="B1009" s="1">
        <v>951300013</v>
      </c>
      <c r="C1009" s="1" t="str">
        <f>"تخليه- جاده حبيب آباد-پنج کيلومتر بعد از زينبيه-کارخانه آسفالت زينبيه"</f>
        <v>تخليه- جاده حبيب آباد-پنج کيلومتر بعد از زينبيه-کارخانه آسفالت زينبيه</v>
      </c>
      <c r="D1009" s="1">
        <v>6250</v>
      </c>
      <c r="E1009" s="1">
        <v>159580</v>
      </c>
      <c r="F1009" s="1">
        <v>95</v>
      </c>
      <c r="G1009" s="1">
        <v>420</v>
      </c>
      <c r="H1009" s="1" t="str">
        <f>"95/04/22"</f>
        <v>95/04/22</v>
      </c>
      <c r="I1009" s="1" t="str">
        <f t="shared" si="257"/>
        <v>كيلوگرم</v>
      </c>
      <c r="J1009" s="1" t="str">
        <f t="shared" si="264"/>
        <v>0000000092</v>
      </c>
      <c r="K1009" s="1" t="str">
        <f t="shared" si="265"/>
        <v>قير  PG64-16</v>
      </c>
      <c r="L1009" s="1">
        <v>100</v>
      </c>
      <c r="M1009" s="1" t="str">
        <f t="shared" si="260"/>
        <v>مخازن قير اصفهان</v>
      </c>
      <c r="N1009" s="1">
        <v>9814</v>
      </c>
      <c r="O1009" s="1">
        <v>50031274</v>
      </c>
      <c r="P1009" s="1" t="str">
        <f>"  بنيادمسكن انقلاب اسلامي اصفهان"</f>
        <v xml:space="preserve">  بنيادمسكن انقلاب اسلامي اصفهان</v>
      </c>
      <c r="Q1009" s="1">
        <v>13</v>
      </c>
      <c r="R1009" s="1" t="str">
        <f>"فروش داخلي - وزارت راه - حوزه بنياد مسكن"</f>
        <v>فروش داخلي - وزارت راه - حوزه بنياد مسكن</v>
      </c>
      <c r="S1009" s="1" t="str">
        <f t="shared" si="258"/>
        <v>قرارداد فروش</v>
      </c>
      <c r="T1009" s="1" t="str">
        <f t="shared" si="259"/>
        <v>ندارد</v>
      </c>
      <c r="U1009" s="1" t="str">
        <f>"ريسماني حسن(1007ج89)"</f>
        <v>ريسماني حسن(1007ج89)</v>
      </c>
      <c r="V1009" s="1">
        <v>951300013</v>
      </c>
      <c r="W1009" s="1">
        <v>951300013</v>
      </c>
      <c r="X1009" s="1" t="str">
        <f>"1395414429"</f>
        <v>1395414429</v>
      </c>
      <c r="Y1009" s="1" t="str">
        <f>"95/04/21"</f>
        <v>95/04/21</v>
      </c>
      <c r="Z1009" s="1" t="str">
        <f>"15329/510"</f>
        <v>15329/510</v>
      </c>
      <c r="AA1009" s="1" t="str">
        <f>"بنياد مسكن -مسكن مهر"</f>
        <v>بنياد مسكن -مسكن مهر</v>
      </c>
      <c r="AB1009" s="1" t="str">
        <f>"95/04/09"</f>
        <v>95/04/09</v>
      </c>
      <c r="AC1009" s="1" t="str">
        <f>"استان اصفهان"</f>
        <v>استان اصفهان</v>
      </c>
      <c r="AD1009" s="1" t="str">
        <f>"95/04/21"</f>
        <v>95/04/21</v>
      </c>
      <c r="AE1009" s="1" t="str">
        <f t="shared" si="266"/>
        <v>اختتام</v>
      </c>
      <c r="AF1009" s="1" t="str">
        <f>""</f>
        <v/>
      </c>
      <c r="AG1009" s="1" t="str">
        <f>""</f>
        <v/>
      </c>
      <c r="AH1009" s="1" t="str">
        <f>""</f>
        <v/>
      </c>
      <c r="AI1009" s="1" t="str">
        <f>""</f>
        <v/>
      </c>
      <c r="AJ1009" s="1" t="str">
        <f>""</f>
        <v/>
      </c>
      <c r="AK1009" s="1" t="str">
        <f>""</f>
        <v/>
      </c>
    </row>
    <row r="1010" spans="1:37" x14ac:dyDescent="0.2">
      <c r="A1010" s="1">
        <v>15700</v>
      </c>
      <c r="B1010" s="1">
        <v>951700085</v>
      </c>
      <c r="C1010" s="1" t="str">
        <f>"تخليه -قم جعفريه -كارخانه آسفالت مهرگازران"</f>
        <v>تخليه -قم جعفريه -كارخانه آسفالت مهرگازران</v>
      </c>
      <c r="D1010" s="1">
        <v>6250</v>
      </c>
      <c r="E1010" s="1">
        <v>15500</v>
      </c>
      <c r="F1010" s="1">
        <v>95</v>
      </c>
      <c r="G1010" s="1">
        <v>200</v>
      </c>
      <c r="H1010" s="1" t="str">
        <f>"95/04/19"</f>
        <v>95/04/19</v>
      </c>
      <c r="I1010" s="1" t="str">
        <f t="shared" si="257"/>
        <v>كيلوگرم</v>
      </c>
      <c r="J1010" s="1" t="str">
        <f>"0000000091"</f>
        <v>0000000091</v>
      </c>
      <c r="K1010" s="1" t="str">
        <f>"قير  PG64-22"</f>
        <v>قير  PG64-22</v>
      </c>
      <c r="L1010" s="1">
        <v>100</v>
      </c>
      <c r="M1010" s="1" t="str">
        <f t="shared" si="260"/>
        <v>مخازن قير اصفهان</v>
      </c>
      <c r="N1010" s="1">
        <v>8270</v>
      </c>
      <c r="O1010" s="1">
        <v>50031223</v>
      </c>
      <c r="P1010" s="1" t="str">
        <f>"  اداره كل راه و شهرسازي  قم"</f>
        <v xml:space="preserve">  اداره كل راه و شهرسازي  قم</v>
      </c>
      <c r="Q1010" s="1">
        <v>17</v>
      </c>
      <c r="R1010" s="1" t="str">
        <f>"فروش داخلي تهران - وزارت راه - راه روستايي - روکش"</f>
        <v>فروش داخلي تهران - وزارت راه - راه روستايي - روکش</v>
      </c>
      <c r="S1010" s="1" t="str">
        <f t="shared" si="258"/>
        <v>قرارداد فروش</v>
      </c>
      <c r="T1010" s="1" t="str">
        <f t="shared" si="259"/>
        <v>ندارد</v>
      </c>
      <c r="U1010" s="1" t="str">
        <f>"اميري علي(2842011)"</f>
        <v>اميري علي(2842011)</v>
      </c>
      <c r="V1010" s="1">
        <v>951700085</v>
      </c>
      <c r="W1010" s="1">
        <v>951700085</v>
      </c>
      <c r="X1010" s="1" t="str">
        <f>"1394390584"</f>
        <v>1394390584</v>
      </c>
      <c r="Y1010" s="1" t="str">
        <f>"95/04/19"</f>
        <v>95/04/19</v>
      </c>
      <c r="Z1010" s="1" t="str">
        <f>"62063/510"</f>
        <v>62063/510</v>
      </c>
      <c r="AA1010" s="1" t="str">
        <f>"راه روستائي -روكش"</f>
        <v>راه روستائي -روكش</v>
      </c>
      <c r="AB1010" s="1" t="str">
        <f>"94/11/11"</f>
        <v>94/11/11</v>
      </c>
      <c r="AC1010" s="1" t="str">
        <f>"قم"</f>
        <v>قم</v>
      </c>
      <c r="AD1010" s="1" t="str">
        <f>"94/11/12"</f>
        <v>94/11/12</v>
      </c>
      <c r="AE1010" s="1" t="str">
        <f t="shared" si="266"/>
        <v>اختتام</v>
      </c>
      <c r="AF1010" s="1" t="str">
        <f>""</f>
        <v/>
      </c>
      <c r="AG1010" s="1" t="str">
        <f>""</f>
        <v/>
      </c>
      <c r="AH1010" s="1" t="str">
        <f>""</f>
        <v/>
      </c>
      <c r="AI1010" s="1" t="str">
        <f>""</f>
        <v/>
      </c>
      <c r="AJ1010" s="1" t="str">
        <f>""</f>
        <v/>
      </c>
      <c r="AK1010" s="1" t="str">
        <f>""</f>
        <v/>
      </c>
    </row>
    <row r="1011" spans="1:37" x14ac:dyDescent="0.2">
      <c r="A1011" s="1">
        <v>500000</v>
      </c>
      <c r="B1011" s="1">
        <v>951900150</v>
      </c>
      <c r="C1011" s="1" t="str">
        <f>"تخليه -كرمانشاه -كارخانه آسفالت بتن شيب غرب"</f>
        <v>تخليه -كرمانشاه -كارخانه آسفالت بتن شيب غرب</v>
      </c>
      <c r="D1011" s="1">
        <v>7176</v>
      </c>
      <c r="E1011" s="1">
        <v>498980</v>
      </c>
      <c r="F1011" s="1">
        <v>95</v>
      </c>
      <c r="G1011" s="1">
        <v>1020</v>
      </c>
      <c r="H1011" s="1" t="str">
        <f>"95/06/23"</f>
        <v>95/06/23</v>
      </c>
      <c r="I1011" s="1" t="str">
        <f t="shared" si="257"/>
        <v>كيلوگرم</v>
      </c>
      <c r="J1011" s="1" t="str">
        <f>"0000000091"</f>
        <v>0000000091</v>
      </c>
      <c r="K1011" s="1" t="str">
        <f>"قير  PG64-22"</f>
        <v>قير  PG64-22</v>
      </c>
      <c r="L1011" s="1">
        <v>100</v>
      </c>
      <c r="M1011" s="1" t="str">
        <f t="shared" si="260"/>
        <v>مخازن قير اصفهان</v>
      </c>
      <c r="N1011" s="1">
        <v>10623</v>
      </c>
      <c r="O1011" s="1">
        <v>50031860</v>
      </c>
      <c r="P1011" s="1" t="str">
        <f>"  ايمن راه باختر"</f>
        <v xml:space="preserve">  ايمن راه باختر</v>
      </c>
      <c r="Q1011" s="1">
        <v>19</v>
      </c>
      <c r="R10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1" s="1" t="str">
        <f t="shared" si="258"/>
        <v>قرارداد فروش</v>
      </c>
      <c r="T1011" s="1" t="str">
        <f t="shared" si="259"/>
        <v>ندارد</v>
      </c>
      <c r="U1011" s="1" t="str">
        <f>"پيرالي مجيد(1045ج 94)"</f>
        <v>پيرالي مجيد(1045ج 94)</v>
      </c>
      <c r="V1011" s="1">
        <v>951900150</v>
      </c>
      <c r="W1011" s="1">
        <v>951900150</v>
      </c>
      <c r="X1011" s="1" t="str">
        <f>"1395430865"</f>
        <v>1395430865</v>
      </c>
      <c r="Y1011" s="1" t="str">
        <f>"95/06/23"</f>
        <v>95/06/23</v>
      </c>
      <c r="Z1011" s="1" t="str">
        <f>"28783/510"</f>
        <v>28783/510</v>
      </c>
      <c r="AA1011" s="1" t="str">
        <f>"سازمان راهداري وحمل نقل جاده اي"</f>
        <v>سازمان راهداري وحمل نقل جاده اي</v>
      </c>
      <c r="AB1011" s="1" t="str">
        <f>"95/06/16"</f>
        <v>95/06/16</v>
      </c>
      <c r="AC1011" s="1" t="str">
        <f>"استان كرمانشاه"</f>
        <v>استان كرمانشاه</v>
      </c>
      <c r="AD1011" s="1" t="str">
        <f>"95/06/23"</f>
        <v>95/06/23</v>
      </c>
      <c r="AE1011" s="1" t="str">
        <f t="shared" si="266"/>
        <v>اختتام</v>
      </c>
      <c r="AF1011" s="1" t="str">
        <f>""</f>
        <v/>
      </c>
      <c r="AG1011" s="1" t="str">
        <f>""</f>
        <v/>
      </c>
      <c r="AH1011" s="1" t="str">
        <f>""</f>
        <v/>
      </c>
      <c r="AI1011" s="1" t="str">
        <f>""</f>
        <v/>
      </c>
      <c r="AJ1011" s="1" t="str">
        <f>""</f>
        <v/>
      </c>
      <c r="AK1011" s="1" t="str">
        <f>""</f>
        <v/>
      </c>
    </row>
    <row r="1012" spans="1:37" x14ac:dyDescent="0.2">
      <c r="A1012" s="1">
        <v>700000</v>
      </c>
      <c r="B1012" s="1">
        <v>951900061</v>
      </c>
      <c r="C1012" s="1" t="str">
        <f>"تخليه -كرمانشاه كيلومتر5جاده سرپل ذهاب -روستاي طلم كارخانه همياردالاهو"</f>
        <v>تخليه -كرمانشاه كيلومتر5جاده سرپل ذهاب -روستاي طلم كارخانه همياردالاهو</v>
      </c>
      <c r="D1012" s="1">
        <v>6726</v>
      </c>
      <c r="E1012" s="1">
        <v>698500</v>
      </c>
      <c r="F1012" s="1">
        <v>95</v>
      </c>
      <c r="G1012" s="1">
        <v>1500</v>
      </c>
      <c r="H1012" s="1" t="str">
        <f>"95/05/04"</f>
        <v>95/05/04</v>
      </c>
      <c r="I1012" s="1" t="str">
        <f t="shared" si="257"/>
        <v>كيلوگرم</v>
      </c>
      <c r="J1012" s="1" t="str">
        <f>"0000000091"</f>
        <v>0000000091</v>
      </c>
      <c r="K1012" s="1" t="str">
        <f>"قير  PG64-22"</f>
        <v>قير  PG64-22</v>
      </c>
      <c r="L1012" s="1">
        <v>100</v>
      </c>
      <c r="M1012" s="1" t="str">
        <f t="shared" si="260"/>
        <v>مخازن قير اصفهان</v>
      </c>
      <c r="N1012" s="1">
        <v>10626</v>
      </c>
      <c r="O1012" s="1">
        <v>50031338</v>
      </c>
      <c r="P1012" s="1" t="str">
        <f>"  ساختماني بناوتمدن پارت"</f>
        <v xml:space="preserve">  ساختماني بناوتمدن پارت</v>
      </c>
      <c r="Q1012" s="1">
        <v>19</v>
      </c>
      <c r="R10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2" s="1" t="str">
        <f t="shared" si="258"/>
        <v>قرارداد فروش</v>
      </c>
      <c r="T1012" s="1" t="str">
        <f t="shared" si="259"/>
        <v>ندارد</v>
      </c>
      <c r="U1012" s="1" t="str">
        <f>"شمسيان پور حبيب اله(2842034)"</f>
        <v>شمسيان پور حبيب اله(2842034)</v>
      </c>
      <c r="V1012" s="1">
        <v>951900061</v>
      </c>
      <c r="W1012" s="1">
        <v>951900061</v>
      </c>
      <c r="X1012" s="1" t="str">
        <f>"1395417771"</f>
        <v>1395417771</v>
      </c>
      <c r="Y1012" s="1" t="str">
        <f>"95/05/04"</f>
        <v>95/05/04</v>
      </c>
      <c r="Z1012" s="1" t="str">
        <f>"18136/510"</f>
        <v>18136/510</v>
      </c>
      <c r="AA1012" s="1" t="str">
        <f>"سازمان راهداري وحمل نقل جاده اي"</f>
        <v>سازمان راهداري وحمل نقل جاده اي</v>
      </c>
      <c r="AB1012" s="1" t="str">
        <f>"95/04/27"</f>
        <v>95/04/27</v>
      </c>
      <c r="AC1012" s="1" t="str">
        <f>"استان كرمانشاه"</f>
        <v>استان كرمانشاه</v>
      </c>
      <c r="AD1012" s="1" t="str">
        <f>"95/05/04"</f>
        <v>95/05/04</v>
      </c>
      <c r="AE1012" s="1" t="str">
        <f t="shared" si="266"/>
        <v>اختتام</v>
      </c>
      <c r="AF1012" s="1" t="str">
        <f>""</f>
        <v/>
      </c>
      <c r="AG1012" s="1" t="str">
        <f>""</f>
        <v/>
      </c>
      <c r="AH1012" s="1" t="str">
        <f>""</f>
        <v/>
      </c>
      <c r="AI1012" s="1" t="str">
        <f>""</f>
        <v/>
      </c>
      <c r="AJ1012" s="1" t="str">
        <f>""</f>
        <v/>
      </c>
      <c r="AK1012" s="1" t="str">
        <f>""</f>
        <v/>
      </c>
    </row>
    <row r="1013" spans="1:37" x14ac:dyDescent="0.2">
      <c r="A1013" s="1">
        <v>1000000</v>
      </c>
      <c r="B1013" s="1">
        <v>951400107</v>
      </c>
      <c r="C1013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1013" s="1">
        <v>9061</v>
      </c>
      <c r="E1013" s="1">
        <v>998320</v>
      </c>
      <c r="F1013" s="1">
        <v>95</v>
      </c>
      <c r="G1013" s="1">
        <v>1680</v>
      </c>
      <c r="H1013" s="1" t="str">
        <f>"95/10/12"</f>
        <v>95/10/12</v>
      </c>
      <c r="I1013" s="1" t="str">
        <f t="shared" si="257"/>
        <v>كيلوگرم</v>
      </c>
      <c r="J1013" s="1" t="str">
        <f t="shared" ref="J1013:J1028" si="267">"0000000092"</f>
        <v>0000000092</v>
      </c>
      <c r="K1013" s="1" t="str">
        <f t="shared" ref="K1013:K1028" si="268">"قير  PG64-16"</f>
        <v>قير  PG64-16</v>
      </c>
      <c r="L1013" s="1">
        <v>100</v>
      </c>
      <c r="M1013" s="1" t="str">
        <f t="shared" si="260"/>
        <v>مخازن قير اصفهان</v>
      </c>
      <c r="N1013" s="1">
        <v>11012</v>
      </c>
      <c r="O1013" s="1">
        <v>50033246</v>
      </c>
      <c r="P1013" s="1" t="str">
        <f>"  راه سازگوده"</f>
        <v xml:space="preserve">  راه سازگوده</v>
      </c>
      <c r="Q1013" s="1">
        <v>14</v>
      </c>
      <c r="R1013" s="1" t="str">
        <f>"فروش داخلي - وزارت راه - حوزه راه روستايي ساخت"</f>
        <v>فروش داخلي - وزارت راه - حوزه راه روستايي ساخت</v>
      </c>
      <c r="S1013" s="1" t="str">
        <f t="shared" si="258"/>
        <v>قرارداد فروش</v>
      </c>
      <c r="T1013" s="1" t="str">
        <f t="shared" si="259"/>
        <v>ندارد</v>
      </c>
      <c r="U1013" s="1" t="str">
        <f>"حاصليان ترابرجنوب مرتضي حاصلي (4844006)"</f>
        <v>حاصليان ترابرجنوب مرتضي حاصلي (4844006)</v>
      </c>
      <c r="V1013" s="1">
        <v>951400107</v>
      </c>
      <c r="W1013" s="1">
        <v>951400107</v>
      </c>
      <c r="X1013" s="1" t="str">
        <f>"1395454987"</f>
        <v>1395454987</v>
      </c>
      <c r="Y1013" s="1" t="str">
        <f>"95/10/12"</f>
        <v>95/10/12</v>
      </c>
      <c r="Z1013" s="1" t="str">
        <f>"45391/710"</f>
        <v>45391/710</v>
      </c>
      <c r="AA1013" s="1" t="str">
        <f>"راه وروستايي -ساخت"</f>
        <v>راه وروستايي -ساخت</v>
      </c>
      <c r="AB1013" s="1" t="str">
        <f>"95/09/20"</f>
        <v>95/09/20</v>
      </c>
      <c r="AC1013" s="1" t="str">
        <f>"استان هرمزگان"</f>
        <v>استان هرمزگان</v>
      </c>
      <c r="AD1013" s="1" t="str">
        <f>"95/10/07"</f>
        <v>95/10/07</v>
      </c>
      <c r="AE1013" s="1" t="str">
        <f t="shared" si="266"/>
        <v>اختتام</v>
      </c>
      <c r="AF1013" s="1" t="str">
        <f>""</f>
        <v/>
      </c>
      <c r="AG1013" s="1" t="str">
        <f>""</f>
        <v/>
      </c>
      <c r="AH1013" s="1" t="str">
        <f>""</f>
        <v/>
      </c>
      <c r="AI1013" s="1" t="str">
        <f>""</f>
        <v/>
      </c>
      <c r="AJ1013" s="1" t="str">
        <f>""</f>
        <v/>
      </c>
      <c r="AK1013" s="1" t="str">
        <f>""</f>
        <v/>
      </c>
    </row>
    <row r="1014" spans="1:37" x14ac:dyDescent="0.2">
      <c r="A1014" s="1">
        <v>300000</v>
      </c>
      <c r="B1014" s="1">
        <v>951300001</v>
      </c>
      <c r="C1014" s="1" t="str">
        <f>"تخليه -اصفهان كيلومتر125جاده اصفهان نائين كارخانه شركت نوژان خشت"</f>
        <v>تخليه -اصفهان كيلومتر125جاده اصفهان نائين كارخانه شركت نوژان خشت</v>
      </c>
      <c r="D1014" s="1">
        <v>5650</v>
      </c>
      <c r="E1014" s="1">
        <v>298480</v>
      </c>
      <c r="F1014" s="1">
        <v>95</v>
      </c>
      <c r="G1014" s="1">
        <v>1520</v>
      </c>
      <c r="H1014" s="1" t="str">
        <f>"95/02/13"</f>
        <v>95/02/13</v>
      </c>
      <c r="I1014" s="1" t="str">
        <f t="shared" si="257"/>
        <v>كيلوگرم</v>
      </c>
      <c r="J1014" s="1" t="str">
        <f t="shared" si="267"/>
        <v>0000000092</v>
      </c>
      <c r="K1014" s="1" t="str">
        <f t="shared" si="268"/>
        <v>قير  PG64-16</v>
      </c>
      <c r="L1014" s="1">
        <v>100</v>
      </c>
      <c r="M1014" s="1" t="str">
        <f t="shared" si="260"/>
        <v>مخازن قير اصفهان</v>
      </c>
      <c r="N1014" s="1">
        <v>11027</v>
      </c>
      <c r="O1014" s="1">
        <v>50030701</v>
      </c>
      <c r="P1014" s="1" t="str">
        <f>"  نوژان خشت"</f>
        <v xml:space="preserve">  نوژان خشت</v>
      </c>
      <c r="Q1014" s="1">
        <v>13</v>
      </c>
      <c r="R1014" s="1" t="str">
        <f>"فروش داخلي - وزارت راه - حوزه بنياد مسكن"</f>
        <v>فروش داخلي - وزارت راه - حوزه بنياد مسكن</v>
      </c>
      <c r="S1014" s="1" t="str">
        <f t="shared" si="258"/>
        <v>قرارداد فروش</v>
      </c>
      <c r="T1014" s="1" t="str">
        <f t="shared" si="259"/>
        <v>ندارد</v>
      </c>
      <c r="U1014" s="1" t="str">
        <f>"ريسماني حسن(1007ج89)"</f>
        <v>ريسماني حسن(1007ج89)</v>
      </c>
      <c r="V1014" s="1">
        <v>951300001</v>
      </c>
      <c r="W1014" s="1">
        <v>951300001</v>
      </c>
      <c r="X1014" s="1" t="str">
        <f>"1395401949"</f>
        <v>1395401949</v>
      </c>
      <c r="Y1014" s="1" t="str">
        <f>"95/02/13"</f>
        <v>95/02/13</v>
      </c>
      <c r="Z1014" s="1" t="str">
        <f>"52520/510"</f>
        <v>52520/510</v>
      </c>
      <c r="AA1014" s="1" t="str">
        <f>"بنياد مسكن -مسكن مهر"</f>
        <v>بنياد مسكن -مسكن مهر</v>
      </c>
      <c r="AB1014" s="1" t="str">
        <f>"94/09/23"</f>
        <v>94/09/23</v>
      </c>
      <c r="AC1014" s="1" t="str">
        <f>"استان اصفهان"</f>
        <v>استان اصفهان</v>
      </c>
      <c r="AD1014" s="1" t="str">
        <f>"95/02/11"</f>
        <v>95/02/11</v>
      </c>
      <c r="AE1014" s="1" t="str">
        <f t="shared" si="266"/>
        <v>اختتام</v>
      </c>
      <c r="AF1014" s="1" t="str">
        <f>""</f>
        <v/>
      </c>
      <c r="AG1014" s="1" t="str">
        <f>""</f>
        <v/>
      </c>
      <c r="AH1014" s="1" t="str">
        <f>""</f>
        <v/>
      </c>
      <c r="AI1014" s="1" t="str">
        <f>""</f>
        <v/>
      </c>
      <c r="AJ1014" s="1" t="str">
        <f>""</f>
        <v/>
      </c>
      <c r="AK1014" s="1" t="str">
        <f>""</f>
        <v/>
      </c>
    </row>
    <row r="1015" spans="1:37" x14ac:dyDescent="0.2">
      <c r="A1015" s="1">
        <v>800000</v>
      </c>
      <c r="B1015" s="1">
        <v>951600073</v>
      </c>
      <c r="C1015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015" s="1">
        <v>9061</v>
      </c>
      <c r="E1015" s="1">
        <v>695140</v>
      </c>
      <c r="F1015" s="1">
        <v>95</v>
      </c>
      <c r="G1015" s="1">
        <v>104860</v>
      </c>
      <c r="H1015" s="1" t="str">
        <f>"95/10/15"</f>
        <v>95/10/15</v>
      </c>
      <c r="I1015" s="1" t="str">
        <f t="shared" si="257"/>
        <v>كيلوگرم</v>
      </c>
      <c r="J1015" s="1" t="str">
        <f t="shared" si="267"/>
        <v>0000000092</v>
      </c>
      <c r="K1015" s="1" t="str">
        <f t="shared" si="268"/>
        <v>قير  PG64-16</v>
      </c>
      <c r="L1015" s="1">
        <v>100</v>
      </c>
      <c r="M1015" s="1" t="str">
        <f t="shared" si="260"/>
        <v>مخازن قير اصفهان</v>
      </c>
      <c r="N1015" s="1">
        <v>11038</v>
      </c>
      <c r="O1015" s="1">
        <v>50033299</v>
      </c>
      <c r="P1015" s="1" t="str">
        <f>"  پل پي ساحل"</f>
        <v xml:space="preserve">  پل پي ساحل</v>
      </c>
      <c r="Q1015" s="1">
        <v>16</v>
      </c>
      <c r="R1015" s="1" t="str">
        <f>"فروش داخلي تهران - وزارت راه - معاونت اقتصاد"</f>
        <v>فروش داخلي تهران - وزارت راه - معاونت اقتصاد</v>
      </c>
      <c r="S1015" s="1" t="str">
        <f t="shared" si="258"/>
        <v>قرارداد فروش</v>
      </c>
      <c r="T1015" s="1" t="str">
        <f t="shared" si="259"/>
        <v>ندارد</v>
      </c>
      <c r="U1015" s="1" t="str">
        <f>"حاصليان ترابرجنوب مرتضي حاصلي (4844006)"</f>
        <v>حاصليان ترابرجنوب مرتضي حاصلي (4844006)</v>
      </c>
      <c r="V1015" s="1">
        <v>951600073</v>
      </c>
      <c r="W1015" s="1">
        <v>951600073</v>
      </c>
      <c r="X1015" s="1" t="str">
        <f>"1395457297"</f>
        <v>1395457297</v>
      </c>
      <c r="Y1015" s="1" t="str">
        <f>"95/10/15"</f>
        <v>95/10/15</v>
      </c>
      <c r="Z1015" s="1" t="str">
        <f>"50330/710"</f>
        <v>50330/710</v>
      </c>
      <c r="AA1015" s="1" t="str">
        <f>"معاونت اقتصادوزارت راه وشهرسازي"</f>
        <v>معاونت اقتصادوزارت راه وشهرسازي</v>
      </c>
      <c r="AB1015" s="1" t="str">
        <f>"95/10/13"</f>
        <v>95/10/13</v>
      </c>
      <c r="AC1015" s="1" t="str">
        <f>"استان هرمزگان"</f>
        <v>استان هرمزگان</v>
      </c>
      <c r="AD1015" s="1" t="str">
        <f>"95/10/15"</f>
        <v>95/10/15</v>
      </c>
      <c r="AE1015" s="1" t="str">
        <f t="shared" si="266"/>
        <v>اختتام</v>
      </c>
      <c r="AF1015" s="1" t="str">
        <f>""</f>
        <v/>
      </c>
      <c r="AG1015" s="1" t="str">
        <f>""</f>
        <v/>
      </c>
      <c r="AH1015" s="1" t="str">
        <f>""</f>
        <v/>
      </c>
      <c r="AI1015" s="1" t="str">
        <f>""</f>
        <v/>
      </c>
      <c r="AJ1015" s="1" t="str">
        <f>""</f>
        <v/>
      </c>
      <c r="AK1015" s="1" t="str">
        <f>""</f>
        <v/>
      </c>
    </row>
    <row r="1016" spans="1:37" x14ac:dyDescent="0.2">
      <c r="A1016" s="1">
        <v>1000000</v>
      </c>
      <c r="B1016" s="1">
        <v>951900284</v>
      </c>
      <c r="C1016" s="1" t="str">
        <f>"تخليه ايرانشهركارخانه آسفالت شركت اطلس راه ايراشهر"</f>
        <v>تخليه ايرانشهركارخانه آسفالت شركت اطلس راه ايراشهر</v>
      </c>
      <c r="D1016" s="1">
        <v>9068</v>
      </c>
      <c r="E1016" s="1">
        <v>998640</v>
      </c>
      <c r="F1016" s="1">
        <v>95</v>
      </c>
      <c r="G1016" s="1">
        <v>1360</v>
      </c>
      <c r="H1016" s="1" t="str">
        <f>"95/12/16"</f>
        <v>95/12/16</v>
      </c>
      <c r="I1016" s="1" t="str">
        <f t="shared" si="257"/>
        <v>كيلوگرم</v>
      </c>
      <c r="J1016" s="1" t="str">
        <f t="shared" si="267"/>
        <v>0000000092</v>
      </c>
      <c r="K1016" s="1" t="str">
        <f t="shared" si="268"/>
        <v>قير  PG64-16</v>
      </c>
      <c r="L1016" s="1">
        <v>100</v>
      </c>
      <c r="M1016" s="1" t="str">
        <f t="shared" si="260"/>
        <v>مخازن قير اصفهان</v>
      </c>
      <c r="N1016" s="1">
        <v>11061</v>
      </c>
      <c r="O1016" s="1">
        <v>50034023</v>
      </c>
      <c r="P1016" s="1" t="str">
        <f>"  اطلس راه ايرانشهر"</f>
        <v xml:space="preserve">  اطلس راه ايرانشهر</v>
      </c>
      <c r="Q1016" s="1">
        <v>19</v>
      </c>
      <c r="R101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6" s="1" t="str">
        <f t="shared" si="258"/>
        <v>قرارداد فروش</v>
      </c>
      <c r="T1016" s="1" t="str">
        <f t="shared" si="259"/>
        <v>ندارد</v>
      </c>
      <c r="U1016" s="1" t="str">
        <f>"پورباقري ترابر (4914036)"</f>
        <v>پورباقري ترابر (4914036)</v>
      </c>
      <c r="V1016" s="1">
        <v>951900284</v>
      </c>
      <c r="W1016" s="1">
        <v>951900284</v>
      </c>
      <c r="X1016" s="1" t="str">
        <f>"1395469191"</f>
        <v>1395469191</v>
      </c>
      <c r="Y1016" s="1" t="str">
        <f>"95/12/16"</f>
        <v>95/12/16</v>
      </c>
      <c r="Z1016" s="1" t="str">
        <f>"62389/710"</f>
        <v>62389/710</v>
      </c>
      <c r="AA1016" s="1" t="str">
        <f>"سازمان راهداري وحمل نقل جاده اي"</f>
        <v>سازمان راهداري وحمل نقل جاده اي</v>
      </c>
      <c r="AB1016" s="1" t="str">
        <f>"95/12/09"</f>
        <v>95/12/09</v>
      </c>
      <c r="AC1016" s="1" t="str">
        <f>"ايرانشهر"</f>
        <v>ايرانشهر</v>
      </c>
      <c r="AD1016" s="1" t="str">
        <f>"95/12/16"</f>
        <v>95/12/16</v>
      </c>
      <c r="AE1016" s="1" t="str">
        <f t="shared" si="266"/>
        <v>اختتام</v>
      </c>
      <c r="AF1016" s="1" t="str">
        <f>""</f>
        <v/>
      </c>
      <c r="AG1016" s="1" t="str">
        <f>""</f>
        <v/>
      </c>
      <c r="AH1016" s="1" t="str">
        <f>""</f>
        <v/>
      </c>
      <c r="AI1016" s="1" t="str">
        <f>""</f>
        <v/>
      </c>
      <c r="AJ1016" s="1" t="str">
        <f>""</f>
        <v/>
      </c>
      <c r="AK1016" s="1" t="str">
        <f>""</f>
        <v/>
      </c>
    </row>
    <row r="1017" spans="1:37" x14ac:dyDescent="0.2">
      <c r="A1017" s="1">
        <v>170000</v>
      </c>
      <c r="B1017" s="1">
        <v>951400143</v>
      </c>
      <c r="C1017" s="1" t="str">
        <f>"تخليه جنوب كرمان جيرفت ساردوئيه كارخانه پوزولان بتن"</f>
        <v>تخليه جنوب كرمان جيرفت ساردوئيه كارخانه پوزولان بتن</v>
      </c>
      <c r="D1017" s="1">
        <v>9511</v>
      </c>
      <c r="E1017" s="1">
        <v>169240</v>
      </c>
      <c r="F1017" s="1">
        <v>95</v>
      </c>
      <c r="G1017" s="1">
        <v>760</v>
      </c>
      <c r="H1017" s="1" t="str">
        <f>"95/11/09"</f>
        <v>95/11/09</v>
      </c>
      <c r="I1017" s="1" t="str">
        <f t="shared" si="257"/>
        <v>كيلوگرم</v>
      </c>
      <c r="J1017" s="1" t="str">
        <f t="shared" si="267"/>
        <v>0000000092</v>
      </c>
      <c r="K1017" s="1" t="str">
        <f t="shared" si="268"/>
        <v>قير  PG64-16</v>
      </c>
      <c r="L1017" s="1">
        <v>100</v>
      </c>
      <c r="M1017" s="1" t="str">
        <f t="shared" si="260"/>
        <v>مخازن قير اصفهان</v>
      </c>
      <c r="N1017" s="1">
        <v>11066</v>
      </c>
      <c r="O1017" s="1">
        <v>50033552</v>
      </c>
      <c r="P1017" s="1" t="str">
        <f>"  برج سازان شاهوار"</f>
        <v xml:space="preserve">  برج سازان شاهوار</v>
      </c>
      <c r="Q1017" s="1">
        <v>14</v>
      </c>
      <c r="R1017" s="1" t="str">
        <f>"فروش داخلي - وزارت راه - حوزه راه روستايي ساخت"</f>
        <v>فروش داخلي - وزارت راه - حوزه راه روستايي ساخت</v>
      </c>
      <c r="S1017" s="1" t="str">
        <f t="shared" si="258"/>
        <v>قرارداد فروش</v>
      </c>
      <c r="T1017" s="1" t="str">
        <f t="shared" si="259"/>
        <v>ندارد</v>
      </c>
      <c r="U1017" s="1" t="str">
        <f>"حاصليان ترابرجنوب مرتضي حاصلي (4844006)"</f>
        <v>حاصليان ترابرجنوب مرتضي حاصلي (4844006)</v>
      </c>
      <c r="V1017" s="1">
        <v>951400143</v>
      </c>
      <c r="W1017" s="1">
        <v>951400143</v>
      </c>
      <c r="X1017" s="1" t="str">
        <f>"1395461328"</f>
        <v>1395461328</v>
      </c>
      <c r="Y1017" s="1" t="str">
        <f>"95/11/09"</f>
        <v>95/11/09</v>
      </c>
      <c r="Z1017" s="1" t="str">
        <f>"54181/710"</f>
        <v>54181/710</v>
      </c>
      <c r="AA1017" s="1" t="str">
        <f>"راه وروستايي -ساخت"</f>
        <v>راه وروستايي -ساخت</v>
      </c>
      <c r="AB1017" s="1" t="str">
        <f>"95/11/03"</f>
        <v>95/11/03</v>
      </c>
      <c r="AC1017" s="1" t="str">
        <f>"جنوب کرمان"</f>
        <v>جنوب کرمان</v>
      </c>
      <c r="AD1017" s="1" t="str">
        <f>"95/11/09"</f>
        <v>95/11/09</v>
      </c>
      <c r="AE1017" s="1" t="str">
        <f t="shared" si="266"/>
        <v>اختتام</v>
      </c>
      <c r="AF1017" s="1" t="str">
        <f>""</f>
        <v/>
      </c>
      <c r="AG1017" s="1" t="str">
        <f>""</f>
        <v/>
      </c>
      <c r="AH1017" s="1" t="str">
        <f>""</f>
        <v/>
      </c>
      <c r="AI1017" s="1" t="str">
        <f>""</f>
        <v/>
      </c>
      <c r="AJ1017" s="1" t="str">
        <f>""</f>
        <v/>
      </c>
      <c r="AK1017" s="1" t="str">
        <f>""</f>
        <v/>
      </c>
    </row>
    <row r="1018" spans="1:37" x14ac:dyDescent="0.2">
      <c r="A1018" s="1">
        <v>150000</v>
      </c>
      <c r="B1018" s="1">
        <v>956100005</v>
      </c>
      <c r="C1018" s="1" t="str">
        <f>"تخليه مشهد-سنگ بست اول جاده قديم نيشابوركارخانه آسفالت كيهان راه شرق-شهيدمطهري"</f>
        <v>تخليه مشهد-سنگ بست اول جاده قديم نيشابوركارخانه آسفالت كيهان راه شرق-شهيدمطهري</v>
      </c>
      <c r="D1018" s="1">
        <v>6250</v>
      </c>
      <c r="E1018" s="1">
        <v>149500</v>
      </c>
      <c r="F1018" s="1">
        <v>95</v>
      </c>
      <c r="G1018" s="1">
        <v>500</v>
      </c>
      <c r="H1018" s="1" t="str">
        <f>"95/04/14"</f>
        <v>95/04/14</v>
      </c>
      <c r="I1018" s="1" t="str">
        <f t="shared" si="257"/>
        <v>كيلوگرم</v>
      </c>
      <c r="J1018" s="1" t="str">
        <f t="shared" si="267"/>
        <v>0000000092</v>
      </c>
      <c r="K1018" s="1" t="str">
        <f t="shared" si="268"/>
        <v>قير  PG64-16</v>
      </c>
      <c r="L1018" s="1">
        <v>100</v>
      </c>
      <c r="M1018" s="1" t="str">
        <f t="shared" si="260"/>
        <v>مخازن قير اصفهان</v>
      </c>
      <c r="N1018" s="1">
        <v>11131</v>
      </c>
      <c r="O1018" s="1">
        <v>50031202</v>
      </c>
      <c r="P1018" s="1" t="str">
        <f>"  آژندسازطوس"</f>
        <v xml:space="preserve">  آژندسازطوس</v>
      </c>
      <c r="Q1018" s="1">
        <v>61</v>
      </c>
      <c r="R1018" s="1" t="str">
        <f>"فروش داخلي - وزارت راه - مسكن مهر"</f>
        <v>فروش داخلي - وزارت راه - مسكن مهر</v>
      </c>
      <c r="S1018" s="1" t="str">
        <f t="shared" si="258"/>
        <v>قرارداد فروش</v>
      </c>
      <c r="T1018" s="1" t="str">
        <f t="shared" si="259"/>
        <v>ندارد</v>
      </c>
      <c r="U1018" s="1" t="str">
        <f>"نظام دوست امين (1911102)"</f>
        <v>نظام دوست امين (1911102)</v>
      </c>
      <c r="V1018" s="1">
        <v>956100005</v>
      </c>
      <c r="W1018" s="1">
        <v>956100005</v>
      </c>
      <c r="X1018" s="1" t="str">
        <f>"1395412900"</f>
        <v>1395412900</v>
      </c>
      <c r="Y1018" s="1" t="str">
        <f>"95/04/14"</f>
        <v>95/04/14</v>
      </c>
      <c r="Z1018" s="1" t="str">
        <f>"14718/510"</f>
        <v>14718/510</v>
      </c>
      <c r="AA1018" s="1" t="str">
        <f>"مسكن مهر-وزارت راه"</f>
        <v>مسكن مهر-وزارت راه</v>
      </c>
      <c r="AB1018" s="1" t="str">
        <f>"95/04/08"</f>
        <v>95/04/08</v>
      </c>
      <c r="AC1018" s="1" t="str">
        <f>"خراسان رضوي"</f>
        <v>خراسان رضوي</v>
      </c>
      <c r="AD1018" s="1" t="str">
        <f>"95/04/13"</f>
        <v>95/04/13</v>
      </c>
      <c r="AE1018" s="1" t="str">
        <f t="shared" si="266"/>
        <v>اختتام</v>
      </c>
      <c r="AF1018" s="1" t="str">
        <f>""</f>
        <v/>
      </c>
      <c r="AG1018" s="1" t="str">
        <f>""</f>
        <v/>
      </c>
      <c r="AH1018" s="1" t="str">
        <f>""</f>
        <v/>
      </c>
      <c r="AI1018" s="1" t="str">
        <f>""</f>
        <v/>
      </c>
      <c r="AJ1018" s="1" t="str">
        <f>""</f>
        <v/>
      </c>
      <c r="AK1018" s="1" t="str">
        <f>""</f>
        <v/>
      </c>
    </row>
    <row r="1019" spans="1:37" x14ac:dyDescent="0.2">
      <c r="A1019" s="1">
        <v>350000</v>
      </c>
      <c r="B1019" s="1">
        <v>951900145</v>
      </c>
      <c r="C1019" s="1" t="str">
        <f>"تخليه كيلومتر30جاده محورزابل نهبندان"</f>
        <v>تخليه كيلومتر30جاده محورزابل نهبندان</v>
      </c>
      <c r="D1019" s="1">
        <v>7176</v>
      </c>
      <c r="E1019" s="1">
        <v>337120</v>
      </c>
      <c r="F1019" s="1">
        <v>95</v>
      </c>
      <c r="G1019" s="1">
        <v>12880</v>
      </c>
      <c r="H1019" s="1" t="str">
        <f>"95/06/15"</f>
        <v>95/06/15</v>
      </c>
      <c r="I1019" s="1" t="str">
        <f t="shared" si="257"/>
        <v>كيلوگرم</v>
      </c>
      <c r="J1019" s="1" t="str">
        <f t="shared" si="267"/>
        <v>0000000092</v>
      </c>
      <c r="K1019" s="1" t="str">
        <f t="shared" si="268"/>
        <v>قير  PG64-16</v>
      </c>
      <c r="L1019" s="1">
        <v>100</v>
      </c>
      <c r="M1019" s="1" t="str">
        <f t="shared" si="260"/>
        <v>مخازن قير اصفهان</v>
      </c>
      <c r="N1019" s="1">
        <v>11172</v>
      </c>
      <c r="O1019" s="1">
        <v>50031784</v>
      </c>
      <c r="P1019" s="1" t="str">
        <f>"  آژنددژنيوساد"</f>
        <v xml:space="preserve">  آژنددژنيوساد</v>
      </c>
      <c r="Q1019" s="1">
        <v>19</v>
      </c>
      <c r="R101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9" s="1" t="str">
        <f t="shared" si="258"/>
        <v>قرارداد فروش</v>
      </c>
      <c r="T1019" s="1" t="str">
        <f t="shared" si="259"/>
        <v>ندارد</v>
      </c>
      <c r="U1019" s="1" t="str">
        <f>"حسيني حسن(1841075)"</f>
        <v>حسيني حسن(1841075)</v>
      </c>
      <c r="V1019" s="1">
        <v>951900145</v>
      </c>
      <c r="W1019" s="1">
        <v>951900145</v>
      </c>
      <c r="X1019" s="1" t="str">
        <f>"1395428993"</f>
        <v>1395428993</v>
      </c>
      <c r="Y1019" s="1" t="str">
        <f>"95/06/15"</f>
        <v>95/06/15</v>
      </c>
      <c r="Z1019" s="1" t="str">
        <f>"23724/510"</f>
        <v>23724/510</v>
      </c>
      <c r="AA1019" s="1" t="str">
        <f>"سازمان راهداري وحمل نقل جاده اي"</f>
        <v>سازمان راهداري وحمل نقل جاده اي</v>
      </c>
      <c r="AB1019" s="1" t="str">
        <f>"95/05/25"</f>
        <v>95/05/25</v>
      </c>
      <c r="AC1019" s="1" t="str">
        <f>"استان سيستان بلوچستان"</f>
        <v>استان سيستان بلوچستان</v>
      </c>
      <c r="AD1019" s="1" t="str">
        <f>"95/06/14"</f>
        <v>95/06/14</v>
      </c>
      <c r="AE1019" s="1" t="str">
        <f t="shared" si="266"/>
        <v>اختتام</v>
      </c>
      <c r="AF1019" s="1" t="str">
        <f>""</f>
        <v/>
      </c>
      <c r="AG1019" s="1" t="str">
        <f>""</f>
        <v/>
      </c>
      <c r="AH1019" s="1" t="str">
        <f>""</f>
        <v/>
      </c>
      <c r="AI1019" s="1" t="str">
        <f>""</f>
        <v/>
      </c>
      <c r="AJ1019" s="1" t="str">
        <f>""</f>
        <v/>
      </c>
      <c r="AK1019" s="1" t="str">
        <f>""</f>
        <v/>
      </c>
    </row>
    <row r="1020" spans="1:37" x14ac:dyDescent="0.2">
      <c r="A1020" s="1">
        <v>140000</v>
      </c>
      <c r="B1020" s="1">
        <v>951700024</v>
      </c>
      <c r="C1020" s="1" t="str">
        <f>"تخليه -كرمان كيلومتر10جاده اختيارآبادكوه باداموئيه كارخانه كرمان بيس"</f>
        <v>تخليه -كرمان كيلومتر10جاده اختيارآبادكوه باداموئيه كارخانه كرمان بيس</v>
      </c>
      <c r="D1020" s="1">
        <v>5650</v>
      </c>
      <c r="E1020" s="1">
        <v>138180</v>
      </c>
      <c r="F1020" s="1">
        <v>95</v>
      </c>
      <c r="G1020" s="1">
        <v>1820</v>
      </c>
      <c r="H1020" s="1" t="str">
        <f>"95/02/15"</f>
        <v>95/02/15</v>
      </c>
      <c r="I1020" s="1" t="str">
        <f t="shared" si="257"/>
        <v>كيلوگرم</v>
      </c>
      <c r="J1020" s="1" t="str">
        <f t="shared" si="267"/>
        <v>0000000092</v>
      </c>
      <c r="K1020" s="1" t="str">
        <f t="shared" si="268"/>
        <v>قير  PG64-16</v>
      </c>
      <c r="L1020" s="1">
        <v>100</v>
      </c>
      <c r="M1020" s="1" t="str">
        <f t="shared" si="260"/>
        <v>مخازن قير اصفهان</v>
      </c>
      <c r="N1020" s="1">
        <v>7034</v>
      </c>
      <c r="O1020" s="1">
        <v>50030774</v>
      </c>
      <c r="P1020" s="1" t="str">
        <f>"  اداره كل راه وشهرسازي كرمان"</f>
        <v xml:space="preserve">  اداره كل راه وشهرسازي كرمان</v>
      </c>
      <c r="Q1020" s="1">
        <v>17</v>
      </c>
      <c r="R1020" s="1" t="str">
        <f>"فروش داخلي تهران - وزارت راه - راه روستايي - روکش"</f>
        <v>فروش داخلي تهران - وزارت راه - راه روستايي - روکش</v>
      </c>
      <c r="S1020" s="1" t="str">
        <f t="shared" si="258"/>
        <v>قرارداد فروش</v>
      </c>
      <c r="T1020" s="1" t="str">
        <f t="shared" si="259"/>
        <v>ندارد</v>
      </c>
      <c r="U1020" s="1" t="str">
        <f>"پورباقري ترابر (4914036)"</f>
        <v>پورباقري ترابر (4914036)</v>
      </c>
      <c r="V1020" s="1">
        <v>951700024</v>
      </c>
      <c r="W1020" s="1">
        <v>951700024</v>
      </c>
      <c r="X1020" s="1" t="str">
        <f>"1395401991"</f>
        <v>1395401991</v>
      </c>
      <c r="Y1020" s="1" t="str">
        <f>"95/02/15"</f>
        <v>95/02/15</v>
      </c>
      <c r="Z1020" s="1" t="str">
        <f>"66250/510"</f>
        <v>66250/510</v>
      </c>
      <c r="AA1020" s="1" t="str">
        <f>"راه روستائي -روكش"</f>
        <v>راه روستائي -روكش</v>
      </c>
      <c r="AB1020" s="1" t="str">
        <f>"94/12/02"</f>
        <v>94/12/02</v>
      </c>
      <c r="AC1020" s="1" t="str">
        <f>"استان كرمان"</f>
        <v>استان كرمان</v>
      </c>
      <c r="AD1020" s="1" t="str">
        <f>"95/02/11"</f>
        <v>95/02/11</v>
      </c>
      <c r="AE1020" s="1" t="str">
        <f t="shared" si="266"/>
        <v>اختتام</v>
      </c>
      <c r="AF1020" s="1" t="str">
        <f>""</f>
        <v/>
      </c>
      <c r="AG1020" s="1" t="str">
        <f>""</f>
        <v/>
      </c>
      <c r="AH1020" s="1" t="str">
        <f>""</f>
        <v/>
      </c>
      <c r="AI1020" s="1" t="str">
        <f>""</f>
        <v/>
      </c>
      <c r="AJ1020" s="1" t="str">
        <f>""</f>
        <v/>
      </c>
      <c r="AK1020" s="1" t="str">
        <f>""</f>
        <v/>
      </c>
    </row>
    <row r="1021" spans="1:37" x14ac:dyDescent="0.2">
      <c r="A1021" s="1">
        <v>645000</v>
      </c>
      <c r="B1021" s="1">
        <v>951700048</v>
      </c>
      <c r="C1021" s="1" t="str">
        <f>"تخليه -كرمان جاده جوبارجاده گلومك كارخانه راه وباندكويركرمان"</f>
        <v>تخليه -كرمان جاده جوبارجاده گلومك كارخانه راه وباندكويركرمان</v>
      </c>
      <c r="D1021" s="1">
        <v>6050</v>
      </c>
      <c r="E1021" s="1">
        <v>644740</v>
      </c>
      <c r="F1021" s="1">
        <v>95</v>
      </c>
      <c r="G1021" s="1">
        <v>260</v>
      </c>
      <c r="H1021" s="1" t="str">
        <f>"95/03/25"</f>
        <v>95/03/25</v>
      </c>
      <c r="I1021" s="1" t="str">
        <f t="shared" si="257"/>
        <v>كيلوگرم</v>
      </c>
      <c r="J1021" s="1" t="str">
        <f t="shared" si="267"/>
        <v>0000000092</v>
      </c>
      <c r="K1021" s="1" t="str">
        <f t="shared" si="268"/>
        <v>قير  PG64-16</v>
      </c>
      <c r="L1021" s="1">
        <v>100</v>
      </c>
      <c r="M1021" s="1" t="str">
        <f t="shared" si="260"/>
        <v>مخازن قير اصفهان</v>
      </c>
      <c r="N1021" s="1">
        <v>7034</v>
      </c>
      <c r="O1021" s="1">
        <v>50031051</v>
      </c>
      <c r="P1021" s="1" t="str">
        <f>"  اداره كل راه وشهرسازي كرمان"</f>
        <v xml:space="preserve">  اداره كل راه وشهرسازي كرمان</v>
      </c>
      <c r="Q1021" s="1">
        <v>17</v>
      </c>
      <c r="R1021" s="1" t="str">
        <f>"فروش داخلي تهران - وزارت راه - راه روستايي - روکش"</f>
        <v>فروش داخلي تهران - وزارت راه - راه روستايي - روکش</v>
      </c>
      <c r="S1021" s="1" t="str">
        <f t="shared" si="258"/>
        <v>قرارداد فروش</v>
      </c>
      <c r="T1021" s="1" t="str">
        <f t="shared" si="259"/>
        <v>ندارد</v>
      </c>
      <c r="U1021" s="1" t="str">
        <f>"خضرائي فريدون(4844003)"</f>
        <v>خضرائي فريدون(4844003)</v>
      </c>
      <c r="V1021" s="1">
        <v>951700048</v>
      </c>
      <c r="W1021" s="1">
        <v>951700048</v>
      </c>
      <c r="X1021" s="1" t="str">
        <f>"1395409212"</f>
        <v>1395409212</v>
      </c>
      <c r="Y1021" s="1" t="str">
        <f>"95/03/25"</f>
        <v>95/03/25</v>
      </c>
      <c r="Z1021" s="1" t="str">
        <f>"12075/510"</f>
        <v>12075/510</v>
      </c>
      <c r="AA1021" s="1" t="str">
        <f>"راه روستائي -روكش"</f>
        <v>راه روستائي -روكش</v>
      </c>
      <c r="AB1021" s="1" t="str">
        <f>"95/03/24"</f>
        <v>95/03/24</v>
      </c>
      <c r="AC1021" s="1" t="str">
        <f>"استان كرمان"</f>
        <v>استان كرمان</v>
      </c>
      <c r="AD1021" s="1" t="str">
        <f>"95/03/25"</f>
        <v>95/03/25</v>
      </c>
      <c r="AE1021" s="1" t="str">
        <f t="shared" si="266"/>
        <v>اختتام</v>
      </c>
      <c r="AF1021" s="1" t="str">
        <f>""</f>
        <v/>
      </c>
      <c r="AG1021" s="1" t="str">
        <f>""</f>
        <v/>
      </c>
      <c r="AH1021" s="1" t="str">
        <f>""</f>
        <v/>
      </c>
      <c r="AI1021" s="1" t="str">
        <f>""</f>
        <v/>
      </c>
      <c r="AJ1021" s="1" t="str">
        <f>""</f>
        <v/>
      </c>
      <c r="AK1021" s="1" t="str">
        <f>""</f>
        <v/>
      </c>
    </row>
    <row r="1022" spans="1:37" x14ac:dyDescent="0.2">
      <c r="A1022" s="1">
        <v>200000</v>
      </c>
      <c r="B1022" s="1">
        <v>951300032</v>
      </c>
      <c r="C1022" s="1" t="str">
        <f>"تخليه - اصفهان- کيلومتر 5 جاده خوانسار - گلپايگان -کارخانه صنعت راه گلپايگان"</f>
        <v>تخليه - اصفهان- کيلومتر 5 جاده خوانسار - گلپايگان -کارخانه صنعت راه گلپايگان</v>
      </c>
      <c r="D1022" s="1">
        <v>8348</v>
      </c>
      <c r="E1022" s="1">
        <v>197900</v>
      </c>
      <c r="F1022" s="1">
        <v>95</v>
      </c>
      <c r="G1022" s="1">
        <v>2100</v>
      </c>
      <c r="H1022" s="1" t="str">
        <f>"95/12/23"</f>
        <v>95/12/23</v>
      </c>
      <c r="I1022" s="1" t="str">
        <f t="shared" si="257"/>
        <v>كيلوگرم</v>
      </c>
      <c r="J1022" s="1" t="str">
        <f t="shared" si="267"/>
        <v>0000000092</v>
      </c>
      <c r="K1022" s="1" t="str">
        <f t="shared" si="268"/>
        <v>قير  PG64-16</v>
      </c>
      <c r="L1022" s="1">
        <v>100</v>
      </c>
      <c r="M1022" s="1" t="str">
        <f t="shared" si="260"/>
        <v>مخازن قير اصفهان</v>
      </c>
      <c r="N1022" s="1">
        <v>9814</v>
      </c>
      <c r="O1022" s="1">
        <v>50034179</v>
      </c>
      <c r="P1022" s="1" t="str">
        <f>"  بنيادمسكن انقلاب اسلامي اصفهان"</f>
        <v xml:space="preserve">  بنيادمسكن انقلاب اسلامي اصفهان</v>
      </c>
      <c r="Q1022" s="1">
        <v>13</v>
      </c>
      <c r="R1022" s="1" t="str">
        <f>"فروش داخلي - وزارت راه - حوزه بنياد مسكن"</f>
        <v>فروش داخلي - وزارت راه - حوزه بنياد مسكن</v>
      </c>
      <c r="S1022" s="1" t="str">
        <f t="shared" si="258"/>
        <v>قرارداد فروش</v>
      </c>
      <c r="T1022" s="1" t="str">
        <f t="shared" si="259"/>
        <v>ندارد</v>
      </c>
      <c r="U1022" s="1" t="str">
        <f>"شهبازي محمدرضا(1029ج89)"</f>
        <v>شهبازي محمدرضا(1029ج89)</v>
      </c>
      <c r="V1022" s="1">
        <v>951300032</v>
      </c>
      <c r="W1022" s="1">
        <v>951300032</v>
      </c>
      <c r="X1022" s="1" t="str">
        <f>"1395470893"</f>
        <v>1395470893</v>
      </c>
      <c r="Y1022" s="1" t="str">
        <f>"95/12/23"</f>
        <v>95/12/23</v>
      </c>
      <c r="Z1022" s="1" t="str">
        <f>"65486/710"</f>
        <v>65486/710</v>
      </c>
      <c r="AA1022" s="1" t="str">
        <f>"بنياد مسكن -مسكن مهر"</f>
        <v>بنياد مسكن -مسكن مهر</v>
      </c>
      <c r="AB1022" s="1" t="str">
        <f>"95/12/21"</f>
        <v>95/12/21</v>
      </c>
      <c r="AC1022" s="1" t="str">
        <f>"استان اصفهان"</f>
        <v>استان اصفهان</v>
      </c>
      <c r="AD1022" s="1" t="str">
        <f>"95/12/23"</f>
        <v>95/12/23</v>
      </c>
      <c r="AE1022" s="1" t="str">
        <f t="shared" si="266"/>
        <v>اختتام</v>
      </c>
      <c r="AF1022" s="1" t="str">
        <f>""</f>
        <v/>
      </c>
      <c r="AG1022" s="1" t="str">
        <f>""</f>
        <v/>
      </c>
      <c r="AH1022" s="1" t="str">
        <f>""</f>
        <v/>
      </c>
      <c r="AI1022" s="1" t="str">
        <f>""</f>
        <v/>
      </c>
      <c r="AJ1022" s="1" t="str">
        <f>""</f>
        <v/>
      </c>
      <c r="AK1022" s="1" t="str">
        <f>""</f>
        <v/>
      </c>
    </row>
    <row r="1023" spans="1:37" x14ac:dyDescent="0.2">
      <c r="A1023" s="1">
        <v>167000</v>
      </c>
      <c r="B1023" s="1">
        <v>951300035</v>
      </c>
      <c r="C1023" s="1" t="str">
        <f>"تخليه اصفهان فريدن داران جنب شهرك صنعتي مجتمع توليدجهادكارخانه آسفالت پارسيان كاني پاسارگاد"</f>
        <v>تخليه اصفهان فريدن داران جنب شهرك صنعتي مجتمع توليدجهادكارخانه آسفالت پارسيان كاني پاسارگاد</v>
      </c>
      <c r="D1023" s="1">
        <v>8998</v>
      </c>
      <c r="E1023" s="1">
        <v>165660</v>
      </c>
      <c r="F1023" s="1">
        <v>95</v>
      </c>
      <c r="G1023" s="1">
        <v>1340</v>
      </c>
      <c r="H1023" s="1" t="str">
        <f>"95/12/23"</f>
        <v>95/12/23</v>
      </c>
      <c r="I1023" s="1" t="str">
        <f t="shared" si="257"/>
        <v>كيلوگرم</v>
      </c>
      <c r="J1023" s="1" t="str">
        <f t="shared" si="267"/>
        <v>0000000092</v>
      </c>
      <c r="K1023" s="1" t="str">
        <f t="shared" si="268"/>
        <v>قير  PG64-16</v>
      </c>
      <c r="L1023" s="1">
        <v>100</v>
      </c>
      <c r="M1023" s="1" t="str">
        <f t="shared" si="260"/>
        <v>مخازن قير اصفهان</v>
      </c>
      <c r="N1023" s="1">
        <v>9814</v>
      </c>
      <c r="O1023" s="1">
        <v>50034182</v>
      </c>
      <c r="P1023" s="1" t="str">
        <f>"  بنيادمسكن انقلاب اسلامي اصفهان"</f>
        <v xml:space="preserve">  بنيادمسكن انقلاب اسلامي اصفهان</v>
      </c>
      <c r="Q1023" s="1">
        <v>13</v>
      </c>
      <c r="R1023" s="1" t="str">
        <f>"فروش داخلي - وزارت راه - حوزه بنياد مسكن"</f>
        <v>فروش داخلي - وزارت راه - حوزه بنياد مسكن</v>
      </c>
      <c r="S1023" s="1" t="str">
        <f t="shared" si="258"/>
        <v>قرارداد فروش</v>
      </c>
      <c r="T1023" s="1" t="str">
        <f t="shared" si="259"/>
        <v>ندارد</v>
      </c>
      <c r="U1023" s="1" t="str">
        <f>"مرادي نجاتعلي(1020ج89)"</f>
        <v>مرادي نجاتعلي(1020ج89)</v>
      </c>
      <c r="V1023" s="1">
        <v>951300035</v>
      </c>
      <c r="W1023" s="1">
        <v>951300035</v>
      </c>
      <c r="X1023" s="1" t="str">
        <f>"1395470893"</f>
        <v>1395470893</v>
      </c>
      <c r="Y1023" s="1" t="str">
        <f>"95/12/23"</f>
        <v>95/12/23</v>
      </c>
      <c r="Z1023" s="1" t="str">
        <f>"65483/710"</f>
        <v>65483/710</v>
      </c>
      <c r="AA1023" s="1" t="str">
        <f>"بنياد مسكن -مسكن مهر"</f>
        <v>بنياد مسكن -مسكن مهر</v>
      </c>
      <c r="AB1023" s="1" t="str">
        <f>"95/12/21"</f>
        <v>95/12/21</v>
      </c>
      <c r="AC1023" s="1" t="str">
        <f>"استان اصفهان"</f>
        <v>استان اصفهان</v>
      </c>
      <c r="AD1023" s="1" t="str">
        <f>"95/12/23"</f>
        <v>95/12/23</v>
      </c>
      <c r="AE1023" s="1" t="str">
        <f t="shared" si="266"/>
        <v>اختتام</v>
      </c>
      <c r="AF1023" s="1" t="str">
        <f>""</f>
        <v/>
      </c>
      <c r="AG1023" s="1" t="str">
        <f>""</f>
        <v/>
      </c>
      <c r="AH1023" s="1" t="str">
        <f>""</f>
        <v/>
      </c>
      <c r="AI1023" s="1" t="str">
        <f>""</f>
        <v/>
      </c>
      <c r="AJ1023" s="1" t="str">
        <f>""</f>
        <v/>
      </c>
      <c r="AK1023" s="1" t="str">
        <f>""</f>
        <v/>
      </c>
    </row>
    <row r="1024" spans="1:37" x14ac:dyDescent="0.2">
      <c r="A1024" s="1">
        <v>63000</v>
      </c>
      <c r="B1024" s="1">
        <v>951300036</v>
      </c>
      <c r="C1024" s="1" t="str">
        <f>"تخليه اصفهان اردستان كيلومتر15اردستان نايين كارخانه آسفالت شركت كوهرنگ راه"</f>
        <v>تخليه اصفهان اردستان كيلومتر15اردستان نايين كارخانه آسفالت شركت كوهرنگ راه</v>
      </c>
      <c r="D1024" s="1">
        <v>8998</v>
      </c>
      <c r="E1024" s="1">
        <v>60780</v>
      </c>
      <c r="F1024" s="1">
        <v>95</v>
      </c>
      <c r="G1024" s="1">
        <v>2220</v>
      </c>
      <c r="H1024" s="1" t="str">
        <f>"95/12/24"</f>
        <v>95/12/24</v>
      </c>
      <c r="I1024" s="1" t="str">
        <f t="shared" si="257"/>
        <v>كيلوگرم</v>
      </c>
      <c r="J1024" s="1" t="str">
        <f t="shared" si="267"/>
        <v>0000000092</v>
      </c>
      <c r="K1024" s="1" t="str">
        <f t="shared" si="268"/>
        <v>قير  PG64-16</v>
      </c>
      <c r="L1024" s="1">
        <v>100</v>
      </c>
      <c r="M1024" s="1" t="str">
        <f t="shared" si="260"/>
        <v>مخازن قير اصفهان</v>
      </c>
      <c r="N1024" s="1">
        <v>9814</v>
      </c>
      <c r="O1024" s="1">
        <v>50034186</v>
      </c>
      <c r="P1024" s="1" t="str">
        <f>"  بنيادمسكن انقلاب اسلامي اصفهان"</f>
        <v xml:space="preserve">  بنيادمسكن انقلاب اسلامي اصفهان</v>
      </c>
      <c r="Q1024" s="1">
        <v>13</v>
      </c>
      <c r="R1024" s="1" t="str">
        <f>"فروش داخلي - وزارت راه - حوزه بنياد مسكن"</f>
        <v>فروش داخلي - وزارت راه - حوزه بنياد مسكن</v>
      </c>
      <c r="S1024" s="1" t="str">
        <f t="shared" si="258"/>
        <v>قرارداد فروش</v>
      </c>
      <c r="T1024" s="1" t="str">
        <f t="shared" si="259"/>
        <v>ندارد</v>
      </c>
      <c r="U1024" s="1" t="str">
        <f>"معماريان سعيد(1004ج89)"</f>
        <v>معماريان سعيد(1004ج89)</v>
      </c>
      <c r="V1024" s="1">
        <v>951300036</v>
      </c>
      <c r="W1024" s="1">
        <v>951300036</v>
      </c>
      <c r="X1024" s="1" t="str">
        <f>"1395470893"</f>
        <v>1395470893</v>
      </c>
      <c r="Y1024" s="1" t="str">
        <f>"95/12/24"</f>
        <v>95/12/24</v>
      </c>
      <c r="Z1024" s="1" t="str">
        <f>"45488/710"</f>
        <v>45488/710</v>
      </c>
      <c r="AA1024" s="1" t="str">
        <f>"بنياد مسكن -مسكن مهر"</f>
        <v>بنياد مسكن -مسكن مهر</v>
      </c>
      <c r="AB1024" s="1" t="str">
        <f>"95/12/21"</f>
        <v>95/12/21</v>
      </c>
      <c r="AC1024" s="1" t="str">
        <f>"استان اصفهان"</f>
        <v>استان اصفهان</v>
      </c>
      <c r="AD1024" s="1" t="str">
        <f>"95/12/23"</f>
        <v>95/12/23</v>
      </c>
      <c r="AE1024" s="1" t="str">
        <f t="shared" si="266"/>
        <v>اختتام</v>
      </c>
      <c r="AF1024" s="1" t="str">
        <f>""</f>
        <v/>
      </c>
      <c r="AG1024" s="1" t="str">
        <f>""</f>
        <v/>
      </c>
      <c r="AH1024" s="1" t="str">
        <f>""</f>
        <v/>
      </c>
      <c r="AI1024" s="1" t="str">
        <f>""</f>
        <v/>
      </c>
      <c r="AJ1024" s="1" t="str">
        <f>""</f>
        <v/>
      </c>
      <c r="AK1024" s="1" t="str">
        <f>""</f>
        <v/>
      </c>
    </row>
    <row r="1025" spans="1:37" x14ac:dyDescent="0.2">
      <c r="A1025" s="1">
        <v>550000</v>
      </c>
      <c r="B1025" s="1">
        <v>951900088</v>
      </c>
      <c r="C1025" s="1" t="str">
        <f>"تخليه كيلومتر5جاده محورزابل نهبندان كارخانه آسفالت راه وشهرسازي"</f>
        <v>تخليه كيلومتر5جاده محورزابل نهبندان كارخانه آسفالت راه وشهرسازي</v>
      </c>
      <c r="D1025" s="1">
        <v>6726</v>
      </c>
      <c r="E1025" s="1">
        <v>545840</v>
      </c>
      <c r="F1025" s="1">
        <v>95</v>
      </c>
      <c r="G1025" s="1">
        <v>4160</v>
      </c>
      <c r="H1025" s="1" t="str">
        <f>"95/05/16"</f>
        <v>95/05/16</v>
      </c>
      <c r="I1025" s="1" t="str">
        <f t="shared" si="257"/>
        <v>كيلوگرم</v>
      </c>
      <c r="J1025" s="1" t="str">
        <f t="shared" si="267"/>
        <v>0000000092</v>
      </c>
      <c r="K1025" s="1" t="str">
        <f t="shared" si="268"/>
        <v>قير  PG64-16</v>
      </c>
      <c r="L1025" s="1">
        <v>100</v>
      </c>
      <c r="M1025" s="1" t="str">
        <f t="shared" si="260"/>
        <v>مخازن قير اصفهان</v>
      </c>
      <c r="N1025" s="1">
        <v>9935</v>
      </c>
      <c r="O1025" s="1">
        <v>50031431</v>
      </c>
      <c r="P1025" s="1" t="str">
        <f>"  عمراني قدرت ايمان کوير"</f>
        <v xml:space="preserve">  عمراني قدرت ايمان کوير</v>
      </c>
      <c r="Q1025" s="1">
        <v>19</v>
      </c>
      <c r="R102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5" s="1" t="str">
        <f t="shared" si="258"/>
        <v>قرارداد فروش</v>
      </c>
      <c r="T1025" s="1" t="str">
        <f t="shared" si="259"/>
        <v>ندارد</v>
      </c>
      <c r="U1025" s="1" t="str">
        <f>"حسيني حسن(1841075)"</f>
        <v>حسيني حسن(1841075)</v>
      </c>
      <c r="V1025" s="1">
        <v>951900088</v>
      </c>
      <c r="W1025" s="1">
        <v>951900088</v>
      </c>
      <c r="X1025" s="1" t="str">
        <f>"1395421150"</f>
        <v>1395421150</v>
      </c>
      <c r="Y1025" s="1" t="str">
        <f>"95/05/16"</f>
        <v>95/05/16</v>
      </c>
      <c r="Z1025" s="1" t="str">
        <f>"18808/510"</f>
        <v>18808/510</v>
      </c>
      <c r="AA1025" s="1" t="str">
        <f>"سازمان راهداري وحمل نقل جاده اي"</f>
        <v>سازمان راهداري وحمل نقل جاده اي</v>
      </c>
      <c r="AB1025" s="1" t="str">
        <f>"95/04/29"</f>
        <v>95/04/29</v>
      </c>
      <c r="AC1025" s="1" t="str">
        <f>"استان سيستان بلوچستان"</f>
        <v>استان سيستان بلوچستان</v>
      </c>
      <c r="AD1025" s="1" t="str">
        <f>"95/05/13"</f>
        <v>95/05/13</v>
      </c>
      <c r="AE1025" s="1" t="str">
        <f t="shared" si="266"/>
        <v>اختتام</v>
      </c>
      <c r="AF1025" s="1" t="str">
        <f>""</f>
        <v/>
      </c>
      <c r="AG1025" s="1" t="str">
        <f>""</f>
        <v/>
      </c>
      <c r="AH1025" s="1" t="str">
        <f>""</f>
        <v/>
      </c>
      <c r="AI1025" s="1" t="str">
        <f>""</f>
        <v/>
      </c>
      <c r="AJ1025" s="1" t="str">
        <f>""</f>
        <v/>
      </c>
      <c r="AK1025" s="1" t="str">
        <f>""</f>
        <v/>
      </c>
    </row>
    <row r="1026" spans="1:37" x14ac:dyDescent="0.2">
      <c r="A1026" s="1">
        <v>500000</v>
      </c>
      <c r="B1026" s="1">
        <v>951600014</v>
      </c>
      <c r="C1026" s="1" t="str">
        <f>"تخليه -محورايرانشهر-بمپورکيلومتر14کارگاه کارخانه آسفالت سالم راه سپاهان"</f>
        <v>تخليه -محورايرانشهر-بمپورکيلومتر14کارگاه کارخانه آسفالت سالم راه سپاهان</v>
      </c>
      <c r="D1026" s="1">
        <v>6726</v>
      </c>
      <c r="E1026" s="1">
        <v>497000</v>
      </c>
      <c r="F1026" s="1">
        <v>95</v>
      </c>
      <c r="G1026" s="1">
        <v>3000</v>
      </c>
      <c r="H1026" s="1" t="str">
        <f>"95/05/17"</f>
        <v>95/05/17</v>
      </c>
      <c r="I1026" s="1" t="str">
        <f t="shared" ref="I1026:I1089" si="269">"كيلوگرم"</f>
        <v>كيلوگرم</v>
      </c>
      <c r="J1026" s="1" t="str">
        <f t="shared" si="267"/>
        <v>0000000092</v>
      </c>
      <c r="K1026" s="1" t="str">
        <f t="shared" si="268"/>
        <v>قير  PG64-16</v>
      </c>
      <c r="L1026" s="1">
        <v>100</v>
      </c>
      <c r="M1026" s="1" t="str">
        <f t="shared" si="260"/>
        <v>مخازن قير اصفهان</v>
      </c>
      <c r="N1026" s="1">
        <v>10075</v>
      </c>
      <c r="O1026" s="1">
        <v>50031452</v>
      </c>
      <c r="P1026" s="1" t="str">
        <f>"  سالم راه سپاهان"</f>
        <v xml:space="preserve">  سالم راه سپاهان</v>
      </c>
      <c r="Q1026" s="1">
        <v>16</v>
      </c>
      <c r="R1026" s="1" t="str">
        <f>"فروش داخلي تهران - وزارت راه - معاونت اقتصاد"</f>
        <v>فروش داخلي تهران - وزارت راه - معاونت اقتصاد</v>
      </c>
      <c r="S1026" s="1" t="str">
        <f t="shared" ref="S1026:S1089" si="270">"قرارداد فروش"</f>
        <v>قرارداد فروش</v>
      </c>
      <c r="T1026" s="1" t="str">
        <f t="shared" ref="T1026:T1089" si="271">"ندارد"</f>
        <v>ندارد</v>
      </c>
      <c r="U1026" s="1" t="str">
        <f>"پورباقري ترابر (4914036)"</f>
        <v>پورباقري ترابر (4914036)</v>
      </c>
      <c r="V1026" s="1">
        <v>951600014</v>
      </c>
      <c r="W1026" s="1">
        <v>951600014</v>
      </c>
      <c r="X1026" s="1" t="str">
        <f>"1395421524"</f>
        <v>1395421524</v>
      </c>
      <c r="Y1026" s="1" t="str">
        <f>"95/05/17"</f>
        <v>95/05/17</v>
      </c>
      <c r="Z1026" s="1" t="str">
        <f>"19976/510"</f>
        <v>19976/510</v>
      </c>
      <c r="AA1026" s="1" t="str">
        <f>"معاونت اقتصادوزارت راه وشهرسازي"</f>
        <v>معاونت اقتصادوزارت راه وشهرسازي</v>
      </c>
      <c r="AB1026" s="1" t="str">
        <f>"95/05/05"</f>
        <v>95/05/05</v>
      </c>
      <c r="AC1026" s="1" t="str">
        <f>"ايرانشهر"</f>
        <v>ايرانشهر</v>
      </c>
      <c r="AD1026" s="1" t="str">
        <f>"95/05/16"</f>
        <v>95/05/16</v>
      </c>
      <c r="AE1026" s="1" t="str">
        <f t="shared" si="266"/>
        <v>اختتام</v>
      </c>
      <c r="AF1026" s="1" t="str">
        <f>""</f>
        <v/>
      </c>
      <c r="AG1026" s="1" t="str">
        <f>""</f>
        <v/>
      </c>
      <c r="AH1026" s="1" t="str">
        <f>""</f>
        <v/>
      </c>
      <c r="AI1026" s="1" t="str">
        <f>""</f>
        <v/>
      </c>
      <c r="AJ1026" s="1" t="str">
        <f>""</f>
        <v/>
      </c>
      <c r="AK1026" s="1" t="str">
        <f>""</f>
        <v/>
      </c>
    </row>
    <row r="1027" spans="1:37" x14ac:dyDescent="0.2">
      <c r="A1027" s="1">
        <v>359700</v>
      </c>
      <c r="B1027" s="1">
        <v>951900173</v>
      </c>
      <c r="C1027" s="1" t="str">
        <f>"تخليه -محورايرانشهر-بمپورکيلومتر14کارگاه کارخانه آسفالت سالم راه سپاهان"</f>
        <v>تخليه -محورايرانشهر-بمپورکيلومتر14کارگاه کارخانه آسفالت سالم راه سپاهان</v>
      </c>
      <c r="D1027" s="1">
        <v>8323</v>
      </c>
      <c r="E1027" s="1">
        <v>357960</v>
      </c>
      <c r="F1027" s="1">
        <v>95</v>
      </c>
      <c r="G1027" s="1">
        <v>1740</v>
      </c>
      <c r="H1027" s="1" t="str">
        <f>"95/08/06"</f>
        <v>95/08/06</v>
      </c>
      <c r="I1027" s="1" t="str">
        <f t="shared" si="269"/>
        <v>كيلوگرم</v>
      </c>
      <c r="J1027" s="1" t="str">
        <f t="shared" si="267"/>
        <v>0000000092</v>
      </c>
      <c r="K1027" s="1" t="str">
        <f t="shared" si="268"/>
        <v>قير  PG64-16</v>
      </c>
      <c r="L1027" s="1">
        <v>100</v>
      </c>
      <c r="M1027" s="1" t="str">
        <f t="shared" si="260"/>
        <v>مخازن قير اصفهان</v>
      </c>
      <c r="N1027" s="1">
        <v>10075</v>
      </c>
      <c r="O1027" s="1">
        <v>50032313</v>
      </c>
      <c r="P1027" s="1" t="str">
        <f>"  سالم راه سپاهان"</f>
        <v xml:space="preserve">  سالم راه سپاهان</v>
      </c>
      <c r="Q1027" s="1">
        <v>19</v>
      </c>
      <c r="R102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7" s="1" t="str">
        <f t="shared" si="270"/>
        <v>قرارداد فروش</v>
      </c>
      <c r="T1027" s="1" t="str">
        <f t="shared" si="271"/>
        <v>ندارد</v>
      </c>
      <c r="U1027" s="1" t="str">
        <f>"پورباقري ترابر (4914036)"</f>
        <v>پورباقري ترابر (4914036)</v>
      </c>
      <c r="V1027" s="1">
        <v>951900173</v>
      </c>
      <c r="W1027" s="1">
        <v>951900173</v>
      </c>
      <c r="X1027" s="1" t="str">
        <f>"1395427132"</f>
        <v>1395427132</v>
      </c>
      <c r="Y1027" s="1" t="str">
        <f>"95/08/06"</f>
        <v>95/08/06</v>
      </c>
      <c r="Z1027" s="1" t="str">
        <f>"24777/510"</f>
        <v>24777/510</v>
      </c>
      <c r="AA1027" s="1" t="str">
        <f>"سازمان راهداري وحمل نقل جاده اي"</f>
        <v>سازمان راهداري وحمل نقل جاده اي</v>
      </c>
      <c r="AB1027" s="1" t="str">
        <f>"95/05/31"</f>
        <v>95/05/31</v>
      </c>
      <c r="AC1027" s="1" t="str">
        <f>"ايرانشهر"</f>
        <v>ايرانشهر</v>
      </c>
      <c r="AD1027" s="1" t="str">
        <f>"95/06/07"</f>
        <v>95/06/07</v>
      </c>
      <c r="AE1027" s="1" t="str">
        <f t="shared" si="266"/>
        <v>اختتام</v>
      </c>
      <c r="AF1027" s="1" t="str">
        <f>""</f>
        <v/>
      </c>
      <c r="AG1027" s="1" t="str">
        <f>""</f>
        <v/>
      </c>
      <c r="AH1027" s="1" t="str">
        <f>""</f>
        <v/>
      </c>
      <c r="AI1027" s="1" t="str">
        <f>""</f>
        <v/>
      </c>
      <c r="AJ1027" s="1" t="str">
        <f>""</f>
        <v/>
      </c>
      <c r="AK1027" s="1" t="str">
        <f>""</f>
        <v/>
      </c>
    </row>
    <row r="1028" spans="1:37" x14ac:dyDescent="0.2">
      <c r="A1028" s="1">
        <v>26400</v>
      </c>
      <c r="B1028" s="1">
        <v>951700089</v>
      </c>
      <c r="C1028" s="1" t="str">
        <f>"تخليه-بندر لنگه-کيلومتر7 محور گنگ-بستک کارخانه عمران ابنيه هرمز"</f>
        <v>تخليه-بندر لنگه-کيلومتر7 محور گنگ-بستک کارخانه عمران ابنيه هرمز</v>
      </c>
      <c r="D1028" s="1">
        <v>6250</v>
      </c>
      <c r="E1028" s="1">
        <v>25860</v>
      </c>
      <c r="F1028" s="1">
        <v>95</v>
      </c>
      <c r="G1028" s="1">
        <v>540</v>
      </c>
      <c r="H1028" s="1" t="str">
        <f>"95/04/19"</f>
        <v>95/04/19</v>
      </c>
      <c r="I1028" s="1" t="str">
        <f t="shared" si="269"/>
        <v>كيلوگرم</v>
      </c>
      <c r="J1028" s="1" t="str">
        <f t="shared" si="267"/>
        <v>0000000092</v>
      </c>
      <c r="K1028" s="1" t="str">
        <f t="shared" si="268"/>
        <v>قير  PG64-16</v>
      </c>
      <c r="L1028" s="1">
        <v>100</v>
      </c>
      <c r="M1028" s="1" t="str">
        <f t="shared" si="260"/>
        <v>مخازن قير اصفهان</v>
      </c>
      <c r="N1028" s="1">
        <v>10212</v>
      </c>
      <c r="O1028" s="1">
        <v>50031227</v>
      </c>
      <c r="P1028" s="1" t="str">
        <f>"  اداره كل راه وشهرسازي هرمزگان"</f>
        <v xml:space="preserve">  اداره كل راه وشهرسازي هرمزگان</v>
      </c>
      <c r="Q1028" s="1">
        <v>17</v>
      </c>
      <c r="R1028" s="1" t="str">
        <f>"فروش داخلي تهران - وزارت راه - راه روستايي - روکش"</f>
        <v>فروش داخلي تهران - وزارت راه - راه روستايي - روکش</v>
      </c>
      <c r="S1028" s="1" t="str">
        <f t="shared" si="270"/>
        <v>قرارداد فروش</v>
      </c>
      <c r="T1028" s="1" t="str">
        <f t="shared" si="271"/>
        <v>ندارد</v>
      </c>
      <c r="U1028" s="1" t="str">
        <f>"حاصليان ترابرجنوب مرتضي حاصلي (4844006)"</f>
        <v>حاصليان ترابرجنوب مرتضي حاصلي (4844006)</v>
      </c>
      <c r="V1028" s="1">
        <v>951700089</v>
      </c>
      <c r="W1028" s="1">
        <v>951700089</v>
      </c>
      <c r="X1028" s="1" t="str">
        <f>"1394391516"</f>
        <v>1394391516</v>
      </c>
      <c r="Y1028" s="1" t="str">
        <f>"95/04/19"</f>
        <v>95/04/19</v>
      </c>
      <c r="Z1028" s="1" t="str">
        <f>"63382/510"</f>
        <v>63382/510</v>
      </c>
      <c r="AA1028" s="1" t="str">
        <f>"راه روستائي -روكش"</f>
        <v>راه روستائي -روكش</v>
      </c>
      <c r="AB1028" s="1" t="str">
        <f>"94/11/17"</f>
        <v>94/11/17</v>
      </c>
      <c r="AC1028" s="1" t="str">
        <f>"استان هرمزگان"</f>
        <v>استان هرمزگان</v>
      </c>
      <c r="AD1028" s="1" t="str">
        <f>"94/11/19"</f>
        <v>94/11/19</v>
      </c>
      <c r="AE1028" s="1" t="str">
        <f t="shared" si="266"/>
        <v>اختتام</v>
      </c>
      <c r="AF1028" s="1" t="str">
        <f>""</f>
        <v/>
      </c>
      <c r="AG1028" s="1" t="str">
        <f>""</f>
        <v/>
      </c>
      <c r="AH1028" s="1" t="str">
        <f>""</f>
        <v/>
      </c>
      <c r="AI1028" s="1" t="str">
        <f>""</f>
        <v/>
      </c>
      <c r="AJ1028" s="1" t="str">
        <f>""</f>
        <v/>
      </c>
      <c r="AK1028" s="1" t="str">
        <f>""</f>
        <v/>
      </c>
    </row>
    <row r="1029" spans="1:37" x14ac:dyDescent="0.2">
      <c r="A1029" s="1">
        <v>150000</v>
      </c>
      <c r="B1029" s="1">
        <v>951900080</v>
      </c>
      <c r="C1029" s="1" t="str">
        <f>"تخليه -لرستان -كيلومتر30جاده خرم آباد-بروجرد-روستاي ريگ سفيد-کارخانه آسفالت آفاق سپهرخرم"</f>
        <v>تخليه -لرستان -كيلومتر30جاده خرم آباد-بروجرد-روستاي ريگ سفيد-کارخانه آسفالت آفاق سپهرخرم</v>
      </c>
      <c r="D1029" s="1">
        <v>6726</v>
      </c>
      <c r="E1029" s="1">
        <v>149520</v>
      </c>
      <c r="F1029" s="1">
        <v>95</v>
      </c>
      <c r="G1029" s="1">
        <v>480</v>
      </c>
      <c r="H1029" s="1" t="str">
        <f>"95/05/11"</f>
        <v>95/05/11</v>
      </c>
      <c r="I1029" s="1" t="str">
        <f t="shared" si="269"/>
        <v>كيلوگرم</v>
      </c>
      <c r="J1029" s="1" t="str">
        <f>"0000000091"</f>
        <v>0000000091</v>
      </c>
      <c r="K1029" s="1" t="str">
        <f>"قير  PG64-22"</f>
        <v>قير  PG64-22</v>
      </c>
      <c r="L1029" s="1">
        <v>100</v>
      </c>
      <c r="M1029" s="1" t="str">
        <f t="shared" si="260"/>
        <v>مخازن قير اصفهان</v>
      </c>
      <c r="N1029" s="1">
        <v>8561</v>
      </c>
      <c r="O1029" s="1">
        <v>50031394</v>
      </c>
      <c r="P1029" s="1" t="str">
        <f>"  آفاق سپهرخرم"</f>
        <v xml:space="preserve">  آفاق سپهرخرم</v>
      </c>
      <c r="Q1029" s="1">
        <v>19</v>
      </c>
      <c r="R102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9" s="1" t="str">
        <f t="shared" si="270"/>
        <v>قرارداد فروش</v>
      </c>
      <c r="T1029" s="1" t="str">
        <f t="shared" si="271"/>
        <v>ندارد</v>
      </c>
      <c r="U1029" s="1" t="str">
        <f>"ريسماني حسن(1007ج89)"</f>
        <v>ريسماني حسن(1007ج89)</v>
      </c>
      <c r="V1029" s="1">
        <v>951900080</v>
      </c>
      <c r="W1029" s="1">
        <v>951900080</v>
      </c>
      <c r="X1029" s="1" t="str">
        <f>"1395419805"</f>
        <v>1395419805</v>
      </c>
      <c r="Y1029" s="1" t="str">
        <f>"95/05/11"</f>
        <v>95/05/11</v>
      </c>
      <c r="Z1029" s="1" t="str">
        <f>"20018/510"</f>
        <v>20018/510</v>
      </c>
      <c r="AA1029" s="1" t="str">
        <f>"سازمان راهداري وحمل نقل جاده اي"</f>
        <v>سازمان راهداري وحمل نقل جاده اي</v>
      </c>
      <c r="AB1029" s="1" t="str">
        <f>"95/05/05"</f>
        <v>95/05/05</v>
      </c>
      <c r="AC1029" s="1" t="str">
        <f>"لرستان"</f>
        <v>لرستان</v>
      </c>
      <c r="AD1029" s="1" t="str">
        <f>"95/05/11"</f>
        <v>95/05/11</v>
      </c>
      <c r="AE1029" s="1" t="str">
        <f t="shared" si="266"/>
        <v>اختتام</v>
      </c>
      <c r="AF1029" s="1" t="str">
        <f>""</f>
        <v/>
      </c>
      <c r="AG1029" s="1" t="str">
        <f>""</f>
        <v/>
      </c>
      <c r="AH1029" s="1" t="str">
        <f>""</f>
        <v/>
      </c>
      <c r="AI1029" s="1" t="str">
        <f>""</f>
        <v/>
      </c>
      <c r="AJ1029" s="1" t="str">
        <f>""</f>
        <v/>
      </c>
      <c r="AK1029" s="1" t="str">
        <f>""</f>
        <v/>
      </c>
    </row>
    <row r="1030" spans="1:37" x14ac:dyDescent="0.2">
      <c r="A1030" s="1">
        <v>1000000</v>
      </c>
      <c r="B1030" s="1">
        <v>951600058</v>
      </c>
      <c r="C1030" s="1" t="str">
        <f>"تخليه يزدشهرستان بافق كارخانه آسفالت شركت فرش راه يزد"</f>
        <v>تخليه يزدشهرستان بافق كارخانه آسفالت شركت فرش راه يزد</v>
      </c>
      <c r="D1030" s="1">
        <v>7276</v>
      </c>
      <c r="E1030" s="1">
        <v>23360</v>
      </c>
      <c r="F1030" s="1">
        <v>95</v>
      </c>
      <c r="G1030" s="1">
        <v>976640</v>
      </c>
      <c r="H1030" s="1" t="str">
        <f>"95/09/20"</f>
        <v>95/09/20</v>
      </c>
      <c r="I1030" s="1" t="str">
        <f t="shared" si="269"/>
        <v>كيلوگرم</v>
      </c>
      <c r="J1030" s="1" t="str">
        <f>"0000000091"</f>
        <v>0000000091</v>
      </c>
      <c r="K1030" s="1" t="str">
        <f>"قير  PG64-22"</f>
        <v>قير  PG64-22</v>
      </c>
      <c r="L1030" s="1">
        <v>100</v>
      </c>
      <c r="M1030" s="1" t="str">
        <f t="shared" si="260"/>
        <v>مخازن قير اصفهان</v>
      </c>
      <c r="N1030" s="1">
        <v>8580</v>
      </c>
      <c r="O1030" s="1">
        <v>50032969</v>
      </c>
      <c r="P1030" s="1" t="str">
        <f>"  راهيدكو"</f>
        <v xml:space="preserve">  راهيدكو</v>
      </c>
      <c r="Q1030" s="1">
        <v>16</v>
      </c>
      <c r="R1030" s="1" t="str">
        <f>"فروش داخلي تهران - وزارت راه - معاونت اقتصاد"</f>
        <v>فروش داخلي تهران - وزارت راه - معاونت اقتصاد</v>
      </c>
      <c r="S1030" s="1" t="str">
        <f t="shared" si="270"/>
        <v>قرارداد فروش</v>
      </c>
      <c r="T1030" s="1" t="str">
        <f t="shared" si="271"/>
        <v>ندارد</v>
      </c>
      <c r="U1030" s="1" t="str">
        <f>"قانعي محمدرضا(1011ج89)"</f>
        <v>قانعي محمدرضا(1011ج89)</v>
      </c>
      <c r="V1030" s="1">
        <v>951600058</v>
      </c>
      <c r="W1030" s="1">
        <v>951600058</v>
      </c>
      <c r="X1030" s="1" t="str">
        <f>"1395451105"</f>
        <v>1395451105</v>
      </c>
      <c r="Y1030" s="1" t="str">
        <f>"95/09/20"</f>
        <v>95/09/20</v>
      </c>
      <c r="Z1030" s="1" t="str">
        <f>"43496/710"</f>
        <v>43496/710</v>
      </c>
      <c r="AA1030" s="1" t="str">
        <f>"معاونت اقتصادوزارت راه وشهرسازي"</f>
        <v>معاونت اقتصادوزارت راه وشهرسازي</v>
      </c>
      <c r="AB1030" s="1" t="str">
        <f>"95/09/07"</f>
        <v>95/09/07</v>
      </c>
      <c r="AC1030" s="1" t="str">
        <f>"استان يزد"</f>
        <v>استان يزد</v>
      </c>
      <c r="AD1030" s="1" t="str">
        <f>"95/09/20"</f>
        <v>95/09/20</v>
      </c>
      <c r="AE1030" s="1" t="str">
        <f t="shared" si="266"/>
        <v>اختتام</v>
      </c>
      <c r="AF1030" s="1" t="str">
        <f>""</f>
        <v/>
      </c>
      <c r="AG1030" s="1" t="str">
        <f>""</f>
        <v/>
      </c>
      <c r="AH1030" s="1" t="str">
        <f>""</f>
        <v/>
      </c>
      <c r="AI1030" s="1" t="str">
        <f>""</f>
        <v/>
      </c>
      <c r="AJ1030" s="1" t="str">
        <f>""</f>
        <v/>
      </c>
      <c r="AK1030" s="1" t="str">
        <f>""</f>
        <v/>
      </c>
    </row>
    <row r="1031" spans="1:37" x14ac:dyDescent="0.2">
      <c r="A1031" s="1">
        <v>200000</v>
      </c>
      <c r="B1031" s="1">
        <v>951900162</v>
      </c>
      <c r="C1031" s="1" t="str">
        <f>"تخليه -خراسان جنوبي محوربيرجندخوسف كارخانه آسفالت قهستان"</f>
        <v>تخليه -خراسان جنوبي محوربيرجندخوسف كارخانه آسفالت قهستان</v>
      </c>
      <c r="D1031" s="1">
        <v>7276</v>
      </c>
      <c r="E1031" s="1">
        <v>162040</v>
      </c>
      <c r="F1031" s="1">
        <v>95</v>
      </c>
      <c r="G1031" s="1">
        <v>37960</v>
      </c>
      <c r="H1031" s="1" t="str">
        <f>"95/07/13"</f>
        <v>95/07/13</v>
      </c>
      <c r="I1031" s="1" t="str">
        <f t="shared" si="269"/>
        <v>كيلوگرم</v>
      </c>
      <c r="J1031" s="1" t="str">
        <f>"0000000091"</f>
        <v>0000000091</v>
      </c>
      <c r="K1031" s="1" t="str">
        <f>"قير  PG64-22"</f>
        <v>قير  PG64-22</v>
      </c>
      <c r="L1031" s="1">
        <v>100</v>
      </c>
      <c r="M1031" s="1" t="str">
        <f t="shared" si="260"/>
        <v>مخازن قير اصفهان</v>
      </c>
      <c r="N1031" s="1">
        <v>8702</v>
      </c>
      <c r="O1031" s="1">
        <v>50032079</v>
      </c>
      <c r="P1031" s="1" t="str">
        <f>"  سايه گستربيرجند"</f>
        <v xml:space="preserve">  سايه گستربيرجند</v>
      </c>
      <c r="Q1031" s="1">
        <v>19</v>
      </c>
      <c r="R10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1" s="1" t="str">
        <f t="shared" si="270"/>
        <v>قرارداد فروش</v>
      </c>
      <c r="T1031" s="1" t="str">
        <f t="shared" si="271"/>
        <v>ندارد</v>
      </c>
      <c r="U1031" s="1" t="str">
        <f>"كاردان اسپادان راه مصطفي  (1911100)"</f>
        <v>كاردان اسپادان راه مصطفي  (1911100)</v>
      </c>
      <c r="V1031" s="1">
        <v>951900162</v>
      </c>
      <c r="W1031" s="1">
        <v>951900162</v>
      </c>
      <c r="X1031" s="1" t="str">
        <f>"1395435597"</f>
        <v>1395435597</v>
      </c>
      <c r="Y1031" s="1" t="str">
        <f>"95/07/13"</f>
        <v>95/07/13</v>
      </c>
      <c r="Z1031" s="1" t="str">
        <f>"32936/510"</f>
        <v>32936/510</v>
      </c>
      <c r="AA1031" s="1" t="str">
        <f>"سازمان راهداري وحمل نقل جاده اي"</f>
        <v>سازمان راهداري وحمل نقل جاده اي</v>
      </c>
      <c r="AB1031" s="1" t="str">
        <f>"95/07/11"</f>
        <v>95/07/11</v>
      </c>
      <c r="AC1031" s="1" t="str">
        <f>"خراسان جنوبي"</f>
        <v>خراسان جنوبي</v>
      </c>
      <c r="AD1031" s="1" t="str">
        <f>"95/07/13"</f>
        <v>95/07/13</v>
      </c>
      <c r="AE1031" s="1" t="str">
        <f t="shared" si="266"/>
        <v>اختتام</v>
      </c>
      <c r="AF1031" s="1" t="str">
        <f>""</f>
        <v/>
      </c>
      <c r="AG1031" s="1" t="str">
        <f>""</f>
        <v/>
      </c>
      <c r="AH1031" s="1" t="str">
        <f>""</f>
        <v/>
      </c>
      <c r="AI1031" s="1" t="str">
        <f>""</f>
        <v/>
      </c>
      <c r="AJ1031" s="1" t="str">
        <f>""</f>
        <v/>
      </c>
      <c r="AK1031" s="1" t="str">
        <f>""</f>
        <v/>
      </c>
    </row>
    <row r="1032" spans="1:37" x14ac:dyDescent="0.2">
      <c r="A1032" s="1">
        <v>51000</v>
      </c>
      <c r="B1032" s="1">
        <v>956200219</v>
      </c>
      <c r="C1032" s="1" t="str">
        <f>"تخليه تهران پاكدشت جمال آبادكارخانه آسفالت آليچ پارس"</f>
        <v>تخليه تهران پاكدشت جمال آبادكارخانه آسفالت آليچ پارس</v>
      </c>
      <c r="D1032" s="1">
        <v>9361</v>
      </c>
      <c r="E1032" s="1">
        <v>50400</v>
      </c>
      <c r="F1032" s="1">
        <v>95</v>
      </c>
      <c r="G1032" s="1">
        <v>600</v>
      </c>
      <c r="H1032" s="1" t="str">
        <f>"95/11/20"</f>
        <v>95/11/20</v>
      </c>
      <c r="I1032" s="1" t="str">
        <f t="shared" si="269"/>
        <v>كيلوگرم</v>
      </c>
      <c r="J1032" s="1" t="str">
        <f>"0000000076"</f>
        <v>0000000076</v>
      </c>
      <c r="K1032" s="1" t="str">
        <f>"قير 60/70 - فله"</f>
        <v>قير 60/70 - فله</v>
      </c>
      <c r="L1032" s="1">
        <v>100</v>
      </c>
      <c r="M1032" s="1" t="str">
        <f t="shared" ref="M1032:M1095" si="272">"مخازن قير اصفهان"</f>
        <v>مخازن قير اصفهان</v>
      </c>
      <c r="N1032" s="1">
        <v>8420</v>
      </c>
      <c r="O1032" s="1">
        <v>50033658</v>
      </c>
      <c r="P1032" s="1" t="str">
        <f>"  سامان آسفالت"</f>
        <v xml:space="preserve">  سامان آسفالت</v>
      </c>
      <c r="Q1032" s="1">
        <v>62</v>
      </c>
      <c r="R1032" s="1" t="str">
        <f>"فروش داخلي - سازمان بنيادمسكن انقلاب اسلامي"</f>
        <v>فروش داخلي - سازمان بنيادمسكن انقلاب اسلامي</v>
      </c>
      <c r="S1032" s="1" t="str">
        <f t="shared" si="270"/>
        <v>قرارداد فروش</v>
      </c>
      <c r="T1032" s="1" t="str">
        <f t="shared" si="271"/>
        <v>ندارد</v>
      </c>
      <c r="U1032" s="1" t="str">
        <f>"خوش نيت مجتبي(1841021)"</f>
        <v>خوش نيت مجتبي(1841021)</v>
      </c>
      <c r="V1032" s="1">
        <v>956200219</v>
      </c>
      <c r="W1032" s="1">
        <v>956200219</v>
      </c>
      <c r="X1032" s="1" t="str">
        <f>"1395464204"</f>
        <v>1395464204</v>
      </c>
      <c r="Y1032" s="1" t="str">
        <f>"95/11/20"</f>
        <v>95/11/20</v>
      </c>
      <c r="Z1032" s="1" t="str">
        <f>"50309/د"</f>
        <v>50309/د</v>
      </c>
      <c r="AA1032" s="1" t="str">
        <f>"بنيادمسكن انقلاب اسلامي"</f>
        <v>بنيادمسكن انقلاب اسلامي</v>
      </c>
      <c r="AB1032" s="1" t="str">
        <f>"95/11/20"</f>
        <v>95/11/20</v>
      </c>
      <c r="AC1032" s="1" t="str">
        <f>"استان تهران"</f>
        <v>استان تهران</v>
      </c>
      <c r="AD1032" s="1" t="str">
        <f>"95/11/20"</f>
        <v>95/11/20</v>
      </c>
      <c r="AE1032" s="1" t="str">
        <f t="shared" si="266"/>
        <v>اختتام</v>
      </c>
      <c r="AF1032" s="1" t="str">
        <f>""</f>
        <v/>
      </c>
      <c r="AG1032" s="1" t="str">
        <f>""</f>
        <v/>
      </c>
      <c r="AH1032" s="1" t="str">
        <f>""</f>
        <v/>
      </c>
      <c r="AI1032" s="1" t="str">
        <f>""</f>
        <v/>
      </c>
      <c r="AJ1032" s="1" t="str">
        <f>""</f>
        <v/>
      </c>
      <c r="AK1032" s="1" t="str">
        <f>""</f>
        <v/>
      </c>
    </row>
    <row r="1033" spans="1:37" x14ac:dyDescent="0.2">
      <c r="A1033" s="1">
        <v>1000000</v>
      </c>
      <c r="B1033" s="1">
        <v>951900186</v>
      </c>
      <c r="C1033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033" s="1">
        <v>8323</v>
      </c>
      <c r="E1033" s="1">
        <v>999460</v>
      </c>
      <c r="F1033" s="1">
        <v>95</v>
      </c>
      <c r="G1033" s="1">
        <v>540</v>
      </c>
      <c r="H1033" s="1" t="str">
        <f>"95/08/15"</f>
        <v>95/08/15</v>
      </c>
      <c r="I1033" s="1" t="str">
        <f t="shared" si="269"/>
        <v>كيلوگرم</v>
      </c>
      <c r="J1033" s="1" t="str">
        <f>"0000000092"</f>
        <v>0000000092</v>
      </c>
      <c r="K1033" s="1" t="str">
        <f>"قير  PG64-16"</f>
        <v>قير  PG64-16</v>
      </c>
      <c r="L1033" s="1">
        <v>100</v>
      </c>
      <c r="M1033" s="1" t="str">
        <f t="shared" si="272"/>
        <v>مخازن قير اصفهان</v>
      </c>
      <c r="N1033" s="1">
        <v>11212</v>
      </c>
      <c r="O1033" s="1">
        <v>50032494</v>
      </c>
      <c r="P1033" s="1" t="str">
        <f>"  راهسازي وساختماني سازه سازان سمنگان"</f>
        <v xml:space="preserve">  راهسازي وساختماني سازه سازان سمنگان</v>
      </c>
      <c r="Q1033" s="1">
        <v>19</v>
      </c>
      <c r="R10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3" s="1" t="str">
        <f t="shared" si="270"/>
        <v>قرارداد فروش</v>
      </c>
      <c r="T1033" s="1" t="str">
        <f t="shared" si="271"/>
        <v>ندارد</v>
      </c>
      <c r="U1033" s="1" t="str">
        <f>"حاصليان ترابرجنوب مرتضي حاصلي (4844006)"</f>
        <v>حاصليان ترابرجنوب مرتضي حاصلي (4844006)</v>
      </c>
      <c r="V1033" s="1">
        <v>951900186</v>
      </c>
      <c r="W1033" s="1">
        <v>951900186</v>
      </c>
      <c r="X1033" s="1" t="str">
        <f>"1395443214"</f>
        <v>1395443214</v>
      </c>
      <c r="Y1033" s="1" t="str">
        <f>"95/08/15"</f>
        <v>95/08/15</v>
      </c>
      <c r="Z1033" s="1" t="str">
        <f>"38463/710"</f>
        <v>38463/710</v>
      </c>
      <c r="AA1033" s="1" t="str">
        <f>"سازمان راهداري وحمل نقل جاده اي"</f>
        <v>سازمان راهداري وحمل نقل جاده اي</v>
      </c>
      <c r="AB1033" s="1" t="str">
        <f>"95/08/10"</f>
        <v>95/08/10</v>
      </c>
      <c r="AC1033" s="1" t="str">
        <f>"استان هرمزگان"</f>
        <v>استان هرمزگان</v>
      </c>
      <c r="AD1033" s="1" t="str">
        <f>"95/08/15"</f>
        <v>95/08/15</v>
      </c>
      <c r="AE1033" s="1" t="str">
        <f t="shared" si="266"/>
        <v>اختتام</v>
      </c>
      <c r="AF1033" s="1" t="str">
        <f>""</f>
        <v/>
      </c>
      <c r="AG1033" s="1" t="str">
        <f>""</f>
        <v/>
      </c>
      <c r="AH1033" s="1" t="str">
        <f>""</f>
        <v/>
      </c>
      <c r="AI1033" s="1" t="str">
        <f>""</f>
        <v/>
      </c>
      <c r="AJ1033" s="1" t="str">
        <f>""</f>
        <v/>
      </c>
      <c r="AK1033" s="1" t="str">
        <f>""</f>
        <v/>
      </c>
    </row>
    <row r="1034" spans="1:37" x14ac:dyDescent="0.2">
      <c r="A1034" s="1">
        <v>1000000</v>
      </c>
      <c r="B1034" s="1">
        <v>951900274</v>
      </c>
      <c r="C1034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034" s="1">
        <v>8998</v>
      </c>
      <c r="E1034" s="1">
        <v>997900</v>
      </c>
      <c r="F1034" s="1">
        <v>95</v>
      </c>
      <c r="G1034" s="1">
        <v>2100</v>
      </c>
      <c r="H1034" s="1" t="str">
        <f>"95/12/11"</f>
        <v>95/12/11</v>
      </c>
      <c r="I1034" s="1" t="str">
        <f t="shared" si="269"/>
        <v>كيلوگرم</v>
      </c>
      <c r="J1034" s="1" t="str">
        <f>"0000000092"</f>
        <v>0000000092</v>
      </c>
      <c r="K1034" s="1" t="str">
        <f>"قير  PG64-16"</f>
        <v>قير  PG64-16</v>
      </c>
      <c r="L1034" s="1">
        <v>100</v>
      </c>
      <c r="M1034" s="1" t="str">
        <f t="shared" si="272"/>
        <v>مخازن قير اصفهان</v>
      </c>
      <c r="N1034" s="1">
        <v>11212</v>
      </c>
      <c r="O1034" s="1">
        <v>50033969</v>
      </c>
      <c r="P1034" s="1" t="str">
        <f>"  راهسازي وساختماني سازه سازان سمنگان"</f>
        <v xml:space="preserve">  راهسازي وساختماني سازه سازان سمنگان</v>
      </c>
      <c r="Q1034" s="1">
        <v>19</v>
      </c>
      <c r="R10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4" s="1" t="str">
        <f t="shared" si="270"/>
        <v>قرارداد فروش</v>
      </c>
      <c r="T1034" s="1" t="str">
        <f t="shared" si="271"/>
        <v>ندارد</v>
      </c>
      <c r="U1034" s="1" t="str">
        <f>"حاصليان ترابرجنوب مرتضي حاصلي (4844006)"</f>
        <v>حاصليان ترابرجنوب مرتضي حاصلي (4844006)</v>
      </c>
      <c r="V1034" s="1">
        <v>951900274</v>
      </c>
      <c r="W1034" s="1">
        <v>951900274</v>
      </c>
      <c r="X1034" s="1" t="str">
        <f>"1395468781"</f>
        <v>1395468781</v>
      </c>
      <c r="Y1034" s="1" t="str">
        <f>"95/12/11"</f>
        <v>95/12/11</v>
      </c>
      <c r="Z1034" s="1" t="str">
        <f>"62408/710"</f>
        <v>62408/710</v>
      </c>
      <c r="AA1034" s="1" t="str">
        <f>"سازمان راهداري وحمل نقل جاده اي"</f>
        <v>سازمان راهداري وحمل نقل جاده اي</v>
      </c>
      <c r="AB1034" s="1" t="str">
        <f>"95/12/09"</f>
        <v>95/12/09</v>
      </c>
      <c r="AC1034" s="1" t="str">
        <f>"استان هرمزگان"</f>
        <v>استان هرمزگان</v>
      </c>
      <c r="AD1034" s="1" t="str">
        <f>"95/12/11"</f>
        <v>95/12/11</v>
      </c>
      <c r="AE1034" s="1" t="str">
        <f t="shared" si="266"/>
        <v>اختتام</v>
      </c>
      <c r="AF1034" s="1" t="str">
        <f>""</f>
        <v/>
      </c>
      <c r="AG1034" s="1" t="str">
        <f>""</f>
        <v/>
      </c>
      <c r="AH1034" s="1" t="str">
        <f>""</f>
        <v/>
      </c>
      <c r="AI1034" s="1" t="str">
        <f>""</f>
        <v/>
      </c>
      <c r="AJ1034" s="1" t="str">
        <f>""</f>
        <v/>
      </c>
      <c r="AK1034" s="1" t="str">
        <f>""</f>
        <v/>
      </c>
    </row>
    <row r="1035" spans="1:37" x14ac:dyDescent="0.2">
      <c r="A1035" s="1">
        <v>250000</v>
      </c>
      <c r="B1035" s="1">
        <v>951700363</v>
      </c>
      <c r="C1035" s="1" t="str">
        <f>"تخليه ايرانشهردلكان كارخانه آسفالت شركت عمران اخترفريدن"</f>
        <v>تخليه ايرانشهردلكان كارخانه آسفالت شركت عمران اخترفريدن</v>
      </c>
      <c r="D1035" s="1">
        <v>9354</v>
      </c>
      <c r="E1035" s="1">
        <v>249300</v>
      </c>
      <c r="F1035" s="1">
        <v>95</v>
      </c>
      <c r="G1035" s="1">
        <v>700</v>
      </c>
      <c r="H1035" s="1" t="str">
        <f>"95/12/26"</f>
        <v>95/12/26</v>
      </c>
      <c r="I1035" s="1" t="str">
        <f t="shared" si="269"/>
        <v>كيلوگرم</v>
      </c>
      <c r="J1035" s="1" t="str">
        <f>"0000000092"</f>
        <v>0000000092</v>
      </c>
      <c r="K1035" s="1" t="str">
        <f>"قير  PG64-16"</f>
        <v>قير  PG64-16</v>
      </c>
      <c r="L1035" s="1">
        <v>100</v>
      </c>
      <c r="M1035" s="1" t="str">
        <f t="shared" si="272"/>
        <v>مخازن قير اصفهان</v>
      </c>
      <c r="N1035" s="1">
        <v>11316</v>
      </c>
      <c r="O1035" s="1">
        <v>50034273</v>
      </c>
      <c r="P1035" s="1" t="str">
        <f>"  عمران اخترفريدن"</f>
        <v xml:space="preserve">  عمران اخترفريدن</v>
      </c>
      <c r="Q1035" s="1">
        <v>17</v>
      </c>
      <c r="R1035" s="1" t="str">
        <f>"فروش داخلي تهران - وزارت راه - راه روستايي - روکش"</f>
        <v>فروش داخلي تهران - وزارت راه - راه روستايي - روکش</v>
      </c>
      <c r="S1035" s="1" t="str">
        <f t="shared" si="270"/>
        <v>قرارداد فروش</v>
      </c>
      <c r="T1035" s="1" t="str">
        <f t="shared" si="271"/>
        <v>ندارد</v>
      </c>
      <c r="U1035" s="1" t="str">
        <f>"پورباقري ترابر (4914036)"</f>
        <v>پورباقري ترابر (4914036)</v>
      </c>
      <c r="V1035" s="1">
        <v>951700363</v>
      </c>
      <c r="W1035" s="1">
        <v>951700363</v>
      </c>
      <c r="X1035" s="1" t="str">
        <f>"1395471041"</f>
        <v>1395471041</v>
      </c>
      <c r="Y1035" s="1" t="str">
        <f>"95/12/26"</f>
        <v>95/12/26</v>
      </c>
      <c r="Z1035" s="1" t="str">
        <f>"65491/710"</f>
        <v>65491/710</v>
      </c>
      <c r="AA1035" s="1" t="str">
        <f>"راه روستائي -روكش"</f>
        <v>راه روستائي -روكش</v>
      </c>
      <c r="AB1035" s="1" t="str">
        <f>"95/12/21"</f>
        <v>95/12/21</v>
      </c>
      <c r="AC1035" s="1" t="str">
        <f>"ايرانشهر"</f>
        <v>ايرانشهر</v>
      </c>
      <c r="AD1035" s="1" t="str">
        <f>"95/12/25"</f>
        <v>95/12/25</v>
      </c>
      <c r="AE1035" s="1" t="str">
        <f t="shared" si="266"/>
        <v>اختتام</v>
      </c>
      <c r="AF1035" s="1" t="str">
        <f>""</f>
        <v/>
      </c>
      <c r="AG1035" s="1" t="str">
        <f>""</f>
        <v/>
      </c>
      <c r="AH1035" s="1" t="str">
        <f>""</f>
        <v/>
      </c>
      <c r="AI1035" s="1" t="str">
        <f>""</f>
        <v/>
      </c>
      <c r="AJ1035" s="1" t="str">
        <f>""</f>
        <v/>
      </c>
      <c r="AK1035" s="1" t="str">
        <f>""</f>
        <v/>
      </c>
    </row>
    <row r="1036" spans="1:37" x14ac:dyDescent="0.2">
      <c r="A1036" s="1">
        <v>1534000</v>
      </c>
      <c r="B1036" s="1">
        <v>951700053</v>
      </c>
      <c r="C1036" s="1" t="str">
        <f>"تخليه-آزاد شهر-جاده مينو دشت-آق امام کارخانه زرين سنگ اطلس"</f>
        <v>تخليه-آزاد شهر-جاده مينو دشت-آق امام کارخانه زرين سنگ اطلس</v>
      </c>
      <c r="D1036" s="1">
        <v>6250</v>
      </c>
      <c r="E1036" s="1">
        <v>1467240</v>
      </c>
      <c r="F1036" s="1">
        <v>95</v>
      </c>
      <c r="G1036" s="1">
        <v>66760</v>
      </c>
      <c r="H1036" s="1" t="str">
        <f>"95/04/06"</f>
        <v>95/04/06</v>
      </c>
      <c r="I1036" s="1" t="str">
        <f t="shared" si="269"/>
        <v>كيلوگرم</v>
      </c>
      <c r="J1036" s="1" t="str">
        <f>"0000000093"</f>
        <v>0000000093</v>
      </c>
      <c r="K1036" s="1" t="str">
        <f>"قير  PG64-10"</f>
        <v>قير  PG64-10</v>
      </c>
      <c r="L1036" s="1">
        <v>100</v>
      </c>
      <c r="M1036" s="1" t="str">
        <f t="shared" si="272"/>
        <v>مخازن قير اصفهان</v>
      </c>
      <c r="N1036" s="1">
        <v>4101</v>
      </c>
      <c r="O1036" s="1">
        <v>50031119</v>
      </c>
      <c r="P1036" s="1" t="str">
        <f>"  اداره كل راه و شهرسازي گلستان"</f>
        <v xml:space="preserve">  اداره كل راه و شهرسازي گلستان</v>
      </c>
      <c r="Q1036" s="1">
        <v>17</v>
      </c>
      <c r="R1036" s="1" t="str">
        <f>"فروش داخلي تهران - وزارت راه - راه روستايي - روکش"</f>
        <v>فروش داخلي تهران - وزارت راه - راه روستايي - روکش</v>
      </c>
      <c r="S1036" s="1" t="str">
        <f t="shared" si="270"/>
        <v>قرارداد فروش</v>
      </c>
      <c r="T1036" s="1" t="str">
        <f t="shared" si="271"/>
        <v>ندارد</v>
      </c>
      <c r="U1036" s="1" t="str">
        <f>"شيشه بر كريم(1841016)"</f>
        <v>شيشه بر كريم(1841016)</v>
      </c>
      <c r="V1036" s="1">
        <v>951700053</v>
      </c>
      <c r="W1036" s="1">
        <v>951700053</v>
      </c>
      <c r="X1036" s="1" t="str">
        <f>"1395411207"</f>
        <v>1395411207</v>
      </c>
      <c r="Y1036" s="1" t="str">
        <f>"95/04/06"</f>
        <v>95/04/06</v>
      </c>
      <c r="Z1036" s="1" t="str">
        <f>"13251/510"</f>
        <v>13251/510</v>
      </c>
      <c r="AA1036" s="1" t="str">
        <f>"راه روستائي -روكش"</f>
        <v>راه روستائي -روكش</v>
      </c>
      <c r="AB1036" s="1" t="str">
        <f>"95/03/30"</f>
        <v>95/03/30</v>
      </c>
      <c r="AC1036" s="1" t="str">
        <f>"استان گلستان"</f>
        <v>استان گلستان</v>
      </c>
      <c r="AD1036" s="1" t="str">
        <f>"95/04/05"</f>
        <v>95/04/05</v>
      </c>
      <c r="AE1036" s="1" t="str">
        <f t="shared" ref="AE1036:AE1067" si="273">"اختتام"</f>
        <v>اختتام</v>
      </c>
      <c r="AF1036" s="1" t="str">
        <f>""</f>
        <v/>
      </c>
      <c r="AG1036" s="1" t="str">
        <f>""</f>
        <v/>
      </c>
      <c r="AH1036" s="1" t="str">
        <f>""</f>
        <v/>
      </c>
      <c r="AI1036" s="1" t="str">
        <f>""</f>
        <v/>
      </c>
      <c r="AJ1036" s="1" t="str">
        <f>""</f>
        <v/>
      </c>
      <c r="AK1036" s="1" t="str">
        <f>""</f>
        <v/>
      </c>
    </row>
    <row r="1037" spans="1:37" x14ac:dyDescent="0.2">
      <c r="A1037" s="1">
        <v>550000</v>
      </c>
      <c r="B1037" s="1">
        <v>951700183</v>
      </c>
      <c r="C1037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1037" s="1">
        <v>7176</v>
      </c>
      <c r="E1037" s="1">
        <v>110720</v>
      </c>
      <c r="F1037" s="1">
        <v>95</v>
      </c>
      <c r="G1037" s="1">
        <v>439280</v>
      </c>
      <c r="H1037" s="1" t="str">
        <f>"95/06/07"</f>
        <v>95/06/07</v>
      </c>
      <c r="I1037" s="1" t="str">
        <f t="shared" si="269"/>
        <v>كيلوگرم</v>
      </c>
      <c r="J1037" s="1" t="str">
        <f>"0000000092"</f>
        <v>0000000092</v>
      </c>
      <c r="K1037" s="1" t="str">
        <f>"قير  PG64-16"</f>
        <v>قير  PG64-16</v>
      </c>
      <c r="L1037" s="1">
        <v>100</v>
      </c>
      <c r="M1037" s="1" t="str">
        <f t="shared" si="272"/>
        <v>مخازن قير اصفهان</v>
      </c>
      <c r="N1037" s="1">
        <v>8091</v>
      </c>
      <c r="O1037" s="1">
        <v>50031671</v>
      </c>
      <c r="P1037" s="1" t="str">
        <f>"  اداره كل راه وشهرسازي اصفهان"</f>
        <v xml:space="preserve">  اداره كل راه وشهرسازي اصفهان</v>
      </c>
      <c r="Q1037" s="1">
        <v>17</v>
      </c>
      <c r="R1037" s="1" t="str">
        <f>"فروش داخلي تهران - وزارت راه - راه روستايي - روکش"</f>
        <v>فروش داخلي تهران - وزارت راه - راه روستايي - روکش</v>
      </c>
      <c r="S1037" s="1" t="str">
        <f t="shared" si="270"/>
        <v>قرارداد فروش</v>
      </c>
      <c r="T1037" s="1" t="str">
        <f t="shared" si="271"/>
        <v>ندارد</v>
      </c>
      <c r="U1037" s="1" t="str">
        <f>"اسماعيلي پور امين (1013ج89)"</f>
        <v>اسماعيلي پور امين (1013ج89)</v>
      </c>
      <c r="V1037" s="1">
        <v>951700183</v>
      </c>
      <c r="W1037" s="1">
        <v>951700183</v>
      </c>
      <c r="X1037" s="1" t="str">
        <f>"1395426942"</f>
        <v>1395426942</v>
      </c>
      <c r="Y1037" s="1" t="str">
        <f>"95/06/07"</f>
        <v>95/06/07</v>
      </c>
      <c r="Z1037" s="1" t="str">
        <f>"23382/510"</f>
        <v>23382/510</v>
      </c>
      <c r="AA1037" s="1" t="str">
        <f>"راه روستائي -روكش"</f>
        <v>راه روستائي -روكش</v>
      </c>
      <c r="AB1037" s="1" t="str">
        <f>"95/05/24"</f>
        <v>95/05/24</v>
      </c>
      <c r="AC1037" s="1" t="str">
        <f>"استان اصفهان"</f>
        <v>استان اصفهان</v>
      </c>
      <c r="AD1037" s="1" t="str">
        <f>"95/06/06"</f>
        <v>95/06/06</v>
      </c>
      <c r="AE1037" s="1" t="str">
        <f t="shared" si="273"/>
        <v>اختتام</v>
      </c>
      <c r="AF1037" s="1" t="str">
        <f>""</f>
        <v/>
      </c>
      <c r="AG1037" s="1" t="str">
        <f>""</f>
        <v/>
      </c>
      <c r="AH1037" s="1" t="str">
        <f>""</f>
        <v/>
      </c>
      <c r="AI1037" s="1" t="str">
        <f>""</f>
        <v/>
      </c>
      <c r="AJ1037" s="1" t="str">
        <f>""</f>
        <v/>
      </c>
      <c r="AK1037" s="1" t="str">
        <f>""</f>
        <v/>
      </c>
    </row>
    <row r="1038" spans="1:37" x14ac:dyDescent="0.2">
      <c r="A1038" s="1">
        <v>275000</v>
      </c>
      <c r="B1038" s="1">
        <v>951700184</v>
      </c>
      <c r="C1038" s="1" t="str">
        <f>"تخليه -اصفهان -كيلومتر19محورقديم كاشان قم -شركت درم"</f>
        <v>تخليه -اصفهان -كيلومتر19محورقديم كاشان قم -شركت درم</v>
      </c>
      <c r="D1038" s="1">
        <v>7176</v>
      </c>
      <c r="E1038" s="1">
        <v>271740</v>
      </c>
      <c r="F1038" s="1">
        <v>95</v>
      </c>
      <c r="G1038" s="1">
        <v>3260</v>
      </c>
      <c r="H1038" s="1" t="str">
        <f>"95/06/07"</f>
        <v>95/06/07</v>
      </c>
      <c r="I1038" s="1" t="str">
        <f t="shared" si="269"/>
        <v>كيلوگرم</v>
      </c>
      <c r="J1038" s="1" t="str">
        <f>"0000000092"</f>
        <v>0000000092</v>
      </c>
      <c r="K1038" s="1" t="str">
        <f>"قير  PG64-16"</f>
        <v>قير  PG64-16</v>
      </c>
      <c r="L1038" s="1">
        <v>100</v>
      </c>
      <c r="M1038" s="1" t="str">
        <f t="shared" si="272"/>
        <v>مخازن قير اصفهان</v>
      </c>
      <c r="N1038" s="1">
        <v>8091</v>
      </c>
      <c r="O1038" s="1">
        <v>50031672</v>
      </c>
      <c r="P1038" s="1" t="str">
        <f>"  اداره كل راه وشهرسازي اصفهان"</f>
        <v xml:space="preserve">  اداره كل راه وشهرسازي اصفهان</v>
      </c>
      <c r="Q1038" s="1">
        <v>17</v>
      </c>
      <c r="R1038" s="1" t="str">
        <f>"فروش داخلي تهران - وزارت راه - راه روستايي - روکش"</f>
        <v>فروش داخلي تهران - وزارت راه - راه روستايي - روکش</v>
      </c>
      <c r="S1038" s="1" t="str">
        <f t="shared" si="270"/>
        <v>قرارداد فروش</v>
      </c>
      <c r="T1038" s="1" t="str">
        <f t="shared" si="271"/>
        <v>ندارد</v>
      </c>
      <c r="U1038" s="1" t="str">
        <f>"كبيري رحمت اله(1024ج89)"</f>
        <v>كبيري رحمت اله(1024ج89)</v>
      </c>
      <c r="V1038" s="1">
        <v>951700184</v>
      </c>
      <c r="W1038" s="1">
        <v>951700184</v>
      </c>
      <c r="X1038" s="1" t="str">
        <f>"1395426942"</f>
        <v>1395426942</v>
      </c>
      <c r="Y1038" s="1" t="str">
        <f>"95/06/07"</f>
        <v>95/06/07</v>
      </c>
      <c r="Z1038" s="1" t="str">
        <f>"23382/510"</f>
        <v>23382/510</v>
      </c>
      <c r="AA1038" s="1" t="str">
        <f>"راه روستائي -روكش"</f>
        <v>راه روستائي -روكش</v>
      </c>
      <c r="AB1038" s="1" t="str">
        <f>"95/05/24"</f>
        <v>95/05/24</v>
      </c>
      <c r="AC1038" s="1" t="str">
        <f>"استان اصفهان"</f>
        <v>استان اصفهان</v>
      </c>
      <c r="AD1038" s="1" t="str">
        <f>"95/06/06"</f>
        <v>95/06/06</v>
      </c>
      <c r="AE1038" s="1" t="str">
        <f t="shared" si="273"/>
        <v>اختتام</v>
      </c>
      <c r="AF1038" s="1" t="str">
        <f>""</f>
        <v/>
      </c>
      <c r="AG1038" s="1" t="str">
        <f>""</f>
        <v/>
      </c>
      <c r="AH1038" s="1" t="str">
        <f>""</f>
        <v/>
      </c>
      <c r="AI1038" s="1" t="str">
        <f>""</f>
        <v/>
      </c>
      <c r="AJ1038" s="1" t="str">
        <f>""</f>
        <v/>
      </c>
      <c r="AK1038" s="1" t="str">
        <f>""</f>
        <v/>
      </c>
    </row>
    <row r="1039" spans="1:37" x14ac:dyDescent="0.2">
      <c r="A1039" s="1">
        <v>14840</v>
      </c>
      <c r="B1039" s="1">
        <v>951700243</v>
      </c>
      <c r="C1039" s="1" t="str">
        <f>"تخليه-بندرگز-روبروي روستاي ول افرا کارخانه شرکت عمران راه گلستان"</f>
        <v>تخليه-بندرگز-روبروي روستاي ول افرا کارخانه شرکت عمران راه گلستان</v>
      </c>
      <c r="D1039" s="1">
        <v>8323</v>
      </c>
      <c r="E1039" s="1">
        <v>14340</v>
      </c>
      <c r="F1039" s="1">
        <v>95</v>
      </c>
      <c r="G1039" s="1">
        <v>500</v>
      </c>
      <c r="H1039" s="1" t="str">
        <f>"95/08/05"</f>
        <v>95/08/05</v>
      </c>
      <c r="I1039" s="1" t="str">
        <f t="shared" si="269"/>
        <v>كيلوگرم</v>
      </c>
      <c r="J1039" s="1" t="str">
        <f>"0000000093"</f>
        <v>0000000093</v>
      </c>
      <c r="K1039" s="1" t="str">
        <f>"قير  PG64-10"</f>
        <v>قير  PG64-10</v>
      </c>
      <c r="L1039" s="1">
        <v>100</v>
      </c>
      <c r="M1039" s="1" t="str">
        <f t="shared" si="272"/>
        <v>مخازن قير اصفهان</v>
      </c>
      <c r="N1039" s="1">
        <v>4101</v>
      </c>
      <c r="O1039" s="1">
        <v>50032259</v>
      </c>
      <c r="P1039" s="1" t="str">
        <f>"  اداره كل راه و شهرسازي گلستان"</f>
        <v xml:space="preserve">  اداره كل راه و شهرسازي گلستان</v>
      </c>
      <c r="Q1039" s="1">
        <v>17</v>
      </c>
      <c r="R1039" s="1" t="str">
        <f>"فروش داخلي تهران - وزارت راه - راه روستايي - روکش"</f>
        <v>فروش داخلي تهران - وزارت راه - راه روستايي - روکش</v>
      </c>
      <c r="S1039" s="1" t="str">
        <f t="shared" si="270"/>
        <v>قرارداد فروش</v>
      </c>
      <c r="T1039" s="1" t="str">
        <f t="shared" si="271"/>
        <v>ندارد</v>
      </c>
      <c r="U1039" s="1" t="str">
        <f>"شيشه بر كريم(1841016)"</f>
        <v>شيشه بر كريم(1841016)</v>
      </c>
      <c r="V1039" s="1">
        <v>951700243</v>
      </c>
      <c r="W1039" s="1">
        <v>951700243</v>
      </c>
      <c r="X1039" s="1" t="str">
        <f>"1395411207"</f>
        <v>1395411207</v>
      </c>
      <c r="Y1039" s="1" t="str">
        <f>"95/08/05"</f>
        <v>95/08/05</v>
      </c>
      <c r="Z1039" s="1" t="str">
        <f>"13251/510"</f>
        <v>13251/510</v>
      </c>
      <c r="AA1039" s="1" t="str">
        <f>"راه روستائي -روكش"</f>
        <v>راه روستائي -روكش</v>
      </c>
      <c r="AB1039" s="1" t="str">
        <f>"95/03/30"</f>
        <v>95/03/30</v>
      </c>
      <c r="AC1039" s="1" t="str">
        <f>"استان گلستان"</f>
        <v>استان گلستان</v>
      </c>
      <c r="AD1039" s="1" t="str">
        <f>"95/04/05"</f>
        <v>95/04/05</v>
      </c>
      <c r="AE1039" s="1" t="str">
        <f t="shared" si="273"/>
        <v>اختتام</v>
      </c>
      <c r="AF1039" s="1" t="str">
        <f>""</f>
        <v/>
      </c>
      <c r="AG1039" s="1" t="str">
        <f>""</f>
        <v/>
      </c>
      <c r="AH1039" s="1" t="str">
        <f>""</f>
        <v/>
      </c>
      <c r="AI1039" s="1" t="str">
        <f>""</f>
        <v/>
      </c>
      <c r="AJ1039" s="1" t="str">
        <f>""</f>
        <v/>
      </c>
      <c r="AK1039" s="1" t="str">
        <f>""</f>
        <v/>
      </c>
    </row>
    <row r="1040" spans="1:37" x14ac:dyDescent="0.2">
      <c r="A1040" s="1">
        <v>200000</v>
      </c>
      <c r="B1040" s="1">
        <v>951900218</v>
      </c>
      <c r="C1040" s="1" t="str">
        <f>"تخليه كهگليويه وبويراحمدياسوج كارخانه آسفالت ساحلي ياسوج"</f>
        <v>تخليه كهگليويه وبويراحمدياسوج كارخانه آسفالت ساحلي ياسوج</v>
      </c>
      <c r="D1040" s="1">
        <v>7276</v>
      </c>
      <c r="E1040" s="1">
        <v>169360</v>
      </c>
      <c r="F1040" s="1">
        <v>95</v>
      </c>
      <c r="G1040" s="1">
        <v>30640</v>
      </c>
      <c r="H1040" s="1" t="str">
        <f>"95/09/20"</f>
        <v>95/09/20</v>
      </c>
      <c r="I1040" s="1" t="str">
        <f t="shared" si="269"/>
        <v>كيلوگرم</v>
      </c>
      <c r="J1040" s="1" t="str">
        <f>"0000000093"</f>
        <v>0000000093</v>
      </c>
      <c r="K1040" s="1" t="str">
        <f>"قير  PG64-10"</f>
        <v>قير  PG64-10</v>
      </c>
      <c r="L1040" s="1">
        <v>100</v>
      </c>
      <c r="M1040" s="1" t="str">
        <f t="shared" si="272"/>
        <v>مخازن قير اصفهان</v>
      </c>
      <c r="N1040" s="1">
        <v>4196</v>
      </c>
      <c r="O1040" s="1">
        <v>50032963</v>
      </c>
      <c r="P1040" s="1" t="str">
        <f>"  سربيشه ياسوج"</f>
        <v xml:space="preserve">  سربيشه ياسوج</v>
      </c>
      <c r="Q1040" s="1">
        <v>19</v>
      </c>
      <c r="R10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0" s="1" t="str">
        <f t="shared" si="270"/>
        <v>قرارداد فروش</v>
      </c>
      <c r="T1040" s="1" t="str">
        <f t="shared" si="271"/>
        <v>ندارد</v>
      </c>
      <c r="U1040" s="1" t="str">
        <f>"غلام نجفي سيامك‌‌‌‌‌‌(1881082)"</f>
        <v>غلام نجفي سيامك‌‌‌‌‌‌(1881082)</v>
      </c>
      <c r="V1040" s="1">
        <v>951900218</v>
      </c>
      <c r="W1040" s="1">
        <v>951900218</v>
      </c>
      <c r="X1040" s="1" t="str">
        <f>"1395451107"</f>
        <v>1395451107</v>
      </c>
      <c r="Y1040" s="1" t="str">
        <f>"95/09/20"</f>
        <v>95/09/20</v>
      </c>
      <c r="Z1040" s="1" t="str">
        <f>"43208/710"</f>
        <v>43208/710</v>
      </c>
      <c r="AA1040" s="1" t="str">
        <f>"سازمان راهداري وحمل نقل جاده اي"</f>
        <v>سازمان راهداري وحمل نقل جاده اي</v>
      </c>
      <c r="AB1040" s="1" t="str">
        <f>"95/09/06"</f>
        <v>95/09/06</v>
      </c>
      <c r="AC1040" s="1" t="str">
        <f>"كهكيلويه و بوير احمد"</f>
        <v>كهكيلويه و بوير احمد</v>
      </c>
      <c r="AD1040" s="1" t="str">
        <f>"95/09/20"</f>
        <v>95/09/20</v>
      </c>
      <c r="AE1040" s="1" t="str">
        <f t="shared" si="273"/>
        <v>اختتام</v>
      </c>
      <c r="AF1040" s="1" t="str">
        <f>""</f>
        <v/>
      </c>
      <c r="AG1040" s="1" t="str">
        <f>""</f>
        <v/>
      </c>
      <c r="AH1040" s="1" t="str">
        <f>""</f>
        <v/>
      </c>
      <c r="AI1040" s="1" t="str">
        <f>""</f>
        <v/>
      </c>
      <c r="AJ1040" s="1" t="str">
        <f>""</f>
        <v/>
      </c>
      <c r="AK1040" s="1" t="str">
        <f>""</f>
        <v/>
      </c>
    </row>
    <row r="1041" spans="1:37" x14ac:dyDescent="0.2">
      <c r="A1041" s="1">
        <v>500000</v>
      </c>
      <c r="B1041" s="1">
        <v>951800140</v>
      </c>
      <c r="C1041" s="1" t="str">
        <f>"تخليه گلستان كلاله جنب روستاي خمبرآبادكارخانه آسفالت راهسازان جبال گلستان"</f>
        <v>تخليه گلستان كلاله جنب روستاي خمبرآبادكارخانه آسفالت راهسازان جبال گلستان</v>
      </c>
      <c r="D1041" s="1">
        <v>8998</v>
      </c>
      <c r="E1041" s="1">
        <v>487940</v>
      </c>
      <c r="F1041" s="1">
        <v>95</v>
      </c>
      <c r="G1041" s="1">
        <v>12060</v>
      </c>
      <c r="H1041" s="1" t="str">
        <f>"95/11/26"</f>
        <v>95/11/26</v>
      </c>
      <c r="I1041" s="1" t="str">
        <f t="shared" si="269"/>
        <v>كيلوگرم</v>
      </c>
      <c r="J1041" s="1" t="str">
        <f>"0000000093"</f>
        <v>0000000093</v>
      </c>
      <c r="K1041" s="1" t="str">
        <f>"قير  PG64-10"</f>
        <v>قير  PG64-10</v>
      </c>
      <c r="L1041" s="1">
        <v>100</v>
      </c>
      <c r="M1041" s="1" t="str">
        <f t="shared" si="272"/>
        <v>مخازن قير اصفهان</v>
      </c>
      <c r="N1041" s="1">
        <v>10253</v>
      </c>
      <c r="O1041" s="1">
        <v>50033751</v>
      </c>
      <c r="P1041" s="1" t="str">
        <f>"  مهندسي پروژه هاي آب ونيروي ايران (پانير)"</f>
        <v xml:space="preserve">  مهندسي پروژه هاي آب ونيروي ايران (پانير)</v>
      </c>
      <c r="Q1041" s="1">
        <v>18</v>
      </c>
      <c r="R1041" s="1" t="str">
        <f>"فروش داخلي تهران - وزارت راه - شرکت ساخت و توسعه راهها"</f>
        <v>فروش داخلي تهران - وزارت راه - شرکت ساخت و توسعه راهها</v>
      </c>
      <c r="S1041" s="1" t="str">
        <f t="shared" si="270"/>
        <v>قرارداد فروش</v>
      </c>
      <c r="T1041" s="1" t="str">
        <f t="shared" si="271"/>
        <v>ندارد</v>
      </c>
      <c r="U1041" s="1" t="str">
        <f>"رضائي كلهر حسن (1901099)"</f>
        <v>رضائي كلهر حسن (1901099)</v>
      </c>
      <c r="V1041" s="1">
        <v>951800140</v>
      </c>
      <c r="W1041" s="1">
        <v>951800140</v>
      </c>
      <c r="X1041" s="1" t="str">
        <f>"1395464667"</f>
        <v>1395464667</v>
      </c>
      <c r="Y1041" s="1" t="str">
        <f>"95/11/26"</f>
        <v>95/11/26</v>
      </c>
      <c r="Z1041" s="1" t="str">
        <f>"57866/710"</f>
        <v>57866/710</v>
      </c>
      <c r="AA1041" s="1" t="str">
        <f>"شركت  ساخت وتوسعه راهها"</f>
        <v>شركت  ساخت وتوسعه راهها</v>
      </c>
      <c r="AB1041" s="1" t="str">
        <f>"95/11/19"</f>
        <v>95/11/19</v>
      </c>
      <c r="AC1041" s="1" t="str">
        <f>"استان گلستان"</f>
        <v>استان گلستان</v>
      </c>
      <c r="AD1041" s="1" t="str">
        <f>"95/11/25"</f>
        <v>95/11/25</v>
      </c>
      <c r="AE1041" s="1" t="str">
        <f t="shared" si="273"/>
        <v>اختتام</v>
      </c>
      <c r="AF1041" s="1" t="str">
        <f>""</f>
        <v/>
      </c>
      <c r="AG1041" s="1" t="str">
        <f>""</f>
        <v/>
      </c>
      <c r="AH1041" s="1" t="str">
        <f>""</f>
        <v/>
      </c>
      <c r="AI1041" s="1" t="str">
        <f>""</f>
        <v/>
      </c>
      <c r="AJ1041" s="1" t="str">
        <f>""</f>
        <v/>
      </c>
      <c r="AK1041" s="1" t="str">
        <f>""</f>
        <v/>
      </c>
    </row>
    <row r="1042" spans="1:37" x14ac:dyDescent="0.2">
      <c r="A1042" s="1">
        <v>300000</v>
      </c>
      <c r="B1042" s="1">
        <v>951400142</v>
      </c>
      <c r="C1042" s="1" t="str">
        <f>"تخليه كهگيلويه وبويراحمدپروژه بهسازي وآسفالت محورپراشكفت جليل كارخانه آسفالت سپيدار"</f>
        <v>تخليه كهگيلويه وبويراحمدپروژه بهسازي وآسفالت محورپراشكفت جليل كارخانه آسفالت سپيدار</v>
      </c>
      <c r="D1042" s="1">
        <v>8998</v>
      </c>
      <c r="E1042" s="1">
        <v>298920</v>
      </c>
      <c r="F1042" s="1">
        <v>95</v>
      </c>
      <c r="G1042" s="1">
        <v>1080</v>
      </c>
      <c r="H1042" s="1" t="str">
        <f>"95/11/04"</f>
        <v>95/11/04</v>
      </c>
      <c r="I1042" s="1" t="str">
        <f t="shared" si="269"/>
        <v>كيلوگرم</v>
      </c>
      <c r="J1042" s="1" t="str">
        <f>"0000000093"</f>
        <v>0000000093</v>
      </c>
      <c r="K1042" s="1" t="str">
        <f>"قير  PG64-10"</f>
        <v>قير  PG64-10</v>
      </c>
      <c r="L1042" s="1">
        <v>100</v>
      </c>
      <c r="M1042" s="1" t="str">
        <f t="shared" si="272"/>
        <v>مخازن قير اصفهان</v>
      </c>
      <c r="N1042" s="1">
        <v>10343</v>
      </c>
      <c r="O1042" s="1">
        <v>50033493</v>
      </c>
      <c r="P1042" s="1" t="str">
        <f>"  اداره كل راه وشهرسازي كهگيلويه وبويراحمد"</f>
        <v xml:space="preserve">  اداره كل راه وشهرسازي كهگيلويه وبويراحمد</v>
      </c>
      <c r="Q1042" s="1">
        <v>14</v>
      </c>
      <c r="R1042" s="1" t="str">
        <f>"فروش داخلي - وزارت راه - حوزه راه روستايي ساخت"</f>
        <v>فروش داخلي - وزارت راه - حوزه راه روستايي ساخت</v>
      </c>
      <c r="S1042" s="1" t="str">
        <f t="shared" si="270"/>
        <v>قرارداد فروش</v>
      </c>
      <c r="T1042" s="1" t="str">
        <f t="shared" si="271"/>
        <v>ندارد</v>
      </c>
      <c r="U1042" s="1" t="str">
        <f>"غلام نجفي سيامك‌‌‌‌‌‌(1881082)"</f>
        <v>غلام نجفي سيامك‌‌‌‌‌‌(1881082)</v>
      </c>
      <c r="V1042" s="1">
        <v>951400142</v>
      </c>
      <c r="W1042" s="1">
        <v>951400142</v>
      </c>
      <c r="X1042" s="1" t="str">
        <f>"1395460246"</f>
        <v>1395460246</v>
      </c>
      <c r="Y1042" s="1" t="str">
        <f>"95/11/04"</f>
        <v>95/11/04</v>
      </c>
      <c r="Z1042" s="1" t="str">
        <f>"53504/710"</f>
        <v>53504/710</v>
      </c>
      <c r="AA1042" s="1" t="str">
        <f>"راه وروستايي -ساخت"</f>
        <v>راه وروستايي -ساخت</v>
      </c>
      <c r="AB1042" s="1" t="str">
        <f>"95/10/27"</f>
        <v>95/10/27</v>
      </c>
      <c r="AC1042" s="1" t="str">
        <f>"كهكيلويه و بوير احمد"</f>
        <v>كهكيلويه و بوير احمد</v>
      </c>
      <c r="AD1042" s="1" t="str">
        <f>"95/11/04"</f>
        <v>95/11/04</v>
      </c>
      <c r="AE1042" s="1" t="str">
        <f t="shared" si="273"/>
        <v>اختتام</v>
      </c>
      <c r="AF1042" s="1" t="str">
        <f>""</f>
        <v/>
      </c>
      <c r="AG1042" s="1" t="str">
        <f>""</f>
        <v/>
      </c>
      <c r="AH1042" s="1" t="str">
        <f>""</f>
        <v/>
      </c>
      <c r="AI1042" s="1" t="str">
        <f>""</f>
        <v/>
      </c>
      <c r="AJ1042" s="1" t="str">
        <f>""</f>
        <v/>
      </c>
      <c r="AK1042" s="1" t="str">
        <f>""</f>
        <v/>
      </c>
    </row>
    <row r="1043" spans="1:37" x14ac:dyDescent="0.2">
      <c r="A1043" s="1">
        <v>596000</v>
      </c>
      <c r="B1043" s="1">
        <v>951700198</v>
      </c>
      <c r="C1043" s="1" t="str">
        <f>"تخليه -اصفهان- بعد از شهرک صنعتي مبارکه جاده پلي اکريل جنب کارخانه پلي اکريل کارخانه آسفالت شرکت اصفهان بتن راه"</f>
        <v>تخليه -اصفهان- بعد از شهرک صنعتي مبارکه جاده پلي اکريل جنب کارخانه پلي اکريل کارخانه آسفالت شرکت اصفهان بتن راه</v>
      </c>
      <c r="D1043" s="1">
        <v>7176</v>
      </c>
      <c r="E1043" s="1">
        <v>595420</v>
      </c>
      <c r="F1043" s="1">
        <v>95</v>
      </c>
      <c r="G1043" s="1">
        <v>580</v>
      </c>
      <c r="H1043" s="1" t="str">
        <f>"95/06/09"</f>
        <v>95/06/09</v>
      </c>
      <c r="I1043" s="1" t="str">
        <f t="shared" si="269"/>
        <v>كيلوگرم</v>
      </c>
      <c r="J1043" s="1" t="str">
        <f>"0000000092"</f>
        <v>0000000092</v>
      </c>
      <c r="K1043" s="1" t="str">
        <f>"قير  PG64-16"</f>
        <v>قير  PG64-16</v>
      </c>
      <c r="L1043" s="1">
        <v>100</v>
      </c>
      <c r="M1043" s="1" t="str">
        <f t="shared" si="272"/>
        <v>مخازن قير اصفهان</v>
      </c>
      <c r="N1043" s="1">
        <v>8091</v>
      </c>
      <c r="O1043" s="1">
        <v>50031736</v>
      </c>
      <c r="P1043" s="1" t="str">
        <f>"  اداره كل راه وشهرسازي اصفهان"</f>
        <v xml:space="preserve">  اداره كل راه وشهرسازي اصفهان</v>
      </c>
      <c r="Q1043" s="1">
        <v>17</v>
      </c>
      <c r="R1043" s="1" t="str">
        <f>"فروش داخلي تهران - وزارت راه - راه روستايي - روکش"</f>
        <v>فروش داخلي تهران - وزارت راه - راه روستايي - روکش</v>
      </c>
      <c r="S1043" s="1" t="str">
        <f t="shared" si="270"/>
        <v>قرارداد فروش</v>
      </c>
      <c r="T1043" s="1" t="str">
        <f t="shared" si="271"/>
        <v>ندارد</v>
      </c>
      <c r="U1043" s="1" t="str">
        <f>"ريسماني حسن(1007ج89)"</f>
        <v>ريسماني حسن(1007ج89)</v>
      </c>
      <c r="V1043" s="1">
        <v>951700198</v>
      </c>
      <c r="W1043" s="1">
        <v>951700198</v>
      </c>
      <c r="X1043" s="1" t="str">
        <f>"1395427784"</f>
        <v>1395427784</v>
      </c>
      <c r="Y1043" s="1" t="str">
        <f>"95/06/09"</f>
        <v>95/06/09</v>
      </c>
      <c r="Z1043" s="1" t="str">
        <f>"26362/510"</f>
        <v>26362/510</v>
      </c>
      <c r="AA1043" s="1" t="str">
        <f>"راه روستائي -روكش"</f>
        <v>راه روستائي -روكش</v>
      </c>
      <c r="AB1043" s="1" t="str">
        <f>"95/06/07"</f>
        <v>95/06/07</v>
      </c>
      <c r="AC1043" s="1" t="str">
        <f>"استان اصفهان"</f>
        <v>استان اصفهان</v>
      </c>
      <c r="AD1043" s="1" t="str">
        <f>"95/06/09"</f>
        <v>95/06/09</v>
      </c>
      <c r="AE1043" s="1" t="str">
        <f t="shared" si="273"/>
        <v>اختتام</v>
      </c>
      <c r="AF1043" s="1" t="str">
        <f>""</f>
        <v/>
      </c>
      <c r="AG1043" s="1" t="str">
        <f>""</f>
        <v/>
      </c>
      <c r="AH1043" s="1" t="str">
        <f>""</f>
        <v/>
      </c>
      <c r="AI1043" s="1" t="str">
        <f>""</f>
        <v/>
      </c>
      <c r="AJ1043" s="1" t="str">
        <f>""</f>
        <v/>
      </c>
      <c r="AK1043" s="1" t="str">
        <f>""</f>
        <v/>
      </c>
    </row>
    <row r="1044" spans="1:37" x14ac:dyDescent="0.2">
      <c r="A1044" s="1">
        <v>43000</v>
      </c>
      <c r="B1044" s="1">
        <v>951400052</v>
      </c>
      <c r="C1044" s="1" t="str">
        <f>"كرمانشاه -شهرستان صحنه -كارخانه آسفالت دينور"</f>
        <v>كرمانشاه -شهرستان صحنه -كارخانه آسفالت دينور</v>
      </c>
      <c r="D1044" s="1">
        <v>6726</v>
      </c>
      <c r="E1044" s="1">
        <v>41940</v>
      </c>
      <c r="F1044" s="1">
        <v>95</v>
      </c>
      <c r="G1044" s="1">
        <v>1060</v>
      </c>
      <c r="H1044" s="1" t="str">
        <f>"95/05/12"</f>
        <v>95/05/12</v>
      </c>
      <c r="I1044" s="1" t="str">
        <f t="shared" si="269"/>
        <v>كيلوگرم</v>
      </c>
      <c r="J1044" s="1" t="str">
        <f>"0000000091"</f>
        <v>0000000091</v>
      </c>
      <c r="K1044" s="1" t="str">
        <f>"قير  PG64-22"</f>
        <v>قير  PG64-22</v>
      </c>
      <c r="L1044" s="1">
        <v>100</v>
      </c>
      <c r="M1044" s="1" t="str">
        <f t="shared" si="272"/>
        <v>مخازن قير اصفهان</v>
      </c>
      <c r="N1044" s="1">
        <v>10681</v>
      </c>
      <c r="O1044" s="1">
        <v>50031407</v>
      </c>
      <c r="P1044" s="1" t="str">
        <f>"  دره سبزبرناج"</f>
        <v xml:space="preserve">  دره سبزبرناج</v>
      </c>
      <c r="Q1044" s="1">
        <v>14</v>
      </c>
      <c r="R1044" s="1" t="str">
        <f>"فروش داخلي - وزارت راه - حوزه راه روستايي ساخت"</f>
        <v>فروش داخلي - وزارت راه - حوزه راه روستايي ساخت</v>
      </c>
      <c r="S1044" s="1" t="str">
        <f t="shared" si="270"/>
        <v>قرارداد فروش</v>
      </c>
      <c r="T1044" s="1" t="str">
        <f t="shared" si="271"/>
        <v>ندارد</v>
      </c>
      <c r="U1044" s="1" t="str">
        <f>"حاجيلوئي علي اصغر(2842019)"</f>
        <v>حاجيلوئي علي اصغر(2842019)</v>
      </c>
      <c r="V1044" s="1">
        <v>951400052</v>
      </c>
      <c r="W1044" s="1">
        <v>951400052</v>
      </c>
      <c r="X1044" s="1" t="str">
        <f>"1395419834"</f>
        <v>1395419834</v>
      </c>
      <c r="Y1044" s="1" t="str">
        <f>"95/05/12"</f>
        <v>95/05/12</v>
      </c>
      <c r="Z1044" s="1" t="str">
        <f>"19550/510"</f>
        <v>19550/510</v>
      </c>
      <c r="AA1044" s="1" t="str">
        <f>"راه وروستايي -ساخت"</f>
        <v>راه وروستايي -ساخت</v>
      </c>
      <c r="AB1044" s="1" t="str">
        <f>"95/05/03"</f>
        <v>95/05/03</v>
      </c>
      <c r="AC1044" s="1" t="str">
        <f>"استان كرمانشاه"</f>
        <v>استان كرمانشاه</v>
      </c>
      <c r="AD1044" s="1" t="str">
        <f>"95/05/11"</f>
        <v>95/05/11</v>
      </c>
      <c r="AE1044" s="1" t="str">
        <f t="shared" si="273"/>
        <v>اختتام</v>
      </c>
      <c r="AF1044" s="1" t="str">
        <f>""</f>
        <v/>
      </c>
      <c r="AG1044" s="1" t="str">
        <f>""</f>
        <v/>
      </c>
      <c r="AH1044" s="1" t="str">
        <f>""</f>
        <v/>
      </c>
      <c r="AI1044" s="1" t="str">
        <f>""</f>
        <v/>
      </c>
      <c r="AJ1044" s="1" t="str">
        <f>""</f>
        <v/>
      </c>
      <c r="AK1044" s="1" t="str">
        <f>""</f>
        <v/>
      </c>
    </row>
    <row r="1045" spans="1:37" x14ac:dyDescent="0.2">
      <c r="A1045" s="1">
        <v>200000</v>
      </c>
      <c r="B1045" s="1">
        <v>951900111</v>
      </c>
      <c r="C1045" s="1" t="str">
        <f>"تخليه -همدان ملايرجوكاركارخانه روميه شمالي"</f>
        <v>تخليه -همدان ملايرجوكاركارخانه روميه شمالي</v>
      </c>
      <c r="D1045" s="1">
        <v>6726</v>
      </c>
      <c r="E1045" s="1">
        <v>199160</v>
      </c>
      <c r="F1045" s="1">
        <v>95</v>
      </c>
      <c r="G1045" s="1">
        <v>840</v>
      </c>
      <c r="H1045" s="1" t="str">
        <f>"95/05/23"</f>
        <v>95/05/23</v>
      </c>
      <c r="I1045" s="1" t="str">
        <f t="shared" si="269"/>
        <v>كيلوگرم</v>
      </c>
      <c r="J1045" s="1" t="str">
        <f>"0000000091"</f>
        <v>0000000091</v>
      </c>
      <c r="K1045" s="1" t="str">
        <f>"قير  PG64-22"</f>
        <v>قير  PG64-22</v>
      </c>
      <c r="L1045" s="1">
        <v>100</v>
      </c>
      <c r="M1045" s="1" t="str">
        <f t="shared" si="272"/>
        <v>مخازن قير اصفهان</v>
      </c>
      <c r="N1045" s="1">
        <v>11028</v>
      </c>
      <c r="O1045" s="1">
        <v>50031500</v>
      </c>
      <c r="P1045" s="1" t="str">
        <f>"  مهندسي مهدسازه نوين"</f>
        <v xml:space="preserve">  مهندسي مهدسازه نوين</v>
      </c>
      <c r="Q1045" s="1">
        <v>19</v>
      </c>
      <c r="R104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5" s="1" t="str">
        <f t="shared" si="270"/>
        <v>قرارداد فروش</v>
      </c>
      <c r="T1045" s="1" t="str">
        <f t="shared" si="271"/>
        <v>ندارد</v>
      </c>
      <c r="U1045" s="1" t="str">
        <f>"حاجيلوئي علي اصغر(2842019)"</f>
        <v>حاجيلوئي علي اصغر(2842019)</v>
      </c>
      <c r="V1045" s="1">
        <v>951900111</v>
      </c>
      <c r="W1045" s="1">
        <v>951900111</v>
      </c>
      <c r="X1045" s="1" t="str">
        <f>"1395421996"</f>
        <v>1395421996</v>
      </c>
      <c r="Y1045" s="1" t="str">
        <f>"95/05/23"</f>
        <v>95/05/23</v>
      </c>
      <c r="Z1045" s="1" t="str">
        <f>"21517/510"</f>
        <v>21517/510</v>
      </c>
      <c r="AA1045" s="1" t="str">
        <f>"سازمان راهداري وحمل نقل جاده اي"</f>
        <v>سازمان راهداري وحمل نقل جاده اي</v>
      </c>
      <c r="AB1045" s="1" t="str">
        <f>"95/05/13"</f>
        <v>95/05/13</v>
      </c>
      <c r="AC1045" s="1" t="str">
        <f>"استان همدان"</f>
        <v>استان همدان</v>
      </c>
      <c r="AD1045" s="1" t="str">
        <f>"95/05/18"</f>
        <v>95/05/18</v>
      </c>
      <c r="AE1045" s="1" t="str">
        <f t="shared" si="273"/>
        <v>اختتام</v>
      </c>
      <c r="AF1045" s="1" t="str">
        <f>""</f>
        <v/>
      </c>
      <c r="AG1045" s="1" t="str">
        <f>""</f>
        <v/>
      </c>
      <c r="AH1045" s="1" t="str">
        <f>""</f>
        <v/>
      </c>
      <c r="AI1045" s="1" t="str">
        <f>""</f>
        <v/>
      </c>
      <c r="AJ1045" s="1" t="str">
        <f>""</f>
        <v/>
      </c>
      <c r="AK1045" s="1" t="str">
        <f>""</f>
        <v/>
      </c>
    </row>
    <row r="1046" spans="1:37" x14ac:dyDescent="0.2">
      <c r="A1046" s="1">
        <v>1000000</v>
      </c>
      <c r="B1046" s="1">
        <v>951800003</v>
      </c>
      <c r="C1046" s="1" t="str">
        <f>"تخليه -كيلومتر78جاده قم -گرمسار-شركت محمديان"</f>
        <v>تخليه -كيلومتر78جاده قم -گرمسار-شركت محمديان</v>
      </c>
      <c r="D1046" s="1">
        <v>5650</v>
      </c>
      <c r="E1046" s="1">
        <v>1000000</v>
      </c>
      <c r="F1046" s="1">
        <v>95</v>
      </c>
      <c r="G1046" s="1">
        <v>0</v>
      </c>
      <c r="H1046" s="1" t="str">
        <f>"95/02/13"</f>
        <v>95/02/13</v>
      </c>
      <c r="I1046" s="1" t="str">
        <f t="shared" si="269"/>
        <v>كيلوگرم</v>
      </c>
      <c r="J1046" s="1" t="str">
        <f t="shared" ref="J1046:J1052" si="274">"0000000092"</f>
        <v>0000000092</v>
      </c>
      <c r="K1046" s="1" t="str">
        <f t="shared" ref="K1046:K1052" si="275">"قير  PG64-16"</f>
        <v>قير  PG64-16</v>
      </c>
      <c r="L1046" s="1">
        <v>100</v>
      </c>
      <c r="M1046" s="1" t="str">
        <f t="shared" si="272"/>
        <v>مخازن قير اصفهان</v>
      </c>
      <c r="N1046" s="1">
        <v>10333</v>
      </c>
      <c r="O1046" s="1">
        <v>50030704</v>
      </c>
      <c r="P1046" s="1" t="str">
        <f>"  قرارگاه سازندگي خاتم الانبياء-قرب کربلا"</f>
        <v xml:space="preserve">  قرارگاه سازندگي خاتم الانبياء-قرب کربلا</v>
      </c>
      <c r="Q1046" s="1">
        <v>18</v>
      </c>
      <c r="R1046" s="1" t="str">
        <f>"فروش داخلي تهران - وزارت راه - شرکت ساخت و توسعه راهها"</f>
        <v>فروش داخلي تهران - وزارت راه - شرکت ساخت و توسعه راهها</v>
      </c>
      <c r="S1046" s="1" t="str">
        <f t="shared" si="270"/>
        <v>قرارداد فروش</v>
      </c>
      <c r="T1046" s="1" t="str">
        <f t="shared" si="271"/>
        <v>ندارد</v>
      </c>
      <c r="U1046" s="1" t="str">
        <f>"شيشه بر كريم(1841016)"</f>
        <v>شيشه بر كريم(1841016)</v>
      </c>
      <c r="V1046" s="1">
        <v>951800003</v>
      </c>
      <c r="W1046" s="1">
        <v>951800003</v>
      </c>
      <c r="X1046" s="1" t="str">
        <f>"1395401770"</f>
        <v>1395401770</v>
      </c>
      <c r="Y1046" s="1" t="str">
        <f>"95/02/13"</f>
        <v>95/02/13</v>
      </c>
      <c r="Z1046" s="1" t="str">
        <f>"60852/510"</f>
        <v>60852/510</v>
      </c>
      <c r="AA1046" s="1" t="str">
        <f>"شركت  ساخت وتوسعه راهها"</f>
        <v>شركت  ساخت وتوسعه راهها</v>
      </c>
      <c r="AB1046" s="1" t="str">
        <f>"94/11/05"</f>
        <v>94/11/05</v>
      </c>
      <c r="AC1046" s="1" t="str">
        <f>"استان تهران"</f>
        <v>استان تهران</v>
      </c>
      <c r="AD1046" s="1" t="str">
        <f>"95/02/08"</f>
        <v>95/02/08</v>
      </c>
      <c r="AE1046" s="1" t="str">
        <f t="shared" si="273"/>
        <v>اختتام</v>
      </c>
      <c r="AF1046" s="1" t="str">
        <f>""</f>
        <v/>
      </c>
      <c r="AG1046" s="1" t="str">
        <f>""</f>
        <v/>
      </c>
      <c r="AH1046" s="1" t="str">
        <f>""</f>
        <v/>
      </c>
      <c r="AI1046" s="1" t="str">
        <f>""</f>
        <v/>
      </c>
      <c r="AJ1046" s="1" t="str">
        <f>""</f>
        <v/>
      </c>
      <c r="AK1046" s="1" t="str">
        <f>""</f>
        <v/>
      </c>
    </row>
    <row r="1047" spans="1:37" x14ac:dyDescent="0.2">
      <c r="A1047" s="1">
        <v>430000</v>
      </c>
      <c r="B1047" s="1">
        <v>951400077</v>
      </c>
      <c r="C1047" s="1" t="str">
        <f>"تخليه -لرستان -اليگودرز-شول آباد-جنب راهدارخانه -كارخانه آسفالت زيباسازان پايداراراك"</f>
        <v>تخليه -لرستان -اليگودرز-شول آباد-جنب راهدارخانه -كارخانه آسفالت زيباسازان پايداراراك</v>
      </c>
      <c r="D1047" s="1">
        <v>7276</v>
      </c>
      <c r="E1047" s="1">
        <v>324260</v>
      </c>
      <c r="F1047" s="1">
        <v>95</v>
      </c>
      <c r="G1047" s="1">
        <v>105740</v>
      </c>
      <c r="H1047" s="1" t="str">
        <f>"95/07/18"</f>
        <v>95/07/18</v>
      </c>
      <c r="I1047" s="1" t="str">
        <f t="shared" si="269"/>
        <v>كيلوگرم</v>
      </c>
      <c r="J1047" s="1" t="str">
        <f t="shared" si="274"/>
        <v>0000000092</v>
      </c>
      <c r="K1047" s="1" t="str">
        <f t="shared" si="275"/>
        <v>قير  PG64-16</v>
      </c>
      <c r="L1047" s="1">
        <v>100</v>
      </c>
      <c r="M1047" s="1" t="str">
        <f t="shared" si="272"/>
        <v>مخازن قير اصفهان</v>
      </c>
      <c r="N1047" s="1">
        <v>10507</v>
      </c>
      <c r="O1047" s="1">
        <v>50032147</v>
      </c>
      <c r="P1047" s="1" t="str">
        <f>"  زيباسازان پايداراراك"</f>
        <v xml:space="preserve">  زيباسازان پايداراراك</v>
      </c>
      <c r="Q1047" s="1">
        <v>14</v>
      </c>
      <c r="R1047" s="1" t="str">
        <f>"فروش داخلي - وزارت راه - حوزه راه روستايي ساخت"</f>
        <v>فروش داخلي - وزارت راه - حوزه راه روستايي ساخت</v>
      </c>
      <c r="S1047" s="1" t="str">
        <f t="shared" si="270"/>
        <v>قرارداد فروش</v>
      </c>
      <c r="T1047" s="1" t="str">
        <f t="shared" si="271"/>
        <v>ندارد</v>
      </c>
      <c r="U1047" s="1" t="str">
        <f>"اميري علي(2842011)"</f>
        <v>اميري علي(2842011)</v>
      </c>
      <c r="V1047" s="1">
        <v>951400077</v>
      </c>
      <c r="W1047" s="1">
        <v>951400077</v>
      </c>
      <c r="X1047" s="1" t="str">
        <f>"1395436850"</f>
        <v>1395436850</v>
      </c>
      <c r="Y1047" s="1" t="str">
        <f>"95/07/18"</f>
        <v>95/07/18</v>
      </c>
      <c r="Z1047" s="1" t="str">
        <f>"34208/510"</f>
        <v>34208/510</v>
      </c>
      <c r="AA1047" s="1" t="str">
        <f>"راه وروستايي -ساخت"</f>
        <v>راه وروستايي -ساخت</v>
      </c>
      <c r="AB1047" s="1" t="str">
        <f>"95/07/17"</f>
        <v>95/07/17</v>
      </c>
      <c r="AC1047" s="1" t="str">
        <f>"لرستان"</f>
        <v>لرستان</v>
      </c>
      <c r="AD1047" s="1" t="str">
        <f>"95/07/18"</f>
        <v>95/07/18</v>
      </c>
      <c r="AE1047" s="1" t="str">
        <f t="shared" si="273"/>
        <v>اختتام</v>
      </c>
      <c r="AF1047" s="1" t="str">
        <f>""</f>
        <v/>
      </c>
      <c r="AG1047" s="1" t="str">
        <f>""</f>
        <v/>
      </c>
      <c r="AH1047" s="1" t="str">
        <f>""</f>
        <v/>
      </c>
      <c r="AI1047" s="1" t="str">
        <f>""</f>
        <v/>
      </c>
      <c r="AJ1047" s="1" t="str">
        <f>""</f>
        <v/>
      </c>
      <c r="AK1047" s="1" t="str">
        <f>""</f>
        <v/>
      </c>
    </row>
    <row r="1048" spans="1:37" x14ac:dyDescent="0.2">
      <c r="A1048" s="1">
        <v>1200000</v>
      </c>
      <c r="B1048" s="1">
        <v>951900160</v>
      </c>
      <c r="C1048" s="1" t="str">
        <f>"تخليه اصفهان نجف آبادكارخانه زرين سپاهان"</f>
        <v>تخليه اصفهان نجف آبادكارخانه زرين سپاهان</v>
      </c>
      <c r="D1048" s="1">
        <v>7276</v>
      </c>
      <c r="E1048" s="1">
        <v>362560</v>
      </c>
      <c r="F1048" s="1">
        <v>95</v>
      </c>
      <c r="G1048" s="1">
        <v>837440</v>
      </c>
      <c r="H1048" s="1" t="str">
        <f>"95/07/13"</f>
        <v>95/07/13</v>
      </c>
      <c r="I1048" s="1" t="str">
        <f t="shared" si="269"/>
        <v>كيلوگرم</v>
      </c>
      <c r="J1048" s="1" t="str">
        <f t="shared" si="274"/>
        <v>0000000092</v>
      </c>
      <c r="K1048" s="1" t="str">
        <f t="shared" si="275"/>
        <v>قير  PG64-16</v>
      </c>
      <c r="L1048" s="1">
        <v>100</v>
      </c>
      <c r="M1048" s="1" t="str">
        <f t="shared" si="272"/>
        <v>مخازن قير اصفهان</v>
      </c>
      <c r="N1048" s="1">
        <v>10541</v>
      </c>
      <c r="O1048" s="1">
        <v>50032077</v>
      </c>
      <c r="P1048" s="1" t="str">
        <f>"  سماگستربناتهران"</f>
        <v xml:space="preserve">  سماگستربناتهران</v>
      </c>
      <c r="Q1048" s="1">
        <v>19</v>
      </c>
      <c r="R10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8" s="1" t="str">
        <f t="shared" si="270"/>
        <v>قرارداد فروش</v>
      </c>
      <c r="T1048" s="1" t="str">
        <f t="shared" si="271"/>
        <v>ندارد</v>
      </c>
      <c r="U1048" s="1" t="str">
        <f>"غلام نجفي سيامك‌‌‌‌‌‌(1881082)"</f>
        <v>غلام نجفي سيامك‌‌‌‌‌‌(1881082)</v>
      </c>
      <c r="V1048" s="1">
        <v>951900160</v>
      </c>
      <c r="W1048" s="1">
        <v>951900160</v>
      </c>
      <c r="X1048" s="1" t="str">
        <f>"1395435603"</f>
        <v>1395435603</v>
      </c>
      <c r="Y1048" s="1" t="str">
        <f>"95/07/13"</f>
        <v>95/07/13</v>
      </c>
      <c r="Z1048" s="1" t="str">
        <f>"32930/510"</f>
        <v>32930/510</v>
      </c>
      <c r="AA1048" s="1" t="str">
        <f>"سازمان راهداري وحمل نقل جاده اي"</f>
        <v>سازمان راهداري وحمل نقل جاده اي</v>
      </c>
      <c r="AB1048" s="1" t="str">
        <f>"95/07/11"</f>
        <v>95/07/11</v>
      </c>
      <c r="AC1048" s="1" t="str">
        <f>"استان اصفهان"</f>
        <v>استان اصفهان</v>
      </c>
      <c r="AD1048" s="1" t="str">
        <f>"95/07/13"</f>
        <v>95/07/13</v>
      </c>
      <c r="AE1048" s="1" t="str">
        <f t="shared" si="273"/>
        <v>اختتام</v>
      </c>
      <c r="AF1048" s="1" t="str">
        <f>""</f>
        <v/>
      </c>
      <c r="AG1048" s="1" t="str">
        <f>""</f>
        <v/>
      </c>
      <c r="AH1048" s="1" t="str">
        <f>""</f>
        <v/>
      </c>
      <c r="AI1048" s="1" t="str">
        <f>""</f>
        <v/>
      </c>
      <c r="AJ1048" s="1" t="str">
        <f>""</f>
        <v/>
      </c>
      <c r="AK1048" s="1" t="str">
        <f>""</f>
        <v/>
      </c>
    </row>
    <row r="1049" spans="1:37" x14ac:dyDescent="0.2">
      <c r="A1049" s="1">
        <v>837440</v>
      </c>
      <c r="B1049" s="1">
        <v>951900182</v>
      </c>
      <c r="C1049" s="1" t="str">
        <f>"تخليه اصفهان نجف آبادكارخانه زرين سپاهان"</f>
        <v>تخليه اصفهان نجف آبادكارخانه زرين سپاهان</v>
      </c>
      <c r="D1049" s="1">
        <v>8323</v>
      </c>
      <c r="E1049" s="1">
        <v>837200</v>
      </c>
      <c r="F1049" s="1">
        <v>95</v>
      </c>
      <c r="G1049" s="1">
        <v>240</v>
      </c>
      <c r="H1049" s="1" t="str">
        <f>"95/08/06"</f>
        <v>95/08/06</v>
      </c>
      <c r="I1049" s="1" t="str">
        <f t="shared" si="269"/>
        <v>كيلوگرم</v>
      </c>
      <c r="J1049" s="1" t="str">
        <f t="shared" si="274"/>
        <v>0000000092</v>
      </c>
      <c r="K1049" s="1" t="str">
        <f t="shared" si="275"/>
        <v>قير  PG64-16</v>
      </c>
      <c r="L1049" s="1">
        <v>100</v>
      </c>
      <c r="M1049" s="1" t="str">
        <f t="shared" si="272"/>
        <v>مخازن قير اصفهان</v>
      </c>
      <c r="N1049" s="1">
        <v>10541</v>
      </c>
      <c r="O1049" s="1">
        <v>50032322</v>
      </c>
      <c r="P1049" s="1" t="str">
        <f>"  سماگستربناتهران"</f>
        <v xml:space="preserve">  سماگستربناتهران</v>
      </c>
      <c r="Q1049" s="1">
        <v>19</v>
      </c>
      <c r="R10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9" s="1" t="str">
        <f t="shared" si="270"/>
        <v>قرارداد فروش</v>
      </c>
      <c r="T1049" s="1" t="str">
        <f t="shared" si="271"/>
        <v>ندارد</v>
      </c>
      <c r="U1049" s="1" t="str">
        <f>"غلام نجفي سيامك‌‌‌‌‌‌(1881082)"</f>
        <v>غلام نجفي سيامك‌‌‌‌‌‌(1881082)</v>
      </c>
      <c r="V1049" s="1">
        <v>951900182</v>
      </c>
      <c r="W1049" s="1">
        <v>951900182</v>
      </c>
      <c r="X1049" s="1" t="str">
        <f>"1395435603"</f>
        <v>1395435603</v>
      </c>
      <c r="Y1049" s="1" t="str">
        <f>"95/08/06"</f>
        <v>95/08/06</v>
      </c>
      <c r="Z1049" s="1" t="str">
        <f>"32930/510"</f>
        <v>32930/510</v>
      </c>
      <c r="AA1049" s="1" t="str">
        <f>"سازمان راهداري وحمل نقل جاده اي"</f>
        <v>سازمان راهداري وحمل نقل جاده اي</v>
      </c>
      <c r="AB1049" s="1" t="str">
        <f>"95/07/11"</f>
        <v>95/07/11</v>
      </c>
      <c r="AC1049" s="1" t="str">
        <f>"استان كرمان"</f>
        <v>استان كرمان</v>
      </c>
      <c r="AD1049" s="1" t="str">
        <f>"95/07/13"</f>
        <v>95/07/13</v>
      </c>
      <c r="AE1049" s="1" t="str">
        <f t="shared" si="273"/>
        <v>اختتام</v>
      </c>
      <c r="AF1049" s="1" t="str">
        <f>""</f>
        <v/>
      </c>
      <c r="AG1049" s="1" t="str">
        <f>""</f>
        <v/>
      </c>
      <c r="AH1049" s="1" t="str">
        <f>""</f>
        <v/>
      </c>
      <c r="AI1049" s="1" t="str">
        <f>""</f>
        <v/>
      </c>
      <c r="AJ1049" s="1" t="str">
        <f>""</f>
        <v/>
      </c>
      <c r="AK1049" s="1" t="str">
        <f>""</f>
        <v/>
      </c>
    </row>
    <row r="1050" spans="1:37" x14ac:dyDescent="0.2">
      <c r="A1050" s="1">
        <v>342000</v>
      </c>
      <c r="B1050" s="1">
        <v>951400105</v>
      </c>
      <c r="C1050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050" s="1">
        <v>9061</v>
      </c>
      <c r="E1050" s="1">
        <v>342000</v>
      </c>
      <c r="F1050" s="1">
        <v>95</v>
      </c>
      <c r="G1050" s="1">
        <v>0</v>
      </c>
      <c r="H1050" s="1" t="str">
        <f>"95/10/07"</f>
        <v>95/10/07</v>
      </c>
      <c r="I1050" s="1" t="str">
        <f t="shared" si="269"/>
        <v>كيلوگرم</v>
      </c>
      <c r="J1050" s="1" t="str">
        <f t="shared" si="274"/>
        <v>0000000092</v>
      </c>
      <c r="K1050" s="1" t="str">
        <f t="shared" si="275"/>
        <v>قير  PG64-16</v>
      </c>
      <c r="L1050" s="1">
        <v>100</v>
      </c>
      <c r="M1050" s="1" t="str">
        <f t="shared" si="272"/>
        <v>مخازن قير اصفهان</v>
      </c>
      <c r="N1050" s="1">
        <v>10547</v>
      </c>
      <c r="O1050" s="1">
        <v>50033189</v>
      </c>
      <c r="P1050" s="1" t="str">
        <f>"  پي و پل جنوب"</f>
        <v xml:space="preserve">  پي و پل جنوب</v>
      </c>
      <c r="Q1050" s="1">
        <v>14</v>
      </c>
      <c r="R1050" s="1" t="str">
        <f>"فروش داخلي - وزارت راه - حوزه راه روستايي ساخت"</f>
        <v>فروش داخلي - وزارت راه - حوزه راه روستايي ساخت</v>
      </c>
      <c r="S1050" s="1" t="str">
        <f t="shared" si="270"/>
        <v>قرارداد فروش</v>
      </c>
      <c r="T1050" s="1" t="str">
        <f t="shared" si="271"/>
        <v>ندارد</v>
      </c>
      <c r="U1050" s="1" t="str">
        <f>"قره باغي مجيد(1871065)"</f>
        <v>قره باغي مجيد(1871065)</v>
      </c>
      <c r="V1050" s="1">
        <v>951400105</v>
      </c>
      <c r="W1050" s="1">
        <v>951400105</v>
      </c>
      <c r="X1050" s="1" t="str">
        <f>"1395454587"</f>
        <v>1395454587</v>
      </c>
      <c r="Y1050" s="1" t="str">
        <f>"95/10/07"</f>
        <v>95/10/07</v>
      </c>
      <c r="Z1050" s="1" t="str">
        <f>"45718/710"</f>
        <v>45718/710</v>
      </c>
      <c r="AA1050" s="1" t="str">
        <f>"راه وروستايي -ساخت"</f>
        <v>راه وروستايي -ساخت</v>
      </c>
      <c r="AB1050" s="1" t="str">
        <f>"95/09/21"</f>
        <v>95/09/21</v>
      </c>
      <c r="AC1050" s="1" t="str">
        <f>"استان هرمزگان"</f>
        <v>استان هرمزگان</v>
      </c>
      <c r="AD1050" s="1" t="str">
        <f>"95/10/06"</f>
        <v>95/10/06</v>
      </c>
      <c r="AE1050" s="1" t="str">
        <f t="shared" si="273"/>
        <v>اختتام</v>
      </c>
      <c r="AF1050" s="1" t="str">
        <f>""</f>
        <v/>
      </c>
      <c r="AG1050" s="1" t="str">
        <f>""</f>
        <v/>
      </c>
      <c r="AH1050" s="1" t="str">
        <f>""</f>
        <v/>
      </c>
      <c r="AI1050" s="1" t="str">
        <f>""</f>
        <v/>
      </c>
      <c r="AJ1050" s="1" t="str">
        <f>""</f>
        <v/>
      </c>
      <c r="AK1050" s="1" t="str">
        <f>""</f>
        <v/>
      </c>
    </row>
    <row r="1051" spans="1:37" x14ac:dyDescent="0.2">
      <c r="A1051" s="1">
        <v>1000000</v>
      </c>
      <c r="B1051" s="1">
        <v>951900305</v>
      </c>
      <c r="C1051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051" s="1">
        <v>8348</v>
      </c>
      <c r="E1051" s="1">
        <v>1000000</v>
      </c>
      <c r="F1051" s="1">
        <v>95</v>
      </c>
      <c r="G1051" s="1">
        <v>0</v>
      </c>
      <c r="H1051" s="1" t="str">
        <f>"95/12/23"</f>
        <v>95/12/23</v>
      </c>
      <c r="I1051" s="1" t="str">
        <f t="shared" si="269"/>
        <v>كيلوگرم</v>
      </c>
      <c r="J1051" s="1" t="str">
        <f t="shared" si="274"/>
        <v>0000000092</v>
      </c>
      <c r="K1051" s="1" t="str">
        <f t="shared" si="275"/>
        <v>قير  PG64-16</v>
      </c>
      <c r="L1051" s="1">
        <v>100</v>
      </c>
      <c r="M1051" s="1" t="str">
        <f t="shared" si="272"/>
        <v>مخازن قير اصفهان</v>
      </c>
      <c r="N1051" s="1">
        <v>10547</v>
      </c>
      <c r="O1051" s="1">
        <v>50034150</v>
      </c>
      <c r="P1051" s="1" t="str">
        <f>"  پي و پل جنوب"</f>
        <v xml:space="preserve">  پي و پل جنوب</v>
      </c>
      <c r="Q1051" s="1">
        <v>19</v>
      </c>
      <c r="R10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1" s="1" t="str">
        <f t="shared" si="270"/>
        <v>قرارداد فروش</v>
      </c>
      <c r="T1051" s="1" t="str">
        <f t="shared" si="271"/>
        <v>ندارد</v>
      </c>
      <c r="U1051" s="1" t="str">
        <f>"قره باغي مجيد(1871065)"</f>
        <v>قره باغي مجيد(1871065)</v>
      </c>
      <c r="V1051" s="1">
        <v>951900305</v>
      </c>
      <c r="W1051" s="1">
        <v>951900305</v>
      </c>
      <c r="X1051" s="1" t="str">
        <f>"1395470873"</f>
        <v>1395470873</v>
      </c>
      <c r="Y1051" s="1" t="str">
        <f>"95/12/23"</f>
        <v>95/12/23</v>
      </c>
      <c r="Z1051" s="1" t="str">
        <f>"65646/710"</f>
        <v>65646/710</v>
      </c>
      <c r="AA1051" s="1" t="str">
        <f>"سازمان راهداري وحمل نقل جاده اي"</f>
        <v>سازمان راهداري وحمل نقل جاده اي</v>
      </c>
      <c r="AB1051" s="1" t="str">
        <f>"95/12/22"</f>
        <v>95/12/22</v>
      </c>
      <c r="AC1051" s="1" t="str">
        <f>"استان هرمزگان"</f>
        <v>استان هرمزگان</v>
      </c>
      <c r="AD1051" s="1" t="str">
        <f>"95/12/23"</f>
        <v>95/12/23</v>
      </c>
      <c r="AE1051" s="1" t="str">
        <f t="shared" si="273"/>
        <v>اختتام</v>
      </c>
      <c r="AF1051" s="1" t="str">
        <f>""</f>
        <v/>
      </c>
      <c r="AG1051" s="1" t="str">
        <f>""</f>
        <v/>
      </c>
      <c r="AH1051" s="1" t="str">
        <f>""</f>
        <v/>
      </c>
      <c r="AI1051" s="1" t="str">
        <f>""</f>
        <v/>
      </c>
      <c r="AJ1051" s="1" t="str">
        <f>""</f>
        <v/>
      </c>
      <c r="AK1051" s="1" t="str">
        <f>""</f>
        <v/>
      </c>
    </row>
    <row r="1052" spans="1:37" x14ac:dyDescent="0.2">
      <c r="A1052" s="1">
        <v>1000000</v>
      </c>
      <c r="B1052" s="1">
        <v>951700357</v>
      </c>
      <c r="C1052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052" s="1">
        <v>8348</v>
      </c>
      <c r="E1052" s="1">
        <v>1000000</v>
      </c>
      <c r="F1052" s="1">
        <v>95</v>
      </c>
      <c r="G1052" s="1">
        <v>0</v>
      </c>
      <c r="H1052" s="1" t="str">
        <f>"95/12/23"</f>
        <v>95/12/23</v>
      </c>
      <c r="I1052" s="1" t="str">
        <f t="shared" si="269"/>
        <v>كيلوگرم</v>
      </c>
      <c r="J1052" s="1" t="str">
        <f t="shared" si="274"/>
        <v>0000000092</v>
      </c>
      <c r="K1052" s="1" t="str">
        <f t="shared" si="275"/>
        <v>قير  PG64-16</v>
      </c>
      <c r="L1052" s="1">
        <v>100</v>
      </c>
      <c r="M1052" s="1" t="str">
        <f t="shared" si="272"/>
        <v>مخازن قير اصفهان</v>
      </c>
      <c r="N1052" s="1">
        <v>10547</v>
      </c>
      <c r="O1052" s="1">
        <v>50034188</v>
      </c>
      <c r="P1052" s="1" t="str">
        <f>"  پي و پل جنوب"</f>
        <v xml:space="preserve">  پي و پل جنوب</v>
      </c>
      <c r="Q1052" s="1">
        <v>17</v>
      </c>
      <c r="R1052" s="1" t="str">
        <f>"فروش داخلي تهران - وزارت راه - راه روستايي - روکش"</f>
        <v>فروش داخلي تهران - وزارت راه - راه روستايي - روکش</v>
      </c>
      <c r="S1052" s="1" t="str">
        <f t="shared" si="270"/>
        <v>قرارداد فروش</v>
      </c>
      <c r="T1052" s="1" t="str">
        <f t="shared" si="271"/>
        <v>ندارد</v>
      </c>
      <c r="U1052" s="1" t="str">
        <f>"قره باغي مجيد(1871065)"</f>
        <v>قره باغي مجيد(1871065)</v>
      </c>
      <c r="V1052" s="1">
        <v>951700357</v>
      </c>
      <c r="W1052" s="1">
        <v>951700357</v>
      </c>
      <c r="X1052" s="1" t="str">
        <f>"1395470873"</f>
        <v>1395470873</v>
      </c>
      <c r="Y1052" s="1" t="str">
        <f>"95/12/23"</f>
        <v>95/12/23</v>
      </c>
      <c r="Z1052" s="1" t="str">
        <f>"65659/710"</f>
        <v>65659/710</v>
      </c>
      <c r="AA1052" s="1" t="str">
        <f>"راه روستائي -روكش"</f>
        <v>راه روستائي -روكش</v>
      </c>
      <c r="AB1052" s="1" t="str">
        <f>"95/12/22"</f>
        <v>95/12/22</v>
      </c>
      <c r="AC1052" s="1" t="str">
        <f>"استان هرمزگان"</f>
        <v>استان هرمزگان</v>
      </c>
      <c r="AD1052" s="1" t="str">
        <f>"95/12/23"</f>
        <v>95/12/23</v>
      </c>
      <c r="AE1052" s="1" t="str">
        <f t="shared" si="273"/>
        <v>اختتام</v>
      </c>
      <c r="AF1052" s="1" t="str">
        <f>""</f>
        <v/>
      </c>
      <c r="AG1052" s="1" t="str">
        <f>""</f>
        <v/>
      </c>
      <c r="AH1052" s="1" t="str">
        <f>""</f>
        <v/>
      </c>
      <c r="AI1052" s="1" t="str">
        <f>""</f>
        <v/>
      </c>
      <c r="AJ1052" s="1" t="str">
        <f>""</f>
        <v/>
      </c>
      <c r="AK1052" s="1" t="str">
        <f>""</f>
        <v/>
      </c>
    </row>
    <row r="1053" spans="1:37" x14ac:dyDescent="0.2">
      <c r="A1053" s="1">
        <v>500000</v>
      </c>
      <c r="B1053" s="1">
        <v>951900140</v>
      </c>
      <c r="C1053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1053" s="1">
        <v>7176</v>
      </c>
      <c r="E1053" s="1">
        <v>500000</v>
      </c>
      <c r="F1053" s="1">
        <v>95</v>
      </c>
      <c r="G1053" s="1">
        <v>0</v>
      </c>
      <c r="H1053" s="1" t="str">
        <f>"95/06/09"</f>
        <v>95/06/09</v>
      </c>
      <c r="I1053" s="1" t="str">
        <f t="shared" si="269"/>
        <v>كيلوگرم</v>
      </c>
      <c r="J1053" s="1" t="str">
        <f>"0000000091"</f>
        <v>0000000091</v>
      </c>
      <c r="K1053" s="1" t="str">
        <f>"قير  PG64-22"</f>
        <v>قير  PG64-22</v>
      </c>
      <c r="L1053" s="1">
        <v>100</v>
      </c>
      <c r="M1053" s="1" t="str">
        <f t="shared" si="272"/>
        <v>مخازن قير اصفهان</v>
      </c>
      <c r="N1053" s="1">
        <v>9143</v>
      </c>
      <c r="O1053" s="1">
        <v>50031730</v>
      </c>
      <c r="P1053" s="1" t="str">
        <f>"  بتن پيكر زاگرس"</f>
        <v xml:space="preserve">  بتن پيكر زاگرس</v>
      </c>
      <c r="Q1053" s="1">
        <v>19</v>
      </c>
      <c r="R105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3" s="1" t="str">
        <f t="shared" si="270"/>
        <v>قرارداد فروش</v>
      </c>
      <c r="T1053" s="1" t="str">
        <f t="shared" si="271"/>
        <v>ندارد</v>
      </c>
      <c r="U1053" s="1" t="str">
        <f>"تعاوني جم گستر (1001 ج 89)"</f>
        <v>تعاوني جم گستر (1001 ج 89)</v>
      </c>
      <c r="V1053" s="1">
        <v>951900140</v>
      </c>
      <c r="W1053" s="1">
        <v>951900140</v>
      </c>
      <c r="X1053" s="1" t="str">
        <f>"1395427787"</f>
        <v>1395427787</v>
      </c>
      <c r="Y1053" s="1" t="str">
        <f>"95/06/09"</f>
        <v>95/06/09</v>
      </c>
      <c r="Z1053" s="1" t="str">
        <f>"26670/510"</f>
        <v>26670/510</v>
      </c>
      <c r="AA1053" s="1" t="str">
        <f>"سازمان راهداري وحمل نقل جاده اي"</f>
        <v>سازمان راهداري وحمل نقل جاده اي</v>
      </c>
      <c r="AB1053" s="1" t="str">
        <f>"95/06/08"</f>
        <v>95/06/08</v>
      </c>
      <c r="AC1053" s="1" t="str">
        <f>"استان كرمانشاه"</f>
        <v>استان كرمانشاه</v>
      </c>
      <c r="AD1053" s="1" t="str">
        <f>"95/06/09"</f>
        <v>95/06/09</v>
      </c>
      <c r="AE1053" s="1" t="str">
        <f t="shared" si="273"/>
        <v>اختتام</v>
      </c>
      <c r="AF1053" s="1" t="str">
        <f>""</f>
        <v/>
      </c>
      <c r="AG1053" s="1" t="str">
        <f>""</f>
        <v/>
      </c>
      <c r="AH1053" s="1" t="str">
        <f>""</f>
        <v/>
      </c>
      <c r="AI1053" s="1" t="str">
        <f>""</f>
        <v/>
      </c>
      <c r="AJ1053" s="1" t="str">
        <f>""</f>
        <v/>
      </c>
      <c r="AK1053" s="1" t="str">
        <f>""</f>
        <v/>
      </c>
    </row>
    <row r="1054" spans="1:37" x14ac:dyDescent="0.2">
      <c r="A1054" s="1">
        <v>1500000</v>
      </c>
      <c r="B1054" s="1">
        <v>951900315</v>
      </c>
      <c r="C1054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1054" s="1">
        <v>9068</v>
      </c>
      <c r="E1054" s="1">
        <v>1498880</v>
      </c>
      <c r="F1054" s="1">
        <v>95</v>
      </c>
      <c r="G1054" s="1">
        <v>1120</v>
      </c>
      <c r="H1054" s="1" t="str">
        <f>"95/12/25"</f>
        <v>95/12/25</v>
      </c>
      <c r="I1054" s="1" t="str">
        <f t="shared" si="269"/>
        <v>كيلوگرم</v>
      </c>
      <c r="J1054" s="1" t="str">
        <f>"0000000091"</f>
        <v>0000000091</v>
      </c>
      <c r="K1054" s="1" t="str">
        <f>"قير  PG64-22"</f>
        <v>قير  PG64-22</v>
      </c>
      <c r="L1054" s="1">
        <v>100</v>
      </c>
      <c r="M1054" s="1" t="str">
        <f t="shared" si="272"/>
        <v>مخازن قير اصفهان</v>
      </c>
      <c r="N1054" s="1">
        <v>9143</v>
      </c>
      <c r="O1054" s="1">
        <v>50034255</v>
      </c>
      <c r="P1054" s="1" t="str">
        <f>"  بتن پيكر زاگرس"</f>
        <v xml:space="preserve">  بتن پيكر زاگرس</v>
      </c>
      <c r="Q1054" s="1">
        <v>19</v>
      </c>
      <c r="R10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4" s="1" t="str">
        <f t="shared" si="270"/>
        <v>قرارداد فروش</v>
      </c>
      <c r="T1054" s="1" t="str">
        <f t="shared" si="271"/>
        <v>ندارد</v>
      </c>
      <c r="U1054" s="1" t="str">
        <f>"قره باغي مجيد(1871065)"</f>
        <v>قره باغي مجيد(1871065)</v>
      </c>
      <c r="V1054" s="1">
        <v>951900315</v>
      </c>
      <c r="W1054" s="1">
        <v>951900315</v>
      </c>
      <c r="X1054" s="1" t="str">
        <f>"1395471038"</f>
        <v>1395471038</v>
      </c>
      <c r="Y1054" s="1" t="str">
        <f>"95/12/25"</f>
        <v>95/12/25</v>
      </c>
      <c r="Z1054" s="1" t="str">
        <f>"66492/710"</f>
        <v>66492/710</v>
      </c>
      <c r="AA1054" s="1" t="str">
        <f>"سازمان راهداري وحمل نقل جاده اي"</f>
        <v>سازمان راهداري وحمل نقل جاده اي</v>
      </c>
      <c r="AB1054" s="1" t="str">
        <f>"95/12/24"</f>
        <v>95/12/24</v>
      </c>
      <c r="AC1054" s="1" t="str">
        <f>"استان كرمانشاه"</f>
        <v>استان كرمانشاه</v>
      </c>
      <c r="AD1054" s="1" t="str">
        <f>"95/12/25"</f>
        <v>95/12/25</v>
      </c>
      <c r="AE1054" s="1" t="str">
        <f t="shared" si="273"/>
        <v>اختتام</v>
      </c>
      <c r="AF1054" s="1" t="str">
        <f>""</f>
        <v/>
      </c>
      <c r="AG1054" s="1" t="str">
        <f>""</f>
        <v/>
      </c>
      <c r="AH1054" s="1" t="str">
        <f>""</f>
        <v/>
      </c>
      <c r="AI1054" s="1" t="str">
        <f>""</f>
        <v/>
      </c>
      <c r="AJ1054" s="1" t="str">
        <f>""</f>
        <v/>
      </c>
      <c r="AK1054" s="1" t="str">
        <f>""</f>
        <v/>
      </c>
    </row>
    <row r="1055" spans="1:37" x14ac:dyDescent="0.2">
      <c r="A1055" s="1">
        <v>315000</v>
      </c>
      <c r="B1055" s="1">
        <v>951700104</v>
      </c>
      <c r="C1055" s="1" t="str">
        <f>"تخليه -قم -جعفريه - بعد از ناحيه صنعتي طغرودكارخانه آسفالت مهرگازران"</f>
        <v>تخليه -قم -جعفريه - بعد از ناحيه صنعتي طغرودكارخانه آسفالت مهرگازران</v>
      </c>
      <c r="D1055" s="1">
        <v>6250</v>
      </c>
      <c r="E1055" s="1">
        <v>314300</v>
      </c>
      <c r="F1055" s="1">
        <v>95</v>
      </c>
      <c r="G1055" s="1">
        <v>700</v>
      </c>
      <c r="H1055" s="1" t="str">
        <f>"95/04/21"</f>
        <v>95/04/21</v>
      </c>
      <c r="I1055" s="1" t="str">
        <f t="shared" si="269"/>
        <v>كيلوگرم</v>
      </c>
      <c r="J1055" s="1" t="str">
        <f>"0000000091"</f>
        <v>0000000091</v>
      </c>
      <c r="K1055" s="1" t="str">
        <f>"قير  PG64-22"</f>
        <v>قير  PG64-22</v>
      </c>
      <c r="L1055" s="1">
        <v>100</v>
      </c>
      <c r="M1055" s="1" t="str">
        <f t="shared" si="272"/>
        <v>مخازن قير اصفهان</v>
      </c>
      <c r="N1055" s="1">
        <v>9441</v>
      </c>
      <c r="O1055" s="1">
        <v>50031253</v>
      </c>
      <c r="P1055" s="1" t="str">
        <f>"  راه وساختمان مهرگازران"</f>
        <v xml:space="preserve">  راه وساختمان مهرگازران</v>
      </c>
      <c r="Q1055" s="1">
        <v>17</v>
      </c>
      <c r="R1055" s="1" t="str">
        <f>"فروش داخلي تهران - وزارت راه - راه روستايي - روکش"</f>
        <v>فروش داخلي تهران - وزارت راه - راه روستايي - روکش</v>
      </c>
      <c r="S1055" s="1" t="str">
        <f t="shared" si="270"/>
        <v>قرارداد فروش</v>
      </c>
      <c r="T1055" s="1" t="str">
        <f t="shared" si="271"/>
        <v>ندارد</v>
      </c>
      <c r="U1055" s="1" t="str">
        <f>"اميري علي(2842011)"</f>
        <v>اميري علي(2842011)</v>
      </c>
      <c r="V1055" s="1">
        <v>951700104</v>
      </c>
      <c r="W1055" s="1">
        <v>951700104</v>
      </c>
      <c r="X1055" s="1" t="str">
        <f>"1395414125"</f>
        <v>1395414125</v>
      </c>
      <c r="Y1055" s="1" t="str">
        <f>"95/04/20"</f>
        <v>95/04/20</v>
      </c>
      <c r="Z1055" s="1" t="str">
        <f>"16008/510"</f>
        <v>16008/510</v>
      </c>
      <c r="AA1055" s="1" t="str">
        <f>"راه روستائي -روكش"</f>
        <v>راه روستائي -روكش</v>
      </c>
      <c r="AB1055" s="1" t="str">
        <f>"95/04/14"</f>
        <v>95/04/14</v>
      </c>
      <c r="AC1055" s="1" t="str">
        <f>"قم"</f>
        <v>قم</v>
      </c>
      <c r="AD1055" s="1" t="str">
        <f>"95/04/19"</f>
        <v>95/04/19</v>
      </c>
      <c r="AE1055" s="1" t="str">
        <f t="shared" si="273"/>
        <v>اختتام</v>
      </c>
      <c r="AF1055" s="1" t="str">
        <f>""</f>
        <v/>
      </c>
      <c r="AG1055" s="1" t="str">
        <f>""</f>
        <v/>
      </c>
      <c r="AH1055" s="1" t="str">
        <f>""</f>
        <v/>
      </c>
      <c r="AI1055" s="1" t="str">
        <f>""</f>
        <v/>
      </c>
      <c r="AJ1055" s="1" t="str">
        <f>""</f>
        <v/>
      </c>
      <c r="AK1055" s="1" t="str">
        <f>""</f>
        <v/>
      </c>
    </row>
    <row r="1056" spans="1:37" x14ac:dyDescent="0.2">
      <c r="A1056" s="1">
        <v>116000</v>
      </c>
      <c r="B1056" s="1">
        <v>951400048</v>
      </c>
      <c r="C1056" s="1" t="str">
        <f>"تخليه- ياسوج-کارخانه آسفالت دارشاهي"</f>
        <v>تخليه- ياسوج-کارخانه آسفالت دارشاهي</v>
      </c>
      <c r="D1056" s="1">
        <v>6726</v>
      </c>
      <c r="E1056" s="1">
        <v>115140</v>
      </c>
      <c r="F1056" s="1">
        <v>95</v>
      </c>
      <c r="G1056" s="1">
        <v>860</v>
      </c>
      <c r="H1056" s="1" t="str">
        <f>"95/05/05"</f>
        <v>95/05/05</v>
      </c>
      <c r="I1056" s="1" t="str">
        <f t="shared" si="269"/>
        <v>كيلوگرم</v>
      </c>
      <c r="J1056" s="1" t="str">
        <f>"0000000093"</f>
        <v>0000000093</v>
      </c>
      <c r="K1056" s="1" t="str">
        <f>"قير  PG64-10"</f>
        <v>قير  PG64-10</v>
      </c>
      <c r="L1056" s="1">
        <v>100</v>
      </c>
      <c r="M1056" s="1" t="str">
        <f t="shared" si="272"/>
        <v>مخازن قير اصفهان</v>
      </c>
      <c r="N1056" s="1">
        <v>11043</v>
      </c>
      <c r="O1056" s="1">
        <v>50031359</v>
      </c>
      <c r="P1056" s="1" t="str">
        <f>"  كاوه كاركوهستان"</f>
        <v xml:space="preserve">  كاوه كاركوهستان</v>
      </c>
      <c r="Q1056" s="1">
        <v>14</v>
      </c>
      <c r="R1056" s="1" t="str">
        <f>"فروش داخلي - وزارت راه - حوزه راه روستايي ساخت"</f>
        <v>فروش داخلي - وزارت راه - حوزه راه روستايي ساخت</v>
      </c>
      <c r="S1056" s="1" t="str">
        <f t="shared" si="270"/>
        <v>قرارداد فروش</v>
      </c>
      <c r="T1056" s="1" t="str">
        <f t="shared" si="271"/>
        <v>ندارد</v>
      </c>
      <c r="U1056" s="1" t="str">
        <f>"غلام نجفي سيامك‌‌‌‌‌‌(1881082)"</f>
        <v>غلام نجفي سيامك‌‌‌‌‌‌(1881082)</v>
      </c>
      <c r="V1056" s="1">
        <v>951400048</v>
      </c>
      <c r="W1056" s="1">
        <v>951400048</v>
      </c>
      <c r="X1056" s="1" t="str">
        <f>"1395418063"</f>
        <v>1395418063</v>
      </c>
      <c r="Y1056" s="1" t="str">
        <f>"95/05/05"</f>
        <v>95/05/05</v>
      </c>
      <c r="Z1056" s="1" t="str">
        <f>"19444/510"</f>
        <v>19444/510</v>
      </c>
      <c r="AA1056" s="1" t="str">
        <f>"راه وروستايي -ساخت"</f>
        <v>راه وروستايي -ساخت</v>
      </c>
      <c r="AB1056" s="1" t="str">
        <f>"95/05/03"</f>
        <v>95/05/03</v>
      </c>
      <c r="AC1056" s="1" t="str">
        <f>"كهكيلويه و بوير احمد"</f>
        <v>كهكيلويه و بوير احمد</v>
      </c>
      <c r="AD1056" s="1" t="str">
        <f>"95/05/05"</f>
        <v>95/05/05</v>
      </c>
      <c r="AE1056" s="1" t="str">
        <f t="shared" si="273"/>
        <v>اختتام</v>
      </c>
      <c r="AF1056" s="1" t="str">
        <f>""</f>
        <v/>
      </c>
      <c r="AG1056" s="1" t="str">
        <f>""</f>
        <v/>
      </c>
      <c r="AH1056" s="1" t="str">
        <f>""</f>
        <v/>
      </c>
      <c r="AI1056" s="1" t="str">
        <f>""</f>
        <v/>
      </c>
      <c r="AJ1056" s="1" t="str">
        <f>""</f>
        <v/>
      </c>
      <c r="AK1056" s="1" t="str">
        <f>""</f>
        <v/>
      </c>
    </row>
    <row r="1057" spans="1:37" x14ac:dyDescent="0.2">
      <c r="A1057" s="1">
        <v>108320</v>
      </c>
      <c r="B1057" s="1">
        <v>951900180</v>
      </c>
      <c r="C1057" s="1" t="str">
        <f>"تخليه- ياسوج کارخانه دارشاهي"</f>
        <v>تخليه- ياسوج کارخانه دارشاهي</v>
      </c>
      <c r="D1057" s="1">
        <v>8323</v>
      </c>
      <c r="E1057" s="1">
        <v>107920</v>
      </c>
      <c r="F1057" s="1">
        <v>95</v>
      </c>
      <c r="G1057" s="1">
        <v>400</v>
      </c>
      <c r="H1057" s="1" t="str">
        <f>"95/08/06"</f>
        <v>95/08/06</v>
      </c>
      <c r="I1057" s="1" t="str">
        <f t="shared" si="269"/>
        <v>كيلوگرم</v>
      </c>
      <c r="J1057" s="1" t="str">
        <f>"0000000093"</f>
        <v>0000000093</v>
      </c>
      <c r="K1057" s="1" t="str">
        <f>"قير  PG64-10"</f>
        <v>قير  PG64-10</v>
      </c>
      <c r="L1057" s="1">
        <v>100</v>
      </c>
      <c r="M1057" s="1" t="str">
        <f t="shared" si="272"/>
        <v>مخازن قير اصفهان</v>
      </c>
      <c r="N1057" s="1">
        <v>11135</v>
      </c>
      <c r="O1057" s="1">
        <v>50032320</v>
      </c>
      <c r="P1057" s="1" t="str">
        <f>"  آسمان خراش آپادانا"</f>
        <v xml:space="preserve">  آسمان خراش آپادانا</v>
      </c>
      <c r="Q1057" s="1">
        <v>19</v>
      </c>
      <c r="R10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7" s="1" t="str">
        <f t="shared" si="270"/>
        <v>قرارداد فروش</v>
      </c>
      <c r="T1057" s="1" t="str">
        <f t="shared" si="271"/>
        <v>ندارد</v>
      </c>
      <c r="U1057" s="1" t="str">
        <f>"غلام نجفي سيامك‌‌‌‌‌‌(1881082)"</f>
        <v>غلام نجفي سيامك‌‌‌‌‌‌(1881082)</v>
      </c>
      <c r="V1057" s="1">
        <v>951900180</v>
      </c>
      <c r="W1057" s="1">
        <v>951900180</v>
      </c>
      <c r="X1057" s="1" t="str">
        <f>"1395434116"</f>
        <v>1395434116</v>
      </c>
      <c r="Y1057" s="1" t="str">
        <f>"95/08/06"</f>
        <v>95/08/06</v>
      </c>
      <c r="Z1057" s="1" t="str">
        <f>"30929/510"</f>
        <v>30929/510</v>
      </c>
      <c r="AA1057" s="1" t="str">
        <f>"سازمان راهداري وحمل نقل جاده اي"</f>
        <v>سازمان راهداري وحمل نقل جاده اي</v>
      </c>
      <c r="AB1057" s="1" t="str">
        <f>"95/06/29"</f>
        <v>95/06/29</v>
      </c>
      <c r="AC1057" s="1" t="str">
        <f>"كهكيلويه و بوير احمد"</f>
        <v>كهكيلويه و بوير احمد</v>
      </c>
      <c r="AD1057" s="1" t="str">
        <f>"95/07/06"</f>
        <v>95/07/06</v>
      </c>
      <c r="AE1057" s="1" t="str">
        <f t="shared" si="273"/>
        <v>اختتام</v>
      </c>
      <c r="AF1057" s="1" t="str">
        <f>""</f>
        <v/>
      </c>
      <c r="AG1057" s="1" t="str">
        <f>""</f>
        <v/>
      </c>
      <c r="AH1057" s="1" t="str">
        <f>""</f>
        <v/>
      </c>
      <c r="AI1057" s="1" t="str">
        <f>""</f>
        <v/>
      </c>
      <c r="AJ1057" s="1" t="str">
        <f>""</f>
        <v/>
      </c>
      <c r="AK1057" s="1" t="str">
        <f>""</f>
        <v/>
      </c>
    </row>
    <row r="1058" spans="1:37" x14ac:dyDescent="0.2">
      <c r="A1058" s="1">
        <v>1000000</v>
      </c>
      <c r="B1058" s="1">
        <v>951900308</v>
      </c>
      <c r="C1058" s="1" t="str">
        <f>"تخليه كرمان يزدكيلومتر12جاده ميبدشهرك صنعتي جهان آبادهميارجي يزد"</f>
        <v>تخليه كرمان يزدكيلومتر12جاده ميبدشهرك صنعتي جهان آبادهميارجي يزد</v>
      </c>
      <c r="D1058" s="1">
        <v>8854</v>
      </c>
      <c r="E1058" s="1">
        <v>999740</v>
      </c>
      <c r="F1058" s="1">
        <v>95</v>
      </c>
      <c r="G1058" s="1">
        <v>260</v>
      </c>
      <c r="H1058" s="1" t="str">
        <f>"95/12/25"</f>
        <v>95/12/25</v>
      </c>
      <c r="I1058" s="1" t="str">
        <f t="shared" si="269"/>
        <v>كيلوگرم</v>
      </c>
      <c r="J1058" s="1" t="str">
        <f t="shared" ref="J1058:J1065" si="276">"0000000091"</f>
        <v>0000000091</v>
      </c>
      <c r="K1058" s="1" t="str">
        <f t="shared" ref="K1058:K1065" si="277">"قير  PG64-22"</f>
        <v>قير  PG64-22</v>
      </c>
      <c r="L1058" s="1">
        <v>100</v>
      </c>
      <c r="M1058" s="1" t="str">
        <f t="shared" si="272"/>
        <v>مخازن قير اصفهان</v>
      </c>
      <c r="N1058" s="1">
        <v>11093</v>
      </c>
      <c r="O1058" s="1">
        <v>50034222</v>
      </c>
      <c r="P1058" s="1" t="str">
        <f>"  مهندسي عمران گستررسالت"</f>
        <v xml:space="preserve">  مهندسي عمران گستررسالت</v>
      </c>
      <c r="Q1058" s="1">
        <v>19</v>
      </c>
      <c r="R105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8" s="1" t="str">
        <f t="shared" si="270"/>
        <v>قرارداد فروش</v>
      </c>
      <c r="T1058" s="1" t="str">
        <f t="shared" si="271"/>
        <v>ندارد</v>
      </c>
      <c r="U1058" s="1" t="str">
        <f>"قره باغي مجيد(1871065)"</f>
        <v>قره باغي مجيد(1871065)</v>
      </c>
      <c r="V1058" s="1">
        <v>951900308</v>
      </c>
      <c r="W1058" s="1">
        <v>951900308</v>
      </c>
      <c r="X1058" s="1" t="str">
        <f>"1395468354"</f>
        <v>1395468354</v>
      </c>
      <c r="Y1058" s="1" t="str">
        <f>"95/12/25"</f>
        <v>95/12/25</v>
      </c>
      <c r="Z1058" s="1" t="str">
        <f>"59148/710"</f>
        <v>59148/710</v>
      </c>
      <c r="AA1058" s="1" t="str">
        <f>"سازمان راهداري وحمل نقل جاده اي"</f>
        <v>سازمان راهداري وحمل نقل جاده اي</v>
      </c>
      <c r="AB1058" s="1" t="str">
        <f>"95/11/26"</f>
        <v>95/11/26</v>
      </c>
      <c r="AC1058" s="1" t="str">
        <f>"جنوب کرمان"</f>
        <v>جنوب کرمان</v>
      </c>
      <c r="AD1058" s="1" t="str">
        <f>"95/12/10"</f>
        <v>95/12/10</v>
      </c>
      <c r="AE1058" s="1" t="str">
        <f t="shared" si="273"/>
        <v>اختتام</v>
      </c>
      <c r="AF1058" s="1" t="str">
        <f>""</f>
        <v/>
      </c>
      <c r="AG1058" s="1" t="str">
        <f>""</f>
        <v/>
      </c>
      <c r="AH1058" s="1" t="str">
        <f>""</f>
        <v/>
      </c>
      <c r="AI1058" s="1" t="str">
        <f>""</f>
        <v/>
      </c>
      <c r="AJ1058" s="1" t="str">
        <f>""</f>
        <v/>
      </c>
      <c r="AK1058" s="1" t="str">
        <f>""</f>
        <v/>
      </c>
    </row>
    <row r="1059" spans="1:37" x14ac:dyDescent="0.2">
      <c r="A1059" s="1">
        <v>700000</v>
      </c>
      <c r="B1059" s="1">
        <v>951900032</v>
      </c>
      <c r="C1059" s="1" t="str">
        <f>"تخليه يزدكمربندي يزدبعدازپادگان شهيدصدوقي شركت تعاوني موحدين آسفالت"</f>
        <v>تخليه يزدكمربندي يزدبعدازپادگان شهيدصدوقي شركت تعاوني موحدين آسفالت</v>
      </c>
      <c r="D1059" s="1">
        <v>6250</v>
      </c>
      <c r="E1059" s="1">
        <v>632640</v>
      </c>
      <c r="F1059" s="1">
        <v>95</v>
      </c>
      <c r="G1059" s="1">
        <v>67360</v>
      </c>
      <c r="H1059" s="1" t="str">
        <f>"95/04/12"</f>
        <v>95/04/12</v>
      </c>
      <c r="I1059" s="1" t="str">
        <f t="shared" si="269"/>
        <v>كيلوگرم</v>
      </c>
      <c r="J1059" s="1" t="str">
        <f t="shared" si="276"/>
        <v>0000000091</v>
      </c>
      <c r="K1059" s="1" t="str">
        <f t="shared" si="277"/>
        <v>قير  PG64-22</v>
      </c>
      <c r="L1059" s="1">
        <v>100</v>
      </c>
      <c r="M1059" s="1" t="str">
        <f t="shared" si="272"/>
        <v>مخازن قير اصفهان</v>
      </c>
      <c r="N1059" s="1">
        <v>11130</v>
      </c>
      <c r="O1059" s="1">
        <v>50031175</v>
      </c>
      <c r="P1059" s="1" t="str">
        <f>"  داريون راه بنا"</f>
        <v xml:space="preserve">  داريون راه بنا</v>
      </c>
      <c r="Q1059" s="1">
        <v>19</v>
      </c>
      <c r="R10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9" s="1" t="str">
        <f t="shared" si="270"/>
        <v>قرارداد فروش</v>
      </c>
      <c r="T1059" s="1" t="str">
        <f t="shared" si="271"/>
        <v>ندارد</v>
      </c>
      <c r="U1059" s="1" t="str">
        <f>"قانعي محمدرضا(1011ج89)"</f>
        <v>قانعي محمدرضا(1011ج89)</v>
      </c>
      <c r="V1059" s="1">
        <v>951900032</v>
      </c>
      <c r="W1059" s="1">
        <v>951900032</v>
      </c>
      <c r="X1059" s="1" t="str">
        <f>"1395412283"</f>
        <v>1395412283</v>
      </c>
      <c r="Y1059" s="1" t="str">
        <f>"95/04/12"</f>
        <v>95/04/12</v>
      </c>
      <c r="Z1059" s="1" t="str">
        <f>"14114/510"</f>
        <v>14114/510</v>
      </c>
      <c r="AA1059" s="1" t="str">
        <f>"سازمان راهداري وحمل نقل جاده اي"</f>
        <v>سازمان راهداري وحمل نقل جاده اي</v>
      </c>
      <c r="AB1059" s="1" t="str">
        <f>"95/04/02"</f>
        <v>95/04/02</v>
      </c>
      <c r="AC1059" s="1" t="str">
        <f>"استان يزد"</f>
        <v>استان يزد</v>
      </c>
      <c r="AD1059" s="1" t="str">
        <f>"95/04/09"</f>
        <v>95/04/09</v>
      </c>
      <c r="AE1059" s="1" t="str">
        <f t="shared" si="273"/>
        <v>اختتام</v>
      </c>
      <c r="AF1059" s="1" t="str">
        <f>""</f>
        <v/>
      </c>
      <c r="AG1059" s="1" t="str">
        <f>""</f>
        <v/>
      </c>
      <c r="AH1059" s="1" t="str">
        <f>""</f>
        <v/>
      </c>
      <c r="AI1059" s="1" t="str">
        <f>""</f>
        <v/>
      </c>
      <c r="AJ1059" s="1" t="str">
        <f>""</f>
        <v/>
      </c>
      <c r="AK1059" s="1" t="str">
        <f>""</f>
        <v/>
      </c>
    </row>
    <row r="1060" spans="1:37" x14ac:dyDescent="0.2">
      <c r="A1060" s="1">
        <v>1000000</v>
      </c>
      <c r="B1060" s="1">
        <v>951900246</v>
      </c>
      <c r="C1060" s="1" t="str">
        <f>"تخليه يزدكمربندي يزدبعدازپادگان شهيدصدوقي شركت تعاوني موحدين آسفالت"</f>
        <v>تخليه يزدكمربندي يزدبعدازپادگان شهيدصدوقي شركت تعاوني موحدين آسفالت</v>
      </c>
      <c r="D1060" s="1">
        <v>8854</v>
      </c>
      <c r="E1060" s="1">
        <v>1000000</v>
      </c>
      <c r="F1060" s="1">
        <v>95</v>
      </c>
      <c r="G1060" s="1">
        <v>0</v>
      </c>
      <c r="H1060" s="1" t="str">
        <f>"95/11/03"</f>
        <v>95/11/03</v>
      </c>
      <c r="I1060" s="1" t="str">
        <f t="shared" si="269"/>
        <v>كيلوگرم</v>
      </c>
      <c r="J1060" s="1" t="str">
        <f t="shared" si="276"/>
        <v>0000000091</v>
      </c>
      <c r="K1060" s="1" t="str">
        <f t="shared" si="277"/>
        <v>قير  PG64-22</v>
      </c>
      <c r="L1060" s="1">
        <v>100</v>
      </c>
      <c r="M1060" s="1" t="str">
        <f t="shared" si="272"/>
        <v>مخازن قير اصفهان</v>
      </c>
      <c r="N1060" s="1">
        <v>11130</v>
      </c>
      <c r="O1060" s="1">
        <v>50033460</v>
      </c>
      <c r="P1060" s="1" t="str">
        <f>"  داريون راه بنا"</f>
        <v xml:space="preserve">  داريون راه بنا</v>
      </c>
      <c r="Q1060" s="1">
        <v>19</v>
      </c>
      <c r="R106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60" s="1" t="str">
        <f t="shared" si="270"/>
        <v>قرارداد فروش</v>
      </c>
      <c r="T1060" s="1" t="str">
        <f t="shared" si="271"/>
        <v>ندارد</v>
      </c>
      <c r="U1060" s="1" t="str">
        <f>"قانعي محمدرضا(1011ج89)"</f>
        <v>قانعي محمدرضا(1011ج89)</v>
      </c>
      <c r="V1060" s="1">
        <v>951900246</v>
      </c>
      <c r="W1060" s="1">
        <v>951900246</v>
      </c>
      <c r="X1060" s="1" t="str">
        <f>"1395447619"</f>
        <v>1395447619</v>
      </c>
      <c r="Y1060" s="1" t="str">
        <f>"95/11/03"</f>
        <v>95/11/03</v>
      </c>
      <c r="Z1060" s="1" t="str">
        <f>"42079/710"</f>
        <v>42079/710</v>
      </c>
      <c r="AA1060" s="1" t="str">
        <f>"سازمان راهداري وحمل نقل جاده اي"</f>
        <v>سازمان راهداري وحمل نقل جاده اي</v>
      </c>
      <c r="AB1060" s="1" t="str">
        <f>"95/08/29"</f>
        <v>95/08/29</v>
      </c>
      <c r="AC1060" s="1" t="str">
        <f>"استان يزد"</f>
        <v>استان يزد</v>
      </c>
      <c r="AD1060" s="1" t="str">
        <f>"95/09/06"</f>
        <v>95/09/06</v>
      </c>
      <c r="AE1060" s="1" t="str">
        <f t="shared" si="273"/>
        <v>اختتام</v>
      </c>
      <c r="AF1060" s="1" t="str">
        <f>""</f>
        <v/>
      </c>
      <c r="AG1060" s="1" t="str">
        <f>""</f>
        <v/>
      </c>
      <c r="AH1060" s="1" t="str">
        <f>""</f>
        <v/>
      </c>
      <c r="AI1060" s="1" t="str">
        <f>""</f>
        <v/>
      </c>
      <c r="AJ1060" s="1" t="str">
        <f>""</f>
        <v/>
      </c>
      <c r="AK1060" s="1" t="str">
        <f>""</f>
        <v/>
      </c>
    </row>
    <row r="1061" spans="1:37" x14ac:dyDescent="0.2">
      <c r="A1061" s="1">
        <v>46000</v>
      </c>
      <c r="B1061" s="1">
        <v>951400040</v>
      </c>
      <c r="C1061" s="1" t="str">
        <f>"تخليه -كرمانشاه جاده سراب نيلوفرسه راهي شاهيني كارخانه آسفالت الياف ريزدانه"</f>
        <v>تخليه -كرمانشاه جاده سراب نيلوفرسه راهي شاهيني كارخانه آسفالت الياف ريزدانه</v>
      </c>
      <c r="D1061" s="1">
        <v>6250</v>
      </c>
      <c r="E1061" s="1">
        <v>45000</v>
      </c>
      <c r="F1061" s="1">
        <v>95</v>
      </c>
      <c r="G1061" s="1">
        <v>1000</v>
      </c>
      <c r="H1061" s="1" t="str">
        <f>"95/04/27"</f>
        <v>95/04/27</v>
      </c>
      <c r="I1061" s="1" t="str">
        <f t="shared" si="269"/>
        <v>كيلوگرم</v>
      </c>
      <c r="J1061" s="1" t="str">
        <f t="shared" si="276"/>
        <v>0000000091</v>
      </c>
      <c r="K1061" s="1" t="str">
        <f t="shared" si="277"/>
        <v>قير  PG64-22</v>
      </c>
      <c r="L1061" s="1">
        <v>100</v>
      </c>
      <c r="M1061" s="1" t="str">
        <f t="shared" si="272"/>
        <v>مخازن قير اصفهان</v>
      </c>
      <c r="N1061" s="1">
        <v>11137</v>
      </c>
      <c r="O1061" s="1">
        <v>50031290</v>
      </c>
      <c r="P1061" s="1" t="str">
        <f>"  راه وساختماني بان سيران"</f>
        <v xml:space="preserve">  راه وساختماني بان سيران</v>
      </c>
      <c r="Q1061" s="1">
        <v>14</v>
      </c>
      <c r="R1061" s="1" t="str">
        <f>"فروش داخلي - وزارت راه - حوزه راه روستايي ساخت"</f>
        <v>فروش داخلي - وزارت راه - حوزه راه روستايي ساخت</v>
      </c>
      <c r="S1061" s="1" t="str">
        <f t="shared" si="270"/>
        <v>قرارداد فروش</v>
      </c>
      <c r="T1061" s="1" t="str">
        <f t="shared" si="271"/>
        <v>ندارد</v>
      </c>
      <c r="U1061" s="1" t="str">
        <f>"بستاني محسن (2882039)"</f>
        <v>بستاني محسن (2882039)</v>
      </c>
      <c r="V1061" s="1">
        <v>951400040</v>
      </c>
      <c r="W1061" s="1">
        <v>951400040</v>
      </c>
      <c r="X1061" s="1" t="str">
        <f>"1395415481"</f>
        <v>1395415481</v>
      </c>
      <c r="Y1061" s="1" t="str">
        <f>"95/04/27"</f>
        <v>95/04/27</v>
      </c>
      <c r="Z1061" s="1" t="str">
        <f>"15369/510"</f>
        <v>15369/510</v>
      </c>
      <c r="AA1061" s="1" t="str">
        <f>"راه وروستايي -ساخت"</f>
        <v>راه وروستايي -ساخت</v>
      </c>
      <c r="AB1061" s="1" t="str">
        <f>"95/04/12"</f>
        <v>95/04/12</v>
      </c>
      <c r="AC1061" s="1" t="str">
        <f>"استان كرمانشاه"</f>
        <v>استان كرمانشاه</v>
      </c>
      <c r="AD1061" s="1" t="str">
        <f>"95/04/23"</f>
        <v>95/04/23</v>
      </c>
      <c r="AE1061" s="1" t="str">
        <f t="shared" si="273"/>
        <v>اختتام</v>
      </c>
      <c r="AF1061" s="1" t="str">
        <f>""</f>
        <v/>
      </c>
      <c r="AG1061" s="1" t="str">
        <f>""</f>
        <v/>
      </c>
      <c r="AH1061" s="1" t="str">
        <f>""</f>
        <v/>
      </c>
      <c r="AI1061" s="1" t="str">
        <f>""</f>
        <v/>
      </c>
      <c r="AJ1061" s="1" t="str">
        <f>""</f>
        <v/>
      </c>
      <c r="AK1061" s="1" t="str">
        <f>""</f>
        <v/>
      </c>
    </row>
    <row r="1062" spans="1:37" x14ac:dyDescent="0.2">
      <c r="A1062" s="1">
        <v>92000</v>
      </c>
      <c r="B1062" s="1">
        <v>951400041</v>
      </c>
      <c r="C1062" s="1" t="str">
        <f>"تخليه- کيلومتر 10 جاده روانسر-کرمانشاه-کارخانه آسفالت يداله محمدي"</f>
        <v>تخليه- کيلومتر 10 جاده روانسر-کرمانشاه-کارخانه آسفالت يداله محمدي</v>
      </c>
      <c r="D1062" s="1">
        <v>6250</v>
      </c>
      <c r="E1062" s="1">
        <v>91900</v>
      </c>
      <c r="F1062" s="1">
        <v>95</v>
      </c>
      <c r="G1062" s="1">
        <v>100</v>
      </c>
      <c r="H1062" s="1" t="str">
        <f>"95/04/27"</f>
        <v>95/04/27</v>
      </c>
      <c r="I1062" s="1" t="str">
        <f t="shared" si="269"/>
        <v>كيلوگرم</v>
      </c>
      <c r="J1062" s="1" t="str">
        <f t="shared" si="276"/>
        <v>0000000091</v>
      </c>
      <c r="K1062" s="1" t="str">
        <f t="shared" si="277"/>
        <v>قير  PG64-22</v>
      </c>
      <c r="L1062" s="1">
        <v>100</v>
      </c>
      <c r="M1062" s="1" t="str">
        <f t="shared" si="272"/>
        <v>مخازن قير اصفهان</v>
      </c>
      <c r="N1062" s="1">
        <v>11139</v>
      </c>
      <c r="O1062" s="1">
        <v>50031302</v>
      </c>
      <c r="P1062" s="1" t="str">
        <f>"  راه و ساختمان غرب نماي شاهو"</f>
        <v xml:space="preserve">  راه و ساختمان غرب نماي شاهو</v>
      </c>
      <c r="Q1062" s="1">
        <v>14</v>
      </c>
      <c r="R1062" s="1" t="str">
        <f>"فروش داخلي - وزارت راه - حوزه راه روستايي ساخت"</f>
        <v>فروش داخلي - وزارت راه - حوزه راه روستايي ساخت</v>
      </c>
      <c r="S1062" s="1" t="str">
        <f t="shared" si="270"/>
        <v>قرارداد فروش</v>
      </c>
      <c r="T1062" s="1" t="str">
        <f t="shared" si="271"/>
        <v>ندارد</v>
      </c>
      <c r="U1062" s="1" t="str">
        <f>"قره باغي مجيد(1871065)"</f>
        <v>قره باغي مجيد(1871065)</v>
      </c>
      <c r="V1062" s="1">
        <v>951400041</v>
      </c>
      <c r="W1062" s="1">
        <v>951400041</v>
      </c>
      <c r="X1062" s="1" t="str">
        <f>"1395416030"</f>
        <v>1395416030</v>
      </c>
      <c r="Y1062" s="1" t="str">
        <f>"95/04/27"</f>
        <v>95/04/27</v>
      </c>
      <c r="Z1062" s="1" t="str">
        <f>"17427/510"</f>
        <v>17427/510</v>
      </c>
      <c r="AA1062" s="1" t="str">
        <f>"راه وروستايي -ساخت"</f>
        <v>راه وروستايي -ساخت</v>
      </c>
      <c r="AB1062" s="1" t="str">
        <f>"95/04/23"</f>
        <v>95/04/23</v>
      </c>
      <c r="AC1062" s="1" t="str">
        <f>"استان كرمانشاه"</f>
        <v>استان كرمانشاه</v>
      </c>
      <c r="AD1062" s="1" t="str">
        <f>"95/04/27"</f>
        <v>95/04/27</v>
      </c>
      <c r="AE1062" s="1" t="str">
        <f t="shared" si="273"/>
        <v>اختتام</v>
      </c>
      <c r="AF1062" s="1" t="str">
        <f>""</f>
        <v/>
      </c>
      <c r="AG1062" s="1" t="str">
        <f>""</f>
        <v/>
      </c>
      <c r="AH1062" s="1" t="str">
        <f>""</f>
        <v/>
      </c>
      <c r="AI1062" s="1" t="str">
        <f>""</f>
        <v/>
      </c>
      <c r="AJ1062" s="1" t="str">
        <f>""</f>
        <v/>
      </c>
      <c r="AK1062" s="1" t="str">
        <f>""</f>
        <v/>
      </c>
    </row>
    <row r="1063" spans="1:37" x14ac:dyDescent="0.2">
      <c r="A1063" s="1">
        <v>447140</v>
      </c>
      <c r="B1063" s="1">
        <v>951600080</v>
      </c>
      <c r="C1063" s="1" t="str">
        <f>"تخليه سيستان وبلوچستان زابل كيلومتر45جاده زابل نهبندان كارخانه آسفالت موسسه نصر"</f>
        <v>تخليه سيستان وبلوچستان زابل كيلومتر45جاده زابل نهبندان كارخانه آسفالت موسسه نصر</v>
      </c>
      <c r="D1063" s="1">
        <v>9511</v>
      </c>
      <c r="E1063" s="1">
        <v>445140</v>
      </c>
      <c r="F1063" s="1">
        <v>95</v>
      </c>
      <c r="G1063" s="1">
        <v>2000</v>
      </c>
      <c r="H1063" s="1" t="str">
        <f>"95/11/03"</f>
        <v>95/11/03</v>
      </c>
      <c r="I1063" s="1" t="str">
        <f t="shared" si="269"/>
        <v>كيلوگرم</v>
      </c>
      <c r="J1063" s="1" t="str">
        <f t="shared" si="276"/>
        <v>0000000091</v>
      </c>
      <c r="K1063" s="1" t="str">
        <f t="shared" si="277"/>
        <v>قير  PG64-22</v>
      </c>
      <c r="L1063" s="1">
        <v>100</v>
      </c>
      <c r="M1063" s="1" t="str">
        <f t="shared" si="272"/>
        <v>مخازن قير اصفهان</v>
      </c>
      <c r="N1063" s="1">
        <v>11164</v>
      </c>
      <c r="O1063" s="1">
        <v>50033451</v>
      </c>
      <c r="P1063" s="1" t="str">
        <f>"  قرارگاه سازندگي خاتم الانبياء(ص )"</f>
        <v xml:space="preserve">  قرارگاه سازندگي خاتم الانبياء(ص )</v>
      </c>
      <c r="Q1063" s="1">
        <v>16</v>
      </c>
      <c r="R1063" s="1" t="str">
        <f>"فروش داخلي تهران - وزارت راه - معاونت اقتصاد"</f>
        <v>فروش داخلي تهران - وزارت راه - معاونت اقتصاد</v>
      </c>
      <c r="S1063" s="1" t="str">
        <f t="shared" si="270"/>
        <v>قرارداد فروش</v>
      </c>
      <c r="T1063" s="1" t="str">
        <f t="shared" si="271"/>
        <v>ندارد</v>
      </c>
      <c r="U1063" s="1" t="str">
        <f>"ميرحسيني چاپارحقيقت كرمان(4844008)"</f>
        <v>ميرحسيني چاپارحقيقت كرمان(4844008)</v>
      </c>
      <c r="V1063" s="1">
        <v>951600080</v>
      </c>
      <c r="W1063" s="1">
        <v>951600080</v>
      </c>
      <c r="X1063" s="1" t="str">
        <f>"1395456367"</f>
        <v>1395456367</v>
      </c>
      <c r="Y1063" s="1" t="str">
        <f>"95/11/03"</f>
        <v>95/11/03</v>
      </c>
      <c r="Z1063" s="1" t="str">
        <f>"42747/710"</f>
        <v>42747/710</v>
      </c>
      <c r="AA1063" s="1" t="str">
        <f>"معاونت اقتصادوزارت راه وشهرسازي"</f>
        <v>معاونت اقتصادوزارت راه وشهرسازي</v>
      </c>
      <c r="AB1063" s="1" t="str">
        <f>"95/09/03"</f>
        <v>95/09/03</v>
      </c>
      <c r="AC1063" s="1" t="str">
        <f>"استان سيستان بلوچستان"</f>
        <v>استان سيستان بلوچستان</v>
      </c>
      <c r="AD1063" s="1" t="str">
        <f>"95/10/13"</f>
        <v>95/10/13</v>
      </c>
      <c r="AE1063" s="1" t="str">
        <f t="shared" si="273"/>
        <v>اختتام</v>
      </c>
      <c r="AF1063" s="1" t="str">
        <f>""</f>
        <v/>
      </c>
      <c r="AG1063" s="1" t="str">
        <f>""</f>
        <v/>
      </c>
      <c r="AH1063" s="1" t="str">
        <f>""</f>
        <v/>
      </c>
      <c r="AI1063" s="1" t="str">
        <f>""</f>
        <v/>
      </c>
      <c r="AJ1063" s="1" t="str">
        <f>""</f>
        <v/>
      </c>
      <c r="AK1063" s="1" t="str">
        <f>""</f>
        <v/>
      </c>
    </row>
    <row r="1064" spans="1:37" x14ac:dyDescent="0.2">
      <c r="A1064" s="1">
        <v>500000</v>
      </c>
      <c r="B1064" s="1">
        <v>951800061</v>
      </c>
      <c r="C1064" s="1" t="str">
        <f>"تخليه كردستان كيلومتر40محورسنندج ديواندره كارخانه آبيدركردستان"</f>
        <v>تخليه كردستان كيلومتر40محورسنندج ديواندره كارخانه آبيدركردستان</v>
      </c>
      <c r="D1064" s="1">
        <v>7176</v>
      </c>
      <c r="E1064" s="1">
        <v>499360</v>
      </c>
      <c r="F1064" s="1">
        <v>95</v>
      </c>
      <c r="G1064" s="1">
        <v>640</v>
      </c>
      <c r="H1064" s="1" t="str">
        <f>"95/06/07"</f>
        <v>95/06/07</v>
      </c>
      <c r="I1064" s="1" t="str">
        <f t="shared" si="269"/>
        <v>كيلوگرم</v>
      </c>
      <c r="J1064" s="1" t="str">
        <f t="shared" si="276"/>
        <v>0000000091</v>
      </c>
      <c r="K1064" s="1" t="str">
        <f t="shared" si="277"/>
        <v>قير  PG64-22</v>
      </c>
      <c r="L1064" s="1">
        <v>100</v>
      </c>
      <c r="M1064" s="1" t="str">
        <f t="shared" si="272"/>
        <v>مخازن قير اصفهان</v>
      </c>
      <c r="N1064" s="1">
        <v>11165</v>
      </c>
      <c r="O1064" s="1">
        <v>50031701</v>
      </c>
      <c r="P1064" s="1" t="str">
        <f>"  پل دژ خبره"</f>
        <v xml:space="preserve">  پل دژ خبره</v>
      </c>
      <c r="Q1064" s="1">
        <v>18</v>
      </c>
      <c r="R1064" s="1" t="str">
        <f>"فروش داخلي تهران - وزارت راه - شرکت ساخت و توسعه راهها"</f>
        <v>فروش داخلي تهران - وزارت راه - شرکت ساخت و توسعه راهها</v>
      </c>
      <c r="S1064" s="1" t="str">
        <f t="shared" si="270"/>
        <v>قرارداد فروش</v>
      </c>
      <c r="T1064" s="1" t="str">
        <f t="shared" si="271"/>
        <v>ندارد</v>
      </c>
      <c r="U1064" s="1" t="str">
        <f>"قنبري امين(2872037)"</f>
        <v>قنبري امين(2872037)</v>
      </c>
      <c r="V1064" s="1">
        <v>951800061</v>
      </c>
      <c r="W1064" s="1">
        <v>951800061</v>
      </c>
      <c r="X1064" s="1" t="str">
        <f>"1395427144"</f>
        <v>1395427144</v>
      </c>
      <c r="Y1064" s="1" t="str">
        <f>"95/06/07"</f>
        <v>95/06/07</v>
      </c>
      <c r="Z1064" s="1" t="str">
        <f>"24060/510"</f>
        <v>24060/510</v>
      </c>
      <c r="AA1064" s="1" t="str">
        <f>"شركت  ساخت وتوسعه راهها"</f>
        <v>شركت  ساخت وتوسعه راهها</v>
      </c>
      <c r="AB1064" s="1" t="str">
        <f>"95/05/26"</f>
        <v>95/05/26</v>
      </c>
      <c r="AC1064" s="1" t="str">
        <f>"استان كردستان"</f>
        <v>استان كردستان</v>
      </c>
      <c r="AD1064" s="1" t="str">
        <f>"95/06/07"</f>
        <v>95/06/07</v>
      </c>
      <c r="AE1064" s="1" t="str">
        <f t="shared" si="273"/>
        <v>اختتام</v>
      </c>
      <c r="AF1064" s="1" t="str">
        <f>""</f>
        <v/>
      </c>
      <c r="AG1064" s="1" t="str">
        <f>""</f>
        <v/>
      </c>
      <c r="AH1064" s="1" t="str">
        <f>""</f>
        <v/>
      </c>
      <c r="AI1064" s="1" t="str">
        <f>""</f>
        <v/>
      </c>
      <c r="AJ1064" s="1" t="str">
        <f>""</f>
        <v/>
      </c>
      <c r="AK1064" s="1" t="str">
        <f>""</f>
        <v/>
      </c>
    </row>
    <row r="1065" spans="1:37" x14ac:dyDescent="0.2">
      <c r="A1065" s="1">
        <v>18300</v>
      </c>
      <c r="B1065" s="1">
        <v>951900183</v>
      </c>
      <c r="C1065" s="1" t="str">
        <f>"تخليه اصفهان نجف آبادزرين سپاهان"</f>
        <v>تخليه اصفهان نجف آبادزرين سپاهان</v>
      </c>
      <c r="D1065" s="1">
        <v>8323</v>
      </c>
      <c r="E1065" s="1">
        <v>17440</v>
      </c>
      <c r="F1065" s="1">
        <v>95</v>
      </c>
      <c r="G1065" s="1">
        <v>860</v>
      </c>
      <c r="H1065" s="1" t="str">
        <f>"95/08/06"</f>
        <v>95/08/06</v>
      </c>
      <c r="I1065" s="1" t="str">
        <f t="shared" si="269"/>
        <v>كيلوگرم</v>
      </c>
      <c r="J1065" s="1" t="str">
        <f t="shared" si="276"/>
        <v>0000000091</v>
      </c>
      <c r="K1065" s="1" t="str">
        <f t="shared" si="277"/>
        <v>قير  PG64-22</v>
      </c>
      <c r="L1065" s="1">
        <v>100</v>
      </c>
      <c r="M1065" s="1" t="str">
        <f t="shared" si="272"/>
        <v>مخازن قير اصفهان</v>
      </c>
      <c r="N1065" s="1">
        <v>11198</v>
      </c>
      <c r="O1065" s="1">
        <v>50032323</v>
      </c>
      <c r="P1065" s="1" t="str">
        <f>"  استوارسازان اراك"</f>
        <v xml:space="preserve">  استوارسازان اراك</v>
      </c>
      <c r="Q1065" s="1">
        <v>19</v>
      </c>
      <c r="R10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65" s="1" t="str">
        <f t="shared" si="270"/>
        <v>قرارداد فروش</v>
      </c>
      <c r="T1065" s="1" t="str">
        <f t="shared" si="271"/>
        <v>ندارد</v>
      </c>
      <c r="U1065" s="1" t="str">
        <f>"غلام نجفي سيامك‌‌‌‌‌‌(1881082)"</f>
        <v>غلام نجفي سيامك‌‌‌‌‌‌(1881082)</v>
      </c>
      <c r="V1065" s="1">
        <v>951900183</v>
      </c>
      <c r="W1065" s="1">
        <v>951900183</v>
      </c>
      <c r="X1065" s="1" t="str">
        <f>"1395435603"</f>
        <v>1395435603</v>
      </c>
      <c r="Y1065" s="1" t="str">
        <f>"95/08/06"</f>
        <v>95/08/06</v>
      </c>
      <c r="Z1065" s="1" t="str">
        <f>"32938/510"</f>
        <v>32938/510</v>
      </c>
      <c r="AA1065" s="1" t="str">
        <f>"سازمان راهداري وحمل نقل جاده اي"</f>
        <v>سازمان راهداري وحمل نقل جاده اي</v>
      </c>
      <c r="AB1065" s="1" t="str">
        <f>"95/07/11"</f>
        <v>95/07/11</v>
      </c>
      <c r="AC1065" s="1" t="str">
        <f>"استان همدان"</f>
        <v>استان همدان</v>
      </c>
      <c r="AD1065" s="1" t="str">
        <f>"95/07/13"</f>
        <v>95/07/13</v>
      </c>
      <c r="AE1065" s="1" t="str">
        <f t="shared" si="273"/>
        <v>اختتام</v>
      </c>
      <c r="AF1065" s="1" t="str">
        <f>""</f>
        <v/>
      </c>
      <c r="AG1065" s="1" t="str">
        <f>""</f>
        <v/>
      </c>
      <c r="AH1065" s="1" t="str">
        <f>""</f>
        <v/>
      </c>
      <c r="AI1065" s="1" t="str">
        <f>""</f>
        <v/>
      </c>
      <c r="AJ1065" s="1" t="str">
        <f>""</f>
        <v/>
      </c>
      <c r="AK1065" s="1" t="str">
        <f>""</f>
        <v/>
      </c>
    </row>
    <row r="1066" spans="1:37" x14ac:dyDescent="0.2">
      <c r="A1066" s="1">
        <v>300000</v>
      </c>
      <c r="B1066" s="1">
        <v>951900200</v>
      </c>
      <c r="C1066" s="1" t="str">
        <f>"تخليه -لرستان -پل سيمره -هليلان نرسيده به شهرتوحيد-شركت آج راه غرب"</f>
        <v>تخليه -لرستان -پل سيمره -هليلان نرسيده به شهرتوحيد-شركت آج راه غرب</v>
      </c>
      <c r="D1066" s="1">
        <v>8323</v>
      </c>
      <c r="E1066" s="1">
        <v>298820</v>
      </c>
      <c r="F1066" s="1">
        <v>95</v>
      </c>
      <c r="G1066" s="1">
        <v>1180</v>
      </c>
      <c r="H1066" s="1" t="str">
        <f>"95/08/27"</f>
        <v>95/08/27</v>
      </c>
      <c r="I1066" s="1" t="str">
        <f t="shared" si="269"/>
        <v>كيلوگرم</v>
      </c>
      <c r="J1066" s="1" t="str">
        <f>"0000000092"</f>
        <v>0000000092</v>
      </c>
      <c r="K1066" s="1" t="str">
        <f>"قير  PG64-16"</f>
        <v>قير  PG64-16</v>
      </c>
      <c r="L1066" s="1">
        <v>100</v>
      </c>
      <c r="M1066" s="1" t="str">
        <f t="shared" si="272"/>
        <v>مخازن قير اصفهان</v>
      </c>
      <c r="N1066" s="1">
        <v>8293</v>
      </c>
      <c r="O1066" s="1">
        <v>50032630</v>
      </c>
      <c r="P1066" s="1" t="str">
        <f>"  آج راه غرب"</f>
        <v xml:space="preserve">  آج راه غرب</v>
      </c>
      <c r="Q1066" s="1">
        <v>19</v>
      </c>
      <c r="R106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66" s="1" t="str">
        <f t="shared" si="270"/>
        <v>قرارداد فروش</v>
      </c>
      <c r="T1066" s="1" t="str">
        <f t="shared" si="271"/>
        <v>ندارد</v>
      </c>
      <c r="U1066" s="1" t="str">
        <f>"قره باغي مجيد(1871065)"</f>
        <v>قره باغي مجيد(1871065)</v>
      </c>
      <c r="V1066" s="1">
        <v>951900200</v>
      </c>
      <c r="W1066" s="1">
        <v>951900200</v>
      </c>
      <c r="X1066" s="1" t="str">
        <f>"1395446075"</f>
        <v>1395446075</v>
      </c>
      <c r="Y1066" s="1" t="str">
        <f>"95/08/27"</f>
        <v>95/08/27</v>
      </c>
      <c r="Z1066" s="1" t="str">
        <f>"39767/710"</f>
        <v>39767/710</v>
      </c>
      <c r="AA1066" s="1" t="str">
        <f>"سازمان راهداري وحمل نقل جاده اي"</f>
        <v>سازمان راهداري وحمل نقل جاده اي</v>
      </c>
      <c r="AB1066" s="1" t="str">
        <f>"95/08/15"</f>
        <v>95/08/15</v>
      </c>
      <c r="AC1066" s="1" t="str">
        <f>"لرستان"</f>
        <v>لرستان</v>
      </c>
      <c r="AD1066" s="1" t="str">
        <f>"95/08/26"</f>
        <v>95/08/26</v>
      </c>
      <c r="AE1066" s="1" t="str">
        <f t="shared" si="273"/>
        <v>اختتام</v>
      </c>
      <c r="AF1066" s="1" t="str">
        <f>""</f>
        <v/>
      </c>
      <c r="AG1066" s="1" t="str">
        <f>""</f>
        <v/>
      </c>
      <c r="AH1066" s="1" t="str">
        <f>""</f>
        <v/>
      </c>
      <c r="AI1066" s="1" t="str">
        <f>""</f>
        <v/>
      </c>
      <c r="AJ1066" s="1" t="str">
        <f>""</f>
        <v/>
      </c>
      <c r="AK1066" s="1" t="str">
        <f>""</f>
        <v/>
      </c>
    </row>
    <row r="1067" spans="1:37" x14ac:dyDescent="0.2">
      <c r="A1067" s="1">
        <v>78000</v>
      </c>
      <c r="B1067" s="1">
        <v>956200258</v>
      </c>
      <c r="C1067" s="1" t="str">
        <f>"تخليه - تهران - دماوند - گيلاوند  - انتهاي خيابان سپاه کيلومتر 6 جاده زردر"</f>
        <v>تخليه - تهران - دماوند - گيلاوند  - انتهاي خيابان سپاه کيلومتر 6 جاده زردر</v>
      </c>
      <c r="D1067" s="1">
        <v>8848</v>
      </c>
      <c r="E1067" s="1">
        <v>76340</v>
      </c>
      <c r="F1067" s="1">
        <v>95</v>
      </c>
      <c r="G1067" s="1">
        <v>1660</v>
      </c>
      <c r="H1067" s="1" t="str">
        <f>"95/12/03"</f>
        <v>95/12/03</v>
      </c>
      <c r="I1067" s="1" t="str">
        <f t="shared" si="269"/>
        <v>كيلوگرم</v>
      </c>
      <c r="J1067" s="1" t="str">
        <f>"0000000076"</f>
        <v>0000000076</v>
      </c>
      <c r="K1067" s="1" t="str">
        <f>"قير 60/70 - فله"</f>
        <v>قير 60/70 - فله</v>
      </c>
      <c r="L1067" s="1">
        <v>100</v>
      </c>
      <c r="M1067" s="1" t="str">
        <f t="shared" si="272"/>
        <v>مخازن قير اصفهان</v>
      </c>
      <c r="N1067" s="1">
        <v>8489</v>
      </c>
      <c r="O1067" s="1">
        <v>50033810</v>
      </c>
      <c r="P1067" s="1" t="str">
        <f>"  دوژيران"</f>
        <v xml:space="preserve">  دوژيران</v>
      </c>
      <c r="Q1067" s="1">
        <v>62</v>
      </c>
      <c r="R1067" s="1" t="str">
        <f>"فروش داخلي - سازمان بنيادمسكن انقلاب اسلامي"</f>
        <v>فروش داخلي - سازمان بنيادمسكن انقلاب اسلامي</v>
      </c>
      <c r="S1067" s="1" t="str">
        <f t="shared" si="270"/>
        <v>قرارداد فروش</v>
      </c>
      <c r="T1067" s="1" t="str">
        <f t="shared" si="271"/>
        <v>ندارد</v>
      </c>
      <c r="U1067" s="1" t="str">
        <f>"سليمي پارساعارف عماد(1901096)"</f>
        <v>سليمي پارساعارف عماد(1901096)</v>
      </c>
      <c r="V1067" s="1">
        <v>956200258</v>
      </c>
      <c r="W1067" s="1">
        <v>956200258</v>
      </c>
      <c r="X1067" s="1" t="str">
        <f>"1395466581"</f>
        <v>1395466581</v>
      </c>
      <c r="Y1067" s="1" t="str">
        <f>"95/12/03"</f>
        <v>95/12/03</v>
      </c>
      <c r="Z1067" s="1" t="str">
        <f>"52755/د"</f>
        <v>52755/د</v>
      </c>
      <c r="AA1067" s="1" t="str">
        <f>"بنيادمسكن انقلاب اسلامي"</f>
        <v>بنيادمسكن انقلاب اسلامي</v>
      </c>
      <c r="AB1067" s="1" t="str">
        <f>"95/12/02"</f>
        <v>95/12/02</v>
      </c>
      <c r="AC1067" s="1" t="str">
        <f>"استان تهران"</f>
        <v>استان تهران</v>
      </c>
      <c r="AD1067" s="1" t="str">
        <f>"95/12/03"</f>
        <v>95/12/03</v>
      </c>
      <c r="AE1067" s="1" t="str">
        <f t="shared" si="273"/>
        <v>اختتام</v>
      </c>
      <c r="AF1067" s="1" t="str">
        <f>""</f>
        <v/>
      </c>
      <c r="AG1067" s="1" t="str">
        <f>""</f>
        <v/>
      </c>
      <c r="AH1067" s="1" t="str">
        <f>""</f>
        <v/>
      </c>
      <c r="AI1067" s="1" t="str">
        <f>""</f>
        <v/>
      </c>
      <c r="AJ1067" s="1" t="str">
        <f>""</f>
        <v/>
      </c>
      <c r="AK1067" s="1" t="str">
        <f>""</f>
        <v/>
      </c>
    </row>
    <row r="1068" spans="1:37" x14ac:dyDescent="0.2">
      <c r="A1068" s="1">
        <v>230000</v>
      </c>
      <c r="B1068" s="1">
        <v>951300015</v>
      </c>
      <c r="C1068" s="1" t="str">
        <f>"تخليه-خراسان جنوبي-کيلومتر35محور بيرجند-قاين-کارخانه آسفالت شهرداري آرين شهر"</f>
        <v>تخليه-خراسان جنوبي-کيلومتر35محور بيرجند-قاين-کارخانه آسفالت شهرداري آرين شهر</v>
      </c>
      <c r="D1068" s="1">
        <v>6726</v>
      </c>
      <c r="E1068" s="1">
        <v>230000</v>
      </c>
      <c r="F1068" s="1">
        <v>95</v>
      </c>
      <c r="G1068" s="1">
        <v>0</v>
      </c>
      <c r="H1068" s="1" t="str">
        <f>"95/05/06"</f>
        <v>95/05/06</v>
      </c>
      <c r="I1068" s="1" t="str">
        <f t="shared" si="269"/>
        <v>كيلوگرم</v>
      </c>
      <c r="J1068" s="1" t="str">
        <f t="shared" ref="J1068:J1073" si="278">"0000000092"</f>
        <v>0000000092</v>
      </c>
      <c r="K1068" s="1" t="str">
        <f t="shared" ref="K1068:K1073" si="279">"قير  PG64-16"</f>
        <v>قير  PG64-16</v>
      </c>
      <c r="L1068" s="1">
        <v>100</v>
      </c>
      <c r="M1068" s="1" t="str">
        <f t="shared" si="272"/>
        <v>مخازن قير اصفهان</v>
      </c>
      <c r="N1068" s="1">
        <v>10682</v>
      </c>
      <c r="O1068" s="1">
        <v>50031373</v>
      </c>
      <c r="P1068" s="1" t="str">
        <f>"  بنياد مسکن انقلاب  اسلامي خراسان جنوبي"</f>
        <v xml:space="preserve">  بنياد مسکن انقلاب  اسلامي خراسان جنوبي</v>
      </c>
      <c r="Q1068" s="1">
        <v>13</v>
      </c>
      <c r="R1068" s="1" t="str">
        <f>"فروش داخلي - وزارت راه - حوزه بنياد مسكن"</f>
        <v>فروش داخلي - وزارت راه - حوزه بنياد مسكن</v>
      </c>
      <c r="S1068" s="1" t="str">
        <f t="shared" si="270"/>
        <v>قرارداد فروش</v>
      </c>
      <c r="T1068" s="1" t="str">
        <f t="shared" si="271"/>
        <v>ندارد</v>
      </c>
      <c r="U1068" s="1" t="str">
        <f>"آقا علي منوچهر(1016ج89)"</f>
        <v>آقا علي منوچهر(1016ج89)</v>
      </c>
      <c r="V1068" s="1">
        <v>951300015</v>
      </c>
      <c r="W1068" s="1">
        <v>951300015</v>
      </c>
      <c r="X1068" s="1" t="str">
        <f>"1395418089"</f>
        <v>1395418089</v>
      </c>
      <c r="Y1068" s="1" t="str">
        <f>"95/05/06"</f>
        <v>95/05/06</v>
      </c>
      <c r="Z1068" s="1" t="str">
        <f>"18723/510"</f>
        <v>18723/510</v>
      </c>
      <c r="AA1068" s="1" t="str">
        <f>"بنياد مسكن -مسكن مهر"</f>
        <v>بنياد مسكن -مسكن مهر</v>
      </c>
      <c r="AB1068" s="1" t="str">
        <f>"95/04/29"</f>
        <v>95/04/29</v>
      </c>
      <c r="AC1068" s="1" t="str">
        <f>"خراسان جنوبي"</f>
        <v>خراسان جنوبي</v>
      </c>
      <c r="AD1068" s="1" t="str">
        <f>"95/05/05"</f>
        <v>95/05/05</v>
      </c>
      <c r="AE1068" s="1" t="str">
        <f t="shared" ref="AE1068:AE1091" si="280">"اختتام"</f>
        <v>اختتام</v>
      </c>
      <c r="AF1068" s="1" t="str">
        <f>""</f>
        <v/>
      </c>
      <c r="AG1068" s="1" t="str">
        <f>""</f>
        <v/>
      </c>
      <c r="AH1068" s="1" t="str">
        <f>""</f>
        <v/>
      </c>
      <c r="AI1068" s="1" t="str">
        <f>""</f>
        <v/>
      </c>
      <c r="AJ1068" s="1" t="str">
        <f>""</f>
        <v/>
      </c>
      <c r="AK1068" s="1" t="str">
        <f>""</f>
        <v/>
      </c>
    </row>
    <row r="1069" spans="1:37" x14ac:dyDescent="0.2">
      <c r="A1069" s="1">
        <v>300000</v>
      </c>
      <c r="B1069" s="1">
        <v>951400096</v>
      </c>
      <c r="C1069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69" s="1">
        <v>7276</v>
      </c>
      <c r="E1069" s="1">
        <v>25240</v>
      </c>
      <c r="F1069" s="1">
        <v>95</v>
      </c>
      <c r="G1069" s="1">
        <v>274760</v>
      </c>
      <c r="H1069" s="1" t="str">
        <f>"95/09/22"</f>
        <v>95/09/22</v>
      </c>
      <c r="I1069" s="1" t="str">
        <f t="shared" si="269"/>
        <v>كيلوگرم</v>
      </c>
      <c r="J1069" s="1" t="str">
        <f t="shared" si="278"/>
        <v>0000000092</v>
      </c>
      <c r="K1069" s="1" t="str">
        <f t="shared" si="279"/>
        <v>قير  PG64-16</v>
      </c>
      <c r="L1069" s="1">
        <v>100</v>
      </c>
      <c r="M1069" s="1" t="str">
        <f t="shared" si="272"/>
        <v>مخازن قير اصفهان</v>
      </c>
      <c r="N1069" s="1">
        <v>10717</v>
      </c>
      <c r="O1069" s="1">
        <v>50033005</v>
      </c>
      <c r="P1069" s="1" t="str">
        <f>"  تعاوني نگين صحت جيرفت"</f>
        <v xml:space="preserve">  تعاوني نگين صحت جيرفت</v>
      </c>
      <c r="Q1069" s="1">
        <v>14</v>
      </c>
      <c r="R1069" s="1" t="str">
        <f>"فروش داخلي - وزارت راه - حوزه راه روستايي ساخت"</f>
        <v>فروش داخلي - وزارت راه - حوزه راه روستايي ساخت</v>
      </c>
      <c r="S1069" s="1" t="str">
        <f t="shared" si="270"/>
        <v>قرارداد فروش</v>
      </c>
      <c r="T1069" s="1" t="str">
        <f t="shared" si="271"/>
        <v>ندارد</v>
      </c>
      <c r="U1069" s="1" t="str">
        <f>"دهقانيان بيژن (4954038)"</f>
        <v>دهقانيان بيژن (4954038)</v>
      </c>
      <c r="V1069" s="1">
        <v>951400096</v>
      </c>
      <c r="W1069" s="1">
        <v>951400096</v>
      </c>
      <c r="X1069" s="1" t="str">
        <f>"1395451389"</f>
        <v>1395451389</v>
      </c>
      <c r="Y1069" s="1" t="str">
        <f>"95/09/22"</f>
        <v>95/09/22</v>
      </c>
      <c r="Z1069" s="1" t="str">
        <f>"45719/710"</f>
        <v>45719/710</v>
      </c>
      <c r="AA1069" s="1" t="str">
        <f>"راه وروستايي -ساخت"</f>
        <v>راه وروستايي -ساخت</v>
      </c>
      <c r="AB1069" s="1" t="str">
        <f>"95/09/21"</f>
        <v>95/09/21</v>
      </c>
      <c r="AC1069" s="1" t="str">
        <f>"جنوب کرمان"</f>
        <v>جنوب کرمان</v>
      </c>
      <c r="AD1069" s="1" t="str">
        <f>"95/09/22"</f>
        <v>95/09/22</v>
      </c>
      <c r="AE1069" s="1" t="str">
        <f t="shared" si="280"/>
        <v>اختتام</v>
      </c>
      <c r="AF1069" s="1" t="str">
        <f>""</f>
        <v/>
      </c>
      <c r="AG1069" s="1" t="str">
        <f>""</f>
        <v/>
      </c>
      <c r="AH1069" s="1" t="str">
        <f>""</f>
        <v/>
      </c>
      <c r="AI1069" s="1" t="str">
        <f>""</f>
        <v/>
      </c>
      <c r="AJ1069" s="1" t="str">
        <f>""</f>
        <v/>
      </c>
      <c r="AK1069" s="1" t="str">
        <f>""</f>
        <v/>
      </c>
    </row>
    <row r="1070" spans="1:37" x14ac:dyDescent="0.2">
      <c r="A1070" s="1">
        <v>274760</v>
      </c>
      <c r="B1070" s="1">
        <v>951400101</v>
      </c>
      <c r="C1070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70" s="1">
        <v>9061</v>
      </c>
      <c r="E1070" s="1">
        <v>264060</v>
      </c>
      <c r="F1070" s="1">
        <v>95</v>
      </c>
      <c r="G1070" s="1">
        <v>10700</v>
      </c>
      <c r="H1070" s="1" t="str">
        <f>"95/10/05"</f>
        <v>95/10/05</v>
      </c>
      <c r="I1070" s="1" t="str">
        <f t="shared" si="269"/>
        <v>كيلوگرم</v>
      </c>
      <c r="J1070" s="1" t="str">
        <f t="shared" si="278"/>
        <v>0000000092</v>
      </c>
      <c r="K1070" s="1" t="str">
        <f t="shared" si="279"/>
        <v>قير  PG64-16</v>
      </c>
      <c r="L1070" s="1">
        <v>100</v>
      </c>
      <c r="M1070" s="1" t="str">
        <f t="shared" si="272"/>
        <v>مخازن قير اصفهان</v>
      </c>
      <c r="N1070" s="1">
        <v>10717</v>
      </c>
      <c r="O1070" s="1">
        <v>50033227</v>
      </c>
      <c r="P1070" s="1" t="str">
        <f>"  تعاوني نگين صحت جيرفت"</f>
        <v xml:space="preserve">  تعاوني نگين صحت جيرفت</v>
      </c>
      <c r="Q1070" s="1">
        <v>14</v>
      </c>
      <c r="R1070" s="1" t="str">
        <f>"فروش داخلي - وزارت راه - حوزه راه روستايي ساخت"</f>
        <v>فروش داخلي - وزارت راه - حوزه راه روستايي ساخت</v>
      </c>
      <c r="S1070" s="1" t="str">
        <f t="shared" si="270"/>
        <v>قرارداد فروش</v>
      </c>
      <c r="T1070" s="1" t="str">
        <f t="shared" si="271"/>
        <v>ندارد</v>
      </c>
      <c r="U1070" s="1" t="str">
        <f>"دشت بشي پودنگ وبرادران رضا(4844014)"</f>
        <v>دشت بشي پودنگ وبرادران رضا(4844014)</v>
      </c>
      <c r="V1070" s="1">
        <v>951400101</v>
      </c>
      <c r="W1070" s="1">
        <v>951400101</v>
      </c>
      <c r="X1070" s="1" t="str">
        <f>"1395451389"</f>
        <v>1395451389</v>
      </c>
      <c r="Y1070" s="1" t="str">
        <f>"95/10/04"</f>
        <v>95/10/04</v>
      </c>
      <c r="Z1070" s="1" t="str">
        <f>"45719/710"</f>
        <v>45719/710</v>
      </c>
      <c r="AA1070" s="1" t="str">
        <f>"راه وروستايي -ساخت"</f>
        <v>راه وروستايي -ساخت</v>
      </c>
      <c r="AB1070" s="1" t="str">
        <f>"95/09/21"</f>
        <v>95/09/21</v>
      </c>
      <c r="AC1070" s="1" t="str">
        <f>"جنوب کرمان"</f>
        <v>جنوب کرمان</v>
      </c>
      <c r="AD1070" s="1" t="str">
        <f>"95/09/22"</f>
        <v>95/09/22</v>
      </c>
      <c r="AE1070" s="1" t="str">
        <f t="shared" si="280"/>
        <v>اختتام</v>
      </c>
      <c r="AF1070" s="1" t="str">
        <f>""</f>
        <v/>
      </c>
      <c r="AG1070" s="1" t="str">
        <f>""</f>
        <v/>
      </c>
      <c r="AH1070" s="1" t="str">
        <f>""</f>
        <v/>
      </c>
      <c r="AI1070" s="1" t="str">
        <f>""</f>
        <v/>
      </c>
      <c r="AJ1070" s="1" t="str">
        <f>""</f>
        <v/>
      </c>
      <c r="AK1070" s="1" t="str">
        <f>""</f>
        <v/>
      </c>
    </row>
    <row r="1071" spans="1:37" x14ac:dyDescent="0.2">
      <c r="A1071" s="1">
        <v>300000</v>
      </c>
      <c r="B1071" s="1">
        <v>951400102</v>
      </c>
      <c r="C1071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71" s="1">
        <v>9061</v>
      </c>
      <c r="E1071" s="1">
        <v>297440</v>
      </c>
      <c r="F1071" s="1">
        <v>95</v>
      </c>
      <c r="G1071" s="1">
        <v>2560</v>
      </c>
      <c r="H1071" s="1" t="str">
        <f>"95/10/05"</f>
        <v>95/10/05</v>
      </c>
      <c r="I1071" s="1" t="str">
        <f t="shared" si="269"/>
        <v>كيلوگرم</v>
      </c>
      <c r="J1071" s="1" t="str">
        <f t="shared" si="278"/>
        <v>0000000092</v>
      </c>
      <c r="K1071" s="1" t="str">
        <f t="shared" si="279"/>
        <v>قير  PG64-16</v>
      </c>
      <c r="L1071" s="1">
        <v>100</v>
      </c>
      <c r="M1071" s="1" t="str">
        <f t="shared" si="272"/>
        <v>مخازن قير اصفهان</v>
      </c>
      <c r="N1071" s="1">
        <v>10717</v>
      </c>
      <c r="O1071" s="1">
        <v>50033228</v>
      </c>
      <c r="P1071" s="1" t="str">
        <f>"  تعاوني نگين صحت جيرفت"</f>
        <v xml:space="preserve">  تعاوني نگين صحت جيرفت</v>
      </c>
      <c r="Q1071" s="1">
        <v>14</v>
      </c>
      <c r="R1071" s="1" t="str">
        <f>"فروش داخلي - وزارت راه - حوزه راه روستايي ساخت"</f>
        <v>فروش داخلي - وزارت راه - حوزه راه روستايي ساخت</v>
      </c>
      <c r="S1071" s="1" t="str">
        <f t="shared" si="270"/>
        <v>قرارداد فروش</v>
      </c>
      <c r="T1071" s="1" t="str">
        <f t="shared" si="271"/>
        <v>ندارد</v>
      </c>
      <c r="U1071" s="1" t="str">
        <f>"دشت بشي پودنگ وبرادران رضا(4844014)"</f>
        <v>دشت بشي پودنگ وبرادران رضا(4844014)</v>
      </c>
      <c r="V1071" s="1">
        <v>951400102</v>
      </c>
      <c r="W1071" s="1">
        <v>951400102</v>
      </c>
      <c r="X1071" s="1" t="str">
        <f>"1395451389"</f>
        <v>1395451389</v>
      </c>
      <c r="Y1071" s="1" t="str">
        <f>"95/10/04"</f>
        <v>95/10/04</v>
      </c>
      <c r="Z1071" s="1" t="str">
        <f>"45721/710"</f>
        <v>45721/710</v>
      </c>
      <c r="AA1071" s="1" t="str">
        <f>"راه وروستايي -ساخت"</f>
        <v>راه وروستايي -ساخت</v>
      </c>
      <c r="AB1071" s="1" t="str">
        <f>"95/09/21"</f>
        <v>95/09/21</v>
      </c>
      <c r="AC1071" s="1" t="str">
        <f>"جنوب کرمان"</f>
        <v>جنوب کرمان</v>
      </c>
      <c r="AD1071" s="1" t="str">
        <f>"95/09/22"</f>
        <v>95/09/22</v>
      </c>
      <c r="AE1071" s="1" t="str">
        <f t="shared" si="280"/>
        <v>اختتام</v>
      </c>
      <c r="AF1071" s="1" t="str">
        <f>""</f>
        <v/>
      </c>
      <c r="AG1071" s="1" t="str">
        <f>""</f>
        <v/>
      </c>
      <c r="AH1071" s="1" t="str">
        <f>""</f>
        <v/>
      </c>
      <c r="AI1071" s="1" t="str">
        <f>""</f>
        <v/>
      </c>
      <c r="AJ1071" s="1" t="str">
        <f>""</f>
        <v/>
      </c>
      <c r="AK1071" s="1" t="str">
        <f>""</f>
        <v/>
      </c>
    </row>
    <row r="1072" spans="1:37" x14ac:dyDescent="0.2">
      <c r="A1072" s="1">
        <v>463000</v>
      </c>
      <c r="B1072" s="1">
        <v>951400128</v>
      </c>
      <c r="C1072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72" s="1">
        <v>9068</v>
      </c>
      <c r="E1072" s="1">
        <v>462900</v>
      </c>
      <c r="F1072" s="1">
        <v>95</v>
      </c>
      <c r="G1072" s="1">
        <v>100</v>
      </c>
      <c r="H1072" s="1" t="str">
        <f>"95/11/03"</f>
        <v>95/11/03</v>
      </c>
      <c r="I1072" s="1" t="str">
        <f t="shared" si="269"/>
        <v>كيلوگرم</v>
      </c>
      <c r="J1072" s="1" t="str">
        <f t="shared" si="278"/>
        <v>0000000092</v>
      </c>
      <c r="K1072" s="1" t="str">
        <f t="shared" si="279"/>
        <v>قير  PG64-16</v>
      </c>
      <c r="L1072" s="1">
        <v>100</v>
      </c>
      <c r="M1072" s="1" t="str">
        <f t="shared" si="272"/>
        <v>مخازن قير اصفهان</v>
      </c>
      <c r="N1072" s="1">
        <v>10717</v>
      </c>
      <c r="O1072" s="1">
        <v>50033472</v>
      </c>
      <c r="P1072" s="1" t="str">
        <f>"  تعاوني نگين صحت جيرفت"</f>
        <v xml:space="preserve">  تعاوني نگين صحت جيرفت</v>
      </c>
      <c r="Q1072" s="1">
        <v>14</v>
      </c>
      <c r="R1072" s="1" t="str">
        <f>"فروش داخلي - وزارت راه - حوزه راه روستايي ساخت"</f>
        <v>فروش داخلي - وزارت راه - حوزه راه روستايي ساخت</v>
      </c>
      <c r="S1072" s="1" t="str">
        <f t="shared" si="270"/>
        <v>قرارداد فروش</v>
      </c>
      <c r="T1072" s="1" t="str">
        <f t="shared" si="271"/>
        <v>ندارد</v>
      </c>
      <c r="U1072" s="1" t="str">
        <f>"دشت بشي پودنگ وبرادران رضا(4844014)"</f>
        <v>دشت بشي پودنگ وبرادران رضا(4844014)</v>
      </c>
      <c r="V1072" s="1">
        <v>951400128</v>
      </c>
      <c r="W1072" s="1">
        <v>951400128</v>
      </c>
      <c r="X1072" s="1" t="str">
        <f>"1395456109"</f>
        <v>1395456109</v>
      </c>
      <c r="Y1072" s="1" t="str">
        <f>"95/11/03"</f>
        <v>95/11/03</v>
      </c>
      <c r="Z1072" s="1" t="str">
        <f>"47058/710"</f>
        <v>47058/710</v>
      </c>
      <c r="AA1072" s="1" t="str">
        <f>"راه وروستايي -ساخت"</f>
        <v>راه وروستايي -ساخت</v>
      </c>
      <c r="AB1072" s="1" t="str">
        <f>"95/09/28"</f>
        <v>95/09/28</v>
      </c>
      <c r="AC1072" s="1" t="str">
        <f>"جنوب کرمان"</f>
        <v>جنوب کرمان</v>
      </c>
      <c r="AD1072" s="1" t="str">
        <f>"95/10/11"</f>
        <v>95/10/11</v>
      </c>
      <c r="AE1072" s="1" t="str">
        <f t="shared" si="280"/>
        <v>اختتام</v>
      </c>
      <c r="AF1072" s="1" t="str">
        <f>""</f>
        <v/>
      </c>
      <c r="AG1072" s="1" t="str">
        <f>""</f>
        <v/>
      </c>
      <c r="AH1072" s="1" t="str">
        <f>""</f>
        <v/>
      </c>
      <c r="AI1072" s="1" t="str">
        <f>""</f>
        <v/>
      </c>
      <c r="AJ1072" s="1" t="str">
        <f>""</f>
        <v/>
      </c>
      <c r="AK1072" s="1" t="str">
        <f>""</f>
        <v/>
      </c>
    </row>
    <row r="1073" spans="1:37" x14ac:dyDescent="0.2">
      <c r="A1073" s="1">
        <v>50000</v>
      </c>
      <c r="B1073" s="1">
        <v>951400132</v>
      </c>
      <c r="C1073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073" s="1">
        <v>9511</v>
      </c>
      <c r="E1073" s="1">
        <v>50000</v>
      </c>
      <c r="F1073" s="1">
        <v>95</v>
      </c>
      <c r="G1073" s="1">
        <v>0</v>
      </c>
      <c r="H1073" s="1" t="str">
        <f>"95/11/03"</f>
        <v>95/11/03</v>
      </c>
      <c r="I1073" s="1" t="str">
        <f t="shared" si="269"/>
        <v>كيلوگرم</v>
      </c>
      <c r="J1073" s="1" t="str">
        <f t="shared" si="278"/>
        <v>0000000092</v>
      </c>
      <c r="K1073" s="1" t="str">
        <f t="shared" si="279"/>
        <v>قير  PG64-16</v>
      </c>
      <c r="L1073" s="1">
        <v>100</v>
      </c>
      <c r="M1073" s="1" t="str">
        <f t="shared" si="272"/>
        <v>مخازن قير اصفهان</v>
      </c>
      <c r="N1073" s="1">
        <v>10717</v>
      </c>
      <c r="O1073" s="1">
        <v>50033476</v>
      </c>
      <c r="P1073" s="1" t="str">
        <f>"  تعاوني نگين صحت جيرفت"</f>
        <v xml:space="preserve">  تعاوني نگين صحت جيرفت</v>
      </c>
      <c r="Q1073" s="1">
        <v>14</v>
      </c>
      <c r="R1073" s="1" t="str">
        <f>"فروش داخلي - وزارت راه - حوزه راه روستايي ساخت"</f>
        <v>فروش داخلي - وزارت راه - حوزه راه روستايي ساخت</v>
      </c>
      <c r="S1073" s="1" t="str">
        <f t="shared" si="270"/>
        <v>قرارداد فروش</v>
      </c>
      <c r="T1073" s="1" t="str">
        <f t="shared" si="271"/>
        <v>ندارد</v>
      </c>
      <c r="U1073" s="1" t="str">
        <f>"دشت بشي پودنگ وبرادران رضا(4844014)"</f>
        <v>دشت بشي پودنگ وبرادران رضا(4844014)</v>
      </c>
      <c r="V1073" s="1">
        <v>951400132</v>
      </c>
      <c r="W1073" s="1">
        <v>951400132</v>
      </c>
      <c r="X1073" s="1" t="str">
        <f>"1395456109"</f>
        <v>1395456109</v>
      </c>
      <c r="Y1073" s="1" t="str">
        <f>"95/11/03"</f>
        <v>95/11/03</v>
      </c>
      <c r="Z1073" s="1" t="str">
        <f>"45723/710"</f>
        <v>45723/710</v>
      </c>
      <c r="AA1073" s="1" t="str">
        <f>"راه وروستايي -ساخت"</f>
        <v>راه وروستايي -ساخت</v>
      </c>
      <c r="AB1073" s="1" t="str">
        <f>"95/09/21"</f>
        <v>95/09/21</v>
      </c>
      <c r="AC1073" s="1" t="str">
        <f>"جنوب کرمان"</f>
        <v>جنوب کرمان</v>
      </c>
      <c r="AD1073" s="1" t="str">
        <f>"95/10/11"</f>
        <v>95/10/11</v>
      </c>
      <c r="AE1073" s="1" t="str">
        <f t="shared" si="280"/>
        <v>اختتام</v>
      </c>
      <c r="AF1073" s="1" t="str">
        <f>""</f>
        <v/>
      </c>
      <c r="AG1073" s="1" t="str">
        <f>""</f>
        <v/>
      </c>
      <c r="AH1073" s="1" t="str">
        <f>""</f>
        <v/>
      </c>
      <c r="AI1073" s="1" t="str">
        <f>""</f>
        <v/>
      </c>
      <c r="AJ1073" s="1" t="str">
        <f>""</f>
        <v/>
      </c>
      <c r="AK1073" s="1" t="str">
        <f>""</f>
        <v/>
      </c>
    </row>
    <row r="1074" spans="1:37" x14ac:dyDescent="0.2">
      <c r="A1074" s="1">
        <v>300000</v>
      </c>
      <c r="B1074" s="1">
        <v>951800008</v>
      </c>
      <c r="C1074" s="1" t="str">
        <f>"تخليه -كرمانشاه -گردنه مرصاد-جاده حسن آباد-دوراهي انجيرك كارخانه آسفالت شركت راكن"</f>
        <v>تخليه -كرمانشاه -گردنه مرصاد-جاده حسن آباد-دوراهي انجيرك كارخانه آسفالت شركت راكن</v>
      </c>
      <c r="D1074" s="1">
        <v>6050</v>
      </c>
      <c r="E1074" s="1">
        <v>300000</v>
      </c>
      <c r="F1074" s="1">
        <v>95</v>
      </c>
      <c r="G1074" s="1">
        <v>0</v>
      </c>
      <c r="H1074" s="1" t="str">
        <f>"95/03/18"</f>
        <v>95/03/18</v>
      </c>
      <c r="I1074" s="1" t="str">
        <f t="shared" si="269"/>
        <v>كيلوگرم</v>
      </c>
      <c r="J1074" s="1" t="str">
        <f t="shared" ref="J1074:J1079" si="281">"0000000091"</f>
        <v>0000000091</v>
      </c>
      <c r="K1074" s="1" t="str">
        <f t="shared" ref="K1074:K1079" si="282">"قير  PG64-22"</f>
        <v>قير  PG64-22</v>
      </c>
      <c r="L1074" s="1">
        <v>100</v>
      </c>
      <c r="M1074" s="1" t="str">
        <f t="shared" si="272"/>
        <v>مخازن قير اصفهان</v>
      </c>
      <c r="N1074" s="1">
        <v>9495</v>
      </c>
      <c r="O1074" s="1">
        <v>50030978</v>
      </c>
      <c r="P1074" s="1" t="str">
        <f>"  راه و ساختمان راكن"</f>
        <v xml:space="preserve">  راه و ساختمان راكن</v>
      </c>
      <c r="Q1074" s="1">
        <v>18</v>
      </c>
      <c r="R1074" s="1" t="str">
        <f>"فروش داخلي تهران - وزارت راه - شرکت ساخت و توسعه راهها"</f>
        <v>فروش داخلي تهران - وزارت راه - شرکت ساخت و توسعه راهها</v>
      </c>
      <c r="S1074" s="1" t="str">
        <f t="shared" si="270"/>
        <v>قرارداد فروش</v>
      </c>
      <c r="T1074" s="1" t="str">
        <f t="shared" si="271"/>
        <v>ندارد</v>
      </c>
      <c r="U1074" s="1" t="str">
        <f>"سليمي پارساعارف عماد(1901096)"</f>
        <v>سليمي پارساعارف عماد(1901096)</v>
      </c>
      <c r="V1074" s="1">
        <v>951800008</v>
      </c>
      <c r="W1074" s="1">
        <v>951800008</v>
      </c>
      <c r="X1074" s="1" t="str">
        <f>"1395407989"</f>
        <v>1395407989</v>
      </c>
      <c r="Y1074" s="1" t="str">
        <f>"95/03/18"</f>
        <v>95/03/18</v>
      </c>
      <c r="Z1074" s="1" t="str">
        <f>"10415/510"</f>
        <v>10415/510</v>
      </c>
      <c r="AA1074" s="1" t="str">
        <f>"شركت  ساخت وتوسعه راهها"</f>
        <v>شركت  ساخت وتوسعه راهها</v>
      </c>
      <c r="AB1074" s="1" t="str">
        <f>"95/03/12"</f>
        <v>95/03/12</v>
      </c>
      <c r="AC1074" s="1" t="str">
        <f>"استان كرمانشاه"</f>
        <v>استان كرمانشاه</v>
      </c>
      <c r="AD1074" s="1" t="str">
        <f>"95/03/18"</f>
        <v>95/03/18</v>
      </c>
      <c r="AE1074" s="1" t="str">
        <f t="shared" si="280"/>
        <v>اختتام</v>
      </c>
      <c r="AF1074" s="1" t="str">
        <f>""</f>
        <v/>
      </c>
      <c r="AG1074" s="1" t="str">
        <f>""</f>
        <v/>
      </c>
      <c r="AH1074" s="1" t="str">
        <f>""</f>
        <v/>
      </c>
      <c r="AI1074" s="1" t="str">
        <f>""</f>
        <v/>
      </c>
      <c r="AJ1074" s="1" t="str">
        <f>""</f>
        <v/>
      </c>
      <c r="AK1074" s="1" t="str">
        <f>""</f>
        <v/>
      </c>
    </row>
    <row r="1075" spans="1:37" x14ac:dyDescent="0.2">
      <c r="A1075" s="1">
        <v>200000</v>
      </c>
      <c r="B1075" s="1">
        <v>951800016</v>
      </c>
      <c r="C1075" s="1" t="str">
        <f>"تخليه -كرمانشاه -گردنه مرصاد-جاده حسن آباد-دوراهي انجيرك كارخانه آسفالت شركت راكن"</f>
        <v>تخليه -كرمانشاه -گردنه مرصاد-جاده حسن آباد-دوراهي انجيرك كارخانه آسفالت شركت راكن</v>
      </c>
      <c r="D1075" s="1">
        <v>6050</v>
      </c>
      <c r="E1075" s="1">
        <v>200000</v>
      </c>
      <c r="F1075" s="1">
        <v>95</v>
      </c>
      <c r="G1075" s="1">
        <v>0</v>
      </c>
      <c r="H1075" s="1" t="str">
        <f>"95/03/24"</f>
        <v>95/03/24</v>
      </c>
      <c r="I1075" s="1" t="str">
        <f t="shared" si="269"/>
        <v>كيلوگرم</v>
      </c>
      <c r="J1075" s="1" t="str">
        <f t="shared" si="281"/>
        <v>0000000091</v>
      </c>
      <c r="K1075" s="1" t="str">
        <f t="shared" si="282"/>
        <v>قير  PG64-22</v>
      </c>
      <c r="L1075" s="1">
        <v>100</v>
      </c>
      <c r="M1075" s="1" t="str">
        <f t="shared" si="272"/>
        <v>مخازن قير اصفهان</v>
      </c>
      <c r="N1075" s="1">
        <v>9495</v>
      </c>
      <c r="O1075" s="1">
        <v>50031025</v>
      </c>
      <c r="P1075" s="1" t="str">
        <f>"  راه و ساختمان راكن"</f>
        <v xml:space="preserve">  راه و ساختمان راكن</v>
      </c>
      <c r="Q1075" s="1">
        <v>18</v>
      </c>
      <c r="R1075" s="1" t="str">
        <f>"فروش داخلي تهران - وزارت راه - شرکت ساخت و توسعه راهها"</f>
        <v>فروش داخلي تهران - وزارت راه - شرکت ساخت و توسعه راهها</v>
      </c>
      <c r="S1075" s="1" t="str">
        <f t="shared" si="270"/>
        <v>قرارداد فروش</v>
      </c>
      <c r="T1075" s="1" t="str">
        <f t="shared" si="271"/>
        <v>ندارد</v>
      </c>
      <c r="U1075" s="1" t="str">
        <f>"سليمي پارساعارف عماد(1901096)"</f>
        <v>سليمي پارساعارف عماد(1901096)</v>
      </c>
      <c r="V1075" s="1">
        <v>951800016</v>
      </c>
      <c r="W1075" s="1">
        <v>951800016</v>
      </c>
      <c r="X1075" s="1" t="str">
        <f>"1395409034"</f>
        <v>1395409034</v>
      </c>
      <c r="Y1075" s="1" t="str">
        <f>"95/03/24"</f>
        <v>95/03/24</v>
      </c>
      <c r="Z1075" s="1" t="str">
        <f>"11569/510"</f>
        <v>11569/510</v>
      </c>
      <c r="AA1075" s="1" t="str">
        <f>"شركت  ساخت وتوسعه راهها"</f>
        <v>شركت  ساخت وتوسعه راهها</v>
      </c>
      <c r="AB1075" s="1" t="str">
        <f>"95/03/22"</f>
        <v>95/03/22</v>
      </c>
      <c r="AC1075" s="1" t="str">
        <f>"استان كرمانشاه"</f>
        <v>استان كرمانشاه</v>
      </c>
      <c r="AD1075" s="1" t="str">
        <f>"95/03/24"</f>
        <v>95/03/24</v>
      </c>
      <c r="AE1075" s="1" t="str">
        <f t="shared" si="280"/>
        <v>اختتام</v>
      </c>
      <c r="AF1075" s="1" t="str">
        <f>""</f>
        <v/>
      </c>
      <c r="AG1075" s="1" t="str">
        <f>""</f>
        <v/>
      </c>
      <c r="AH1075" s="1" t="str">
        <f>""</f>
        <v/>
      </c>
      <c r="AI1075" s="1" t="str">
        <f>""</f>
        <v/>
      </c>
      <c r="AJ1075" s="1" t="str">
        <f>""</f>
        <v/>
      </c>
      <c r="AK1075" s="1" t="str">
        <f>""</f>
        <v/>
      </c>
    </row>
    <row r="1076" spans="1:37" x14ac:dyDescent="0.2">
      <c r="A1076" s="1">
        <v>500000</v>
      </c>
      <c r="B1076" s="1">
        <v>951800097</v>
      </c>
      <c r="C1076" s="1" t="str">
        <f>"تخليه -كرمانشاه -گردنه مرصاد-جاده حسن آباد-دوراهي انجيرك كارخانه آسفالت شركت راكن"</f>
        <v>تخليه -كرمانشاه -گردنه مرصاد-جاده حسن آباد-دوراهي انجيرك كارخانه آسفالت شركت راكن</v>
      </c>
      <c r="D1076" s="1">
        <v>8323</v>
      </c>
      <c r="E1076" s="1">
        <v>166080</v>
      </c>
      <c r="F1076" s="1">
        <v>95</v>
      </c>
      <c r="G1076" s="1">
        <v>333920</v>
      </c>
      <c r="H1076" s="1" t="str">
        <f>"95/08/26"</f>
        <v>95/08/26</v>
      </c>
      <c r="I1076" s="1" t="str">
        <f t="shared" si="269"/>
        <v>كيلوگرم</v>
      </c>
      <c r="J1076" s="1" t="str">
        <f t="shared" si="281"/>
        <v>0000000091</v>
      </c>
      <c r="K1076" s="1" t="str">
        <f t="shared" si="282"/>
        <v>قير  PG64-22</v>
      </c>
      <c r="L1076" s="1">
        <v>100</v>
      </c>
      <c r="M1076" s="1" t="str">
        <f t="shared" si="272"/>
        <v>مخازن قير اصفهان</v>
      </c>
      <c r="N1076" s="1">
        <v>9495</v>
      </c>
      <c r="O1076" s="1">
        <v>50032618</v>
      </c>
      <c r="P1076" s="1" t="str">
        <f>"  راه و ساختمان راكن"</f>
        <v xml:space="preserve">  راه و ساختمان راكن</v>
      </c>
      <c r="Q1076" s="1">
        <v>18</v>
      </c>
      <c r="R1076" s="1" t="str">
        <f>"فروش داخلي تهران - وزارت راه - شرکت ساخت و توسعه راهها"</f>
        <v>فروش داخلي تهران - وزارت راه - شرکت ساخت و توسعه راهها</v>
      </c>
      <c r="S1076" s="1" t="str">
        <f t="shared" si="270"/>
        <v>قرارداد فروش</v>
      </c>
      <c r="T1076" s="1" t="str">
        <f t="shared" si="271"/>
        <v>ندارد</v>
      </c>
      <c r="U1076" s="1" t="str">
        <f>"سليمي پارساعارف عماد(1901096)"</f>
        <v>سليمي پارساعارف عماد(1901096)</v>
      </c>
      <c r="V1076" s="1">
        <v>951800097</v>
      </c>
      <c r="W1076" s="1">
        <v>951800097</v>
      </c>
      <c r="X1076" s="1" t="str">
        <f>"1395446080"</f>
        <v>1395446080</v>
      </c>
      <c r="Y1076" s="1" t="str">
        <f>"95/08/26"</f>
        <v>95/08/26</v>
      </c>
      <c r="Z1076" s="1" t="str">
        <f>"40592/710"</f>
        <v>40592/710</v>
      </c>
      <c r="AA1076" s="1" t="str">
        <f>"شركت  ساخت وتوسعه راهها"</f>
        <v>شركت  ساخت وتوسعه راهها</v>
      </c>
      <c r="AB1076" s="1" t="str">
        <f>"95/08/19"</f>
        <v>95/08/19</v>
      </c>
      <c r="AC1076" s="1" t="str">
        <f>"استان ايلام"</f>
        <v>استان ايلام</v>
      </c>
      <c r="AD1076" s="1" t="str">
        <f>"95/08/26"</f>
        <v>95/08/26</v>
      </c>
      <c r="AE1076" s="1" t="str">
        <f t="shared" si="280"/>
        <v>اختتام</v>
      </c>
      <c r="AF1076" s="1" t="str">
        <f>""</f>
        <v/>
      </c>
      <c r="AG1076" s="1" t="str">
        <f>""</f>
        <v/>
      </c>
      <c r="AH1076" s="1" t="str">
        <f>""</f>
        <v/>
      </c>
      <c r="AI1076" s="1" t="str">
        <f>""</f>
        <v/>
      </c>
      <c r="AJ1076" s="1" t="str">
        <f>""</f>
        <v/>
      </c>
      <c r="AK1076" s="1" t="str">
        <f>""</f>
        <v/>
      </c>
    </row>
    <row r="1077" spans="1:37" x14ac:dyDescent="0.2">
      <c r="A1077" s="1">
        <v>910000</v>
      </c>
      <c r="B1077" s="1">
        <v>951700063</v>
      </c>
      <c r="C1077" s="1" t="str">
        <f>"تخليه -كرمان -بافت كيلومتر18جاده بافت -سيرجان"</f>
        <v>تخليه -كرمان -بافت كيلومتر18جاده بافت -سيرجان</v>
      </c>
      <c r="D1077" s="1">
        <v>6250</v>
      </c>
      <c r="E1077" s="1">
        <v>908520</v>
      </c>
      <c r="F1077" s="1">
        <v>95</v>
      </c>
      <c r="G1077" s="1">
        <v>1480</v>
      </c>
      <c r="H1077" s="1" t="str">
        <f>"95/04/06"</f>
        <v>95/04/06</v>
      </c>
      <c r="I1077" s="1" t="str">
        <f t="shared" si="269"/>
        <v>كيلوگرم</v>
      </c>
      <c r="J1077" s="1" t="str">
        <f t="shared" si="281"/>
        <v>0000000091</v>
      </c>
      <c r="K1077" s="1" t="str">
        <f t="shared" si="282"/>
        <v>قير  PG64-22</v>
      </c>
      <c r="L1077" s="1">
        <v>100</v>
      </c>
      <c r="M1077" s="1" t="str">
        <f t="shared" si="272"/>
        <v>مخازن قير اصفهان</v>
      </c>
      <c r="N1077" s="1">
        <v>9533</v>
      </c>
      <c r="O1077" s="1">
        <v>50031131</v>
      </c>
      <c r="P1077" s="1" t="str">
        <f>"  سيرجان عمران تداوم"</f>
        <v xml:space="preserve">  سيرجان عمران تداوم</v>
      </c>
      <c r="Q1077" s="1">
        <v>17</v>
      </c>
      <c r="R1077" s="1" t="str">
        <f>"فروش داخلي تهران - وزارت راه - راه روستايي - روکش"</f>
        <v>فروش داخلي تهران - وزارت راه - راه روستايي - روکش</v>
      </c>
      <c r="S1077" s="1" t="str">
        <f t="shared" si="270"/>
        <v>قرارداد فروش</v>
      </c>
      <c r="T1077" s="1" t="str">
        <f t="shared" si="271"/>
        <v>ندارد</v>
      </c>
      <c r="U1077" s="1" t="str">
        <f>"خضرائي فريدون(4844003)"</f>
        <v>خضرائي فريدون(4844003)</v>
      </c>
      <c r="V1077" s="1">
        <v>951700063</v>
      </c>
      <c r="W1077" s="1">
        <v>951700063</v>
      </c>
      <c r="X1077" s="1" t="str">
        <f>"1395411231"</f>
        <v>1395411231</v>
      </c>
      <c r="Y1077" s="1" t="str">
        <f>"95/04/06"</f>
        <v>95/04/06</v>
      </c>
      <c r="Z1077" s="1" t="str">
        <f>"12363/510"</f>
        <v>12363/510</v>
      </c>
      <c r="AA1077" s="1" t="str">
        <f>"راه روستائي -روكش"</f>
        <v>راه روستائي -روكش</v>
      </c>
      <c r="AB1077" s="1" t="str">
        <f>"95/03/25"</f>
        <v>95/03/25</v>
      </c>
      <c r="AC1077" s="1" t="str">
        <f>"استان كرمان"</f>
        <v>استان كرمان</v>
      </c>
      <c r="AD1077" s="1" t="str">
        <f>"95/04/05"</f>
        <v>95/04/05</v>
      </c>
      <c r="AE1077" s="1" t="str">
        <f t="shared" si="280"/>
        <v>اختتام</v>
      </c>
      <c r="AF1077" s="1" t="str">
        <f>""</f>
        <v/>
      </c>
      <c r="AG1077" s="1" t="str">
        <f>""</f>
        <v/>
      </c>
      <c r="AH1077" s="1" t="str">
        <f>""</f>
        <v/>
      </c>
      <c r="AI1077" s="1" t="str">
        <f>""</f>
        <v/>
      </c>
      <c r="AJ1077" s="1" t="str">
        <f>""</f>
        <v/>
      </c>
      <c r="AK1077" s="1" t="str">
        <f>""</f>
        <v/>
      </c>
    </row>
    <row r="1078" spans="1:37" x14ac:dyDescent="0.2">
      <c r="A1078" s="1">
        <v>220000</v>
      </c>
      <c r="B1078" s="1">
        <v>951800076</v>
      </c>
      <c r="C1078" s="1" t="str">
        <f>"تخليه -ملاير-جوكار-به سمت جاده توسيركان -جاده روستاي كوسج خليل"</f>
        <v>تخليه -ملاير-جوكار-به سمت جاده توسيركان -جاده روستاي كوسج خليل</v>
      </c>
      <c r="D1078" s="1">
        <v>7276</v>
      </c>
      <c r="E1078" s="1">
        <v>204320</v>
      </c>
      <c r="F1078" s="1">
        <v>95</v>
      </c>
      <c r="G1078" s="1">
        <v>15680</v>
      </c>
      <c r="H1078" s="1" t="str">
        <f>"95/07/07"</f>
        <v>95/07/07</v>
      </c>
      <c r="I1078" s="1" t="str">
        <f t="shared" si="269"/>
        <v>كيلوگرم</v>
      </c>
      <c r="J1078" s="1" t="str">
        <f t="shared" si="281"/>
        <v>0000000091</v>
      </c>
      <c r="K1078" s="1" t="str">
        <f t="shared" si="282"/>
        <v>قير  PG64-22</v>
      </c>
      <c r="L1078" s="1">
        <v>100</v>
      </c>
      <c r="M1078" s="1" t="str">
        <f t="shared" si="272"/>
        <v>مخازن قير اصفهان</v>
      </c>
      <c r="N1078" s="1">
        <v>9645</v>
      </c>
      <c r="O1078" s="1">
        <v>50032019</v>
      </c>
      <c r="P1078" s="1" t="str">
        <f>"  بتن راه ميلاد"</f>
        <v xml:space="preserve">  بتن راه ميلاد</v>
      </c>
      <c r="Q1078" s="1">
        <v>18</v>
      </c>
      <c r="R1078" s="1" t="str">
        <f>"فروش داخلي تهران - وزارت راه - شرکت ساخت و توسعه راهها"</f>
        <v>فروش داخلي تهران - وزارت راه - شرکت ساخت و توسعه راهها</v>
      </c>
      <c r="S1078" s="1" t="str">
        <f t="shared" si="270"/>
        <v>قرارداد فروش</v>
      </c>
      <c r="T1078" s="1" t="str">
        <f t="shared" si="271"/>
        <v>ندارد</v>
      </c>
      <c r="U1078" s="1" t="str">
        <f>"حاجيلوئي علي اصغر(2842019)"</f>
        <v>حاجيلوئي علي اصغر(2842019)</v>
      </c>
      <c r="V1078" s="1">
        <v>951800076</v>
      </c>
      <c r="W1078" s="1">
        <v>951800076</v>
      </c>
      <c r="X1078" s="1" t="str">
        <f>"1395434116"</f>
        <v>1395434116</v>
      </c>
      <c r="Y1078" s="1" t="str">
        <f>"95/07/07"</f>
        <v>95/07/07</v>
      </c>
      <c r="Z1078" s="1" t="str">
        <f>"30399/510"</f>
        <v>30399/510</v>
      </c>
      <c r="AA1078" s="1" t="str">
        <f>"شركت  ساخت وتوسعه راهها"</f>
        <v>شركت  ساخت وتوسعه راهها</v>
      </c>
      <c r="AB1078" s="1" t="str">
        <f>"95/06/27"</f>
        <v>95/06/27</v>
      </c>
      <c r="AC1078" s="1" t="str">
        <f>"استان همدان"</f>
        <v>استان همدان</v>
      </c>
      <c r="AD1078" s="1" t="str">
        <f>"95/07/06"</f>
        <v>95/07/06</v>
      </c>
      <c r="AE1078" s="1" t="str">
        <f t="shared" si="280"/>
        <v>اختتام</v>
      </c>
      <c r="AF1078" s="1" t="str">
        <f>""</f>
        <v/>
      </c>
      <c r="AG1078" s="1" t="str">
        <f>""</f>
        <v/>
      </c>
      <c r="AH1078" s="1" t="str">
        <f>""</f>
        <v/>
      </c>
      <c r="AI1078" s="1" t="str">
        <f>""</f>
        <v/>
      </c>
      <c r="AJ1078" s="1" t="str">
        <f>""</f>
        <v/>
      </c>
      <c r="AK1078" s="1" t="str">
        <f>""</f>
        <v/>
      </c>
    </row>
    <row r="1079" spans="1:37" x14ac:dyDescent="0.2">
      <c r="A1079" s="1">
        <v>1000000</v>
      </c>
      <c r="B1079" s="1">
        <v>951800006</v>
      </c>
      <c r="C1079" s="1" t="str">
        <f>"تخليه -بجنورد-نرسيده به پليس راه -جاده پيرآباد-شوسه"</f>
        <v>تخليه -بجنورد-نرسيده به پليس راه -جاده پيرآباد-شوسه</v>
      </c>
      <c r="D1079" s="1">
        <v>6050</v>
      </c>
      <c r="E1079" s="1">
        <v>999780</v>
      </c>
      <c r="F1079" s="1">
        <v>95</v>
      </c>
      <c r="G1079" s="1">
        <v>220</v>
      </c>
      <c r="H1079" s="1" t="str">
        <f>"95/03/16"</f>
        <v>95/03/16</v>
      </c>
      <c r="I1079" s="1" t="str">
        <f t="shared" si="269"/>
        <v>كيلوگرم</v>
      </c>
      <c r="J1079" s="1" t="str">
        <f t="shared" si="281"/>
        <v>0000000091</v>
      </c>
      <c r="K1079" s="1" t="str">
        <f t="shared" si="282"/>
        <v>قير  PG64-22</v>
      </c>
      <c r="L1079" s="1">
        <v>100</v>
      </c>
      <c r="M1079" s="1" t="str">
        <f t="shared" si="272"/>
        <v>مخازن قير اصفهان</v>
      </c>
      <c r="N1079" s="1">
        <v>9721</v>
      </c>
      <c r="O1079" s="1">
        <v>50030968</v>
      </c>
      <c r="P1079" s="1" t="str">
        <f>"  ساختماني شوسه"</f>
        <v xml:space="preserve">  ساختماني شوسه</v>
      </c>
      <c r="Q1079" s="1">
        <v>18</v>
      </c>
      <c r="R1079" s="1" t="str">
        <f>"فروش داخلي تهران - وزارت راه - شرکت ساخت و توسعه راهها"</f>
        <v>فروش داخلي تهران - وزارت راه - شرکت ساخت و توسعه راهها</v>
      </c>
      <c r="S1079" s="1" t="str">
        <f t="shared" si="270"/>
        <v>قرارداد فروش</v>
      </c>
      <c r="T1079" s="1" t="str">
        <f t="shared" si="271"/>
        <v>ندارد</v>
      </c>
      <c r="U1079" s="1" t="str">
        <f>"دهقانيان بهرام(4844012)"</f>
        <v>دهقانيان بهرام(4844012)</v>
      </c>
      <c r="V1079" s="1">
        <v>951800006</v>
      </c>
      <c r="W1079" s="1">
        <v>951800006</v>
      </c>
      <c r="X1079" s="1" t="str">
        <f>"1395407684"</f>
        <v>1395407684</v>
      </c>
      <c r="Y1079" s="1" t="str">
        <f>"95/03/16"</f>
        <v>95/03/16</v>
      </c>
      <c r="Z1079" s="1" t="str">
        <f>"10225/510"</f>
        <v>10225/510</v>
      </c>
      <c r="AA1079" s="1" t="str">
        <f>"شركت  ساخت وتوسعه راهها"</f>
        <v>شركت  ساخت وتوسعه راهها</v>
      </c>
      <c r="AB1079" s="1" t="str">
        <f>"95/03/11"</f>
        <v>95/03/11</v>
      </c>
      <c r="AC1079" s="1" t="str">
        <f>"خراسان شمالي"</f>
        <v>خراسان شمالي</v>
      </c>
      <c r="AD1079" s="1" t="str">
        <f>"95/03/16"</f>
        <v>95/03/16</v>
      </c>
      <c r="AE1079" s="1" t="str">
        <f t="shared" si="280"/>
        <v>اختتام</v>
      </c>
      <c r="AF1079" s="1" t="str">
        <f>""</f>
        <v/>
      </c>
      <c r="AG1079" s="1" t="str">
        <f>""</f>
        <v/>
      </c>
      <c r="AH1079" s="1" t="str">
        <f>""</f>
        <v/>
      </c>
      <c r="AI1079" s="1" t="str">
        <f>""</f>
        <v/>
      </c>
      <c r="AJ1079" s="1" t="str">
        <f>""</f>
        <v/>
      </c>
      <c r="AK1079" s="1" t="str">
        <f>""</f>
        <v/>
      </c>
    </row>
    <row r="1080" spans="1:37" x14ac:dyDescent="0.2">
      <c r="A1080" s="1">
        <v>1000000</v>
      </c>
      <c r="B1080" s="1">
        <v>951800032</v>
      </c>
      <c r="C1080" s="1" t="str">
        <f>"تخليه -خرم آباد -آزادراه خرم آباد-پل زال"</f>
        <v>تخليه -خرم آباد -آزادراه خرم آباد-پل زال</v>
      </c>
      <c r="D1080" s="1">
        <v>6250</v>
      </c>
      <c r="E1080" s="1">
        <v>1000000</v>
      </c>
      <c r="F1080" s="1">
        <v>95</v>
      </c>
      <c r="G1080" s="1">
        <v>0</v>
      </c>
      <c r="H1080" s="1" t="str">
        <f>"95/04/29"</f>
        <v>95/04/29</v>
      </c>
      <c r="I1080" s="1" t="str">
        <f t="shared" si="269"/>
        <v>كيلوگرم</v>
      </c>
      <c r="J1080" s="1" t="str">
        <f>"0000000092"</f>
        <v>0000000092</v>
      </c>
      <c r="K1080" s="1" t="str">
        <f>"قير  PG64-16"</f>
        <v>قير  PG64-16</v>
      </c>
      <c r="L1080" s="1">
        <v>100</v>
      </c>
      <c r="M1080" s="1" t="str">
        <f t="shared" si="272"/>
        <v>مخازن قير اصفهان</v>
      </c>
      <c r="N1080" s="1">
        <v>8798</v>
      </c>
      <c r="O1080" s="1">
        <v>50031319</v>
      </c>
      <c r="P1080" s="1" t="str">
        <f>"  احداث نگهداري وبهره برداري آزادراه خرم آباد-پل زال"</f>
        <v xml:space="preserve">  احداث نگهداري وبهره برداري آزادراه خرم آباد-پل زال</v>
      </c>
      <c r="Q1080" s="1">
        <v>18</v>
      </c>
      <c r="R1080" s="1" t="str">
        <f>"فروش داخلي تهران - وزارت راه - شرکت ساخت و توسعه راهها"</f>
        <v>فروش داخلي تهران - وزارت راه - شرکت ساخت و توسعه راهها</v>
      </c>
      <c r="S1080" s="1" t="str">
        <f t="shared" si="270"/>
        <v>قرارداد فروش</v>
      </c>
      <c r="T1080" s="1" t="str">
        <f t="shared" si="271"/>
        <v>ندارد</v>
      </c>
      <c r="U1080" s="1" t="str">
        <f>"فتاح زاده سيداحمد(3843011)"</f>
        <v>فتاح زاده سيداحمد(3843011)</v>
      </c>
      <c r="V1080" s="1">
        <v>951800032</v>
      </c>
      <c r="W1080" s="1">
        <v>951800032</v>
      </c>
      <c r="X1080" s="1" t="str">
        <f>"1395416541"</f>
        <v>1395416541</v>
      </c>
      <c r="Y1080" s="1" t="str">
        <f>"95/04/29"</f>
        <v>95/04/29</v>
      </c>
      <c r="Z1080" s="1" t="str">
        <f>"18143/510"</f>
        <v>18143/510</v>
      </c>
      <c r="AA1080" s="1" t="str">
        <f>"شركت  ساخت وتوسعه راهها"</f>
        <v>شركت  ساخت وتوسعه راهها</v>
      </c>
      <c r="AB1080" s="1" t="str">
        <f>"95/04/27"</f>
        <v>95/04/27</v>
      </c>
      <c r="AC1080" s="1" t="str">
        <f>"لرستان"</f>
        <v>لرستان</v>
      </c>
      <c r="AD1080" s="1" t="str">
        <f>"95/04/29"</f>
        <v>95/04/29</v>
      </c>
      <c r="AE1080" s="1" t="str">
        <f t="shared" si="280"/>
        <v>اختتام</v>
      </c>
      <c r="AF1080" s="1" t="str">
        <f>""</f>
        <v/>
      </c>
      <c r="AG1080" s="1" t="str">
        <f>""</f>
        <v/>
      </c>
      <c r="AH1080" s="1" t="str">
        <f>""</f>
        <v/>
      </c>
      <c r="AI1080" s="1" t="str">
        <f>""</f>
        <v/>
      </c>
      <c r="AJ1080" s="1" t="str">
        <f>""</f>
        <v/>
      </c>
      <c r="AK1080" s="1" t="str">
        <f>""</f>
        <v/>
      </c>
    </row>
    <row r="1081" spans="1:37" x14ac:dyDescent="0.2">
      <c r="A1081" s="1">
        <v>1000000</v>
      </c>
      <c r="B1081" s="1">
        <v>951800057</v>
      </c>
      <c r="C1081" s="1" t="str">
        <f>"تخليه -خرم آباد -آزادراه خرم آباد-پل زال"</f>
        <v>تخليه -خرم آباد -آزادراه خرم آباد-پل زال</v>
      </c>
      <c r="D1081" s="1">
        <v>7176</v>
      </c>
      <c r="E1081" s="1">
        <v>994900</v>
      </c>
      <c r="F1081" s="1">
        <v>95</v>
      </c>
      <c r="G1081" s="1">
        <v>5100</v>
      </c>
      <c r="H1081" s="1" t="str">
        <f>"95/06/04"</f>
        <v>95/06/04</v>
      </c>
      <c r="I1081" s="1" t="str">
        <f t="shared" si="269"/>
        <v>كيلوگرم</v>
      </c>
      <c r="J1081" s="1" t="str">
        <f>"0000000092"</f>
        <v>0000000092</v>
      </c>
      <c r="K1081" s="1" t="str">
        <f>"قير  PG64-16"</f>
        <v>قير  PG64-16</v>
      </c>
      <c r="L1081" s="1">
        <v>100</v>
      </c>
      <c r="M1081" s="1" t="str">
        <f t="shared" si="272"/>
        <v>مخازن قير اصفهان</v>
      </c>
      <c r="N1081" s="1">
        <v>8798</v>
      </c>
      <c r="O1081" s="1">
        <v>50031632</v>
      </c>
      <c r="P1081" s="1" t="str">
        <f>"  احداث نگهداري وبهره برداري آزادراه خرم آباد-پل زال"</f>
        <v xml:space="preserve">  احداث نگهداري وبهره برداري آزادراه خرم آباد-پل زال</v>
      </c>
      <c r="Q1081" s="1">
        <v>18</v>
      </c>
      <c r="R1081" s="1" t="str">
        <f>"فروش داخلي تهران - وزارت راه - شرکت ساخت و توسعه راهها"</f>
        <v>فروش داخلي تهران - وزارت راه - شرکت ساخت و توسعه راهها</v>
      </c>
      <c r="S1081" s="1" t="str">
        <f t="shared" si="270"/>
        <v>قرارداد فروش</v>
      </c>
      <c r="T1081" s="1" t="str">
        <f t="shared" si="271"/>
        <v>ندارد</v>
      </c>
      <c r="U1081" s="1" t="str">
        <f>"فتاح زاده سيداحمد(3843011)"</f>
        <v>فتاح زاده سيداحمد(3843011)</v>
      </c>
      <c r="V1081" s="1">
        <v>951800057</v>
      </c>
      <c r="W1081" s="1">
        <v>951800057</v>
      </c>
      <c r="X1081" s="1" t="str">
        <f>"1395426706"</f>
        <v>1395426706</v>
      </c>
      <c r="Y1081" s="1" t="str">
        <f>"95/06/04"</f>
        <v>95/06/04</v>
      </c>
      <c r="Z1081" s="1" t="str">
        <f>"24450/510"</f>
        <v>24450/510</v>
      </c>
      <c r="AA1081" s="1" t="str">
        <f>"شركت  ساخت وتوسعه راهها"</f>
        <v>شركت  ساخت وتوسعه راهها</v>
      </c>
      <c r="AB1081" s="1" t="str">
        <f>"95/05/30"</f>
        <v>95/05/30</v>
      </c>
      <c r="AC1081" s="1" t="str">
        <f>"لرستان"</f>
        <v>لرستان</v>
      </c>
      <c r="AD1081" s="1" t="str">
        <f>"95/06/03"</f>
        <v>95/06/03</v>
      </c>
      <c r="AE1081" s="1" t="str">
        <f t="shared" si="280"/>
        <v>اختتام</v>
      </c>
      <c r="AF1081" s="1" t="str">
        <f>""</f>
        <v/>
      </c>
      <c r="AG1081" s="1" t="str">
        <f>""</f>
        <v/>
      </c>
      <c r="AH1081" s="1" t="str">
        <f>""</f>
        <v/>
      </c>
      <c r="AI1081" s="1" t="str">
        <f>""</f>
        <v/>
      </c>
      <c r="AJ1081" s="1" t="str">
        <f>""</f>
        <v/>
      </c>
      <c r="AK1081" s="1" t="str">
        <f>""</f>
        <v/>
      </c>
    </row>
    <row r="1082" spans="1:37" x14ac:dyDescent="0.2">
      <c r="A1082" s="1">
        <v>830000</v>
      </c>
      <c r="B1082" s="1">
        <v>951700158</v>
      </c>
      <c r="C1082" s="1" t="str">
        <f>"تخليه -جنوب كرمان -جيرفت جنب كارخانه سبوس -كارخانه ره يادسازه جنوب"</f>
        <v>تخليه -جنوب كرمان -جيرفت جنب كارخانه سبوس -كارخانه ره يادسازه جنوب</v>
      </c>
      <c r="D1082" s="1">
        <v>6726</v>
      </c>
      <c r="E1082" s="1">
        <v>823540</v>
      </c>
      <c r="F1082" s="1">
        <v>95</v>
      </c>
      <c r="G1082" s="1">
        <v>6460</v>
      </c>
      <c r="H1082" s="1" t="str">
        <f>"95/05/24"</f>
        <v>95/05/24</v>
      </c>
      <c r="I1082" s="1" t="str">
        <f t="shared" si="269"/>
        <v>كيلوگرم</v>
      </c>
      <c r="J1082" s="1" t="str">
        <f>"0000000092"</f>
        <v>0000000092</v>
      </c>
      <c r="K1082" s="1" t="str">
        <f>"قير  PG64-16"</f>
        <v>قير  PG64-16</v>
      </c>
      <c r="L1082" s="1">
        <v>100</v>
      </c>
      <c r="M1082" s="1" t="str">
        <f t="shared" si="272"/>
        <v>مخازن قير اصفهان</v>
      </c>
      <c r="N1082" s="1">
        <v>9424</v>
      </c>
      <c r="O1082" s="1">
        <v>50031530</v>
      </c>
      <c r="P1082" s="1" t="str">
        <f>"  راه وساختمان ره يادسازه جنوب"</f>
        <v xml:space="preserve">  راه وساختمان ره يادسازه جنوب</v>
      </c>
      <c r="Q1082" s="1">
        <v>17</v>
      </c>
      <c r="R1082" s="1" t="str">
        <f>"فروش داخلي تهران - وزارت راه - راه روستايي - روکش"</f>
        <v>فروش داخلي تهران - وزارت راه - راه روستايي - روکش</v>
      </c>
      <c r="S1082" s="1" t="str">
        <f t="shared" si="270"/>
        <v>قرارداد فروش</v>
      </c>
      <c r="T1082" s="1" t="str">
        <f t="shared" si="271"/>
        <v>ندارد</v>
      </c>
      <c r="U1082" s="1" t="str">
        <f>"حاصليان ترابرجنوب مرتضي حاصلي (4844006)"</f>
        <v>حاصليان ترابرجنوب مرتضي حاصلي (4844006)</v>
      </c>
      <c r="V1082" s="1">
        <v>951700158</v>
      </c>
      <c r="W1082" s="1">
        <v>951700158</v>
      </c>
      <c r="X1082" s="1" t="str">
        <f>"1395423457"</f>
        <v>1395423457</v>
      </c>
      <c r="Y1082" s="1" t="str">
        <f>"95/05/24"</f>
        <v>95/05/24</v>
      </c>
      <c r="Z1082" s="1" t="str">
        <f>"63441/510"</f>
        <v>63441/510</v>
      </c>
      <c r="AA1082" s="1" t="str">
        <f>"راه روستائي -روكش"</f>
        <v>راه روستائي -روكش</v>
      </c>
      <c r="AB1082" s="1" t="str">
        <f>"94/11/17"</f>
        <v>94/11/17</v>
      </c>
      <c r="AC1082" s="1" t="str">
        <f>"جنوب کرمان"</f>
        <v>جنوب کرمان</v>
      </c>
      <c r="AD1082" s="1" t="str">
        <f>"95/05/23"</f>
        <v>95/05/23</v>
      </c>
      <c r="AE1082" s="1" t="str">
        <f t="shared" si="280"/>
        <v>اختتام</v>
      </c>
      <c r="AF1082" s="1" t="str">
        <f>""</f>
        <v/>
      </c>
      <c r="AG1082" s="1" t="str">
        <f>""</f>
        <v/>
      </c>
      <c r="AH1082" s="1" t="str">
        <f>""</f>
        <v/>
      </c>
      <c r="AI1082" s="1" t="str">
        <f>""</f>
        <v/>
      </c>
      <c r="AJ1082" s="1" t="str">
        <f>""</f>
        <v/>
      </c>
      <c r="AK1082" s="1" t="str">
        <f>""</f>
        <v/>
      </c>
    </row>
    <row r="1083" spans="1:37" x14ac:dyDescent="0.2">
      <c r="A1083" s="1">
        <v>1000000</v>
      </c>
      <c r="B1083" s="1">
        <v>951900264</v>
      </c>
      <c r="C1083" s="1" t="str">
        <f>"تخليه يزدشهرستان خاتم كارخانه آسفالت شركت عمراني بسترسازان كوير"</f>
        <v>تخليه يزدشهرستان خاتم كارخانه آسفالت شركت عمراني بسترسازان كوير</v>
      </c>
      <c r="D1083" s="1">
        <v>8854</v>
      </c>
      <c r="E1083" s="1">
        <v>999860</v>
      </c>
      <c r="F1083" s="1">
        <v>95</v>
      </c>
      <c r="G1083" s="1">
        <v>140</v>
      </c>
      <c r="H1083" s="1" t="str">
        <f>"95/12/03"</f>
        <v>95/12/03</v>
      </c>
      <c r="I1083" s="1" t="str">
        <f t="shared" si="269"/>
        <v>كيلوگرم</v>
      </c>
      <c r="J1083" s="1" t="str">
        <f>"0000000091"</f>
        <v>0000000091</v>
      </c>
      <c r="K1083" s="1" t="str">
        <f>"قير  PG64-22"</f>
        <v>قير  PG64-22</v>
      </c>
      <c r="L1083" s="1">
        <v>100</v>
      </c>
      <c r="M1083" s="1" t="str">
        <f t="shared" si="272"/>
        <v>مخازن قير اصفهان</v>
      </c>
      <c r="N1083" s="1">
        <v>11270</v>
      </c>
      <c r="O1083" s="1">
        <v>50033829</v>
      </c>
      <c r="P1083" s="1" t="str">
        <f>"  اداره كل راهداري وحمل ونقل جاده اي يزد"</f>
        <v xml:space="preserve">  اداره كل راهداري وحمل ونقل جاده اي يزد</v>
      </c>
      <c r="Q1083" s="1">
        <v>19</v>
      </c>
      <c r="R1083" s="1" t="str">
        <f t="shared" ref="R1083:R1091" si="283"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83" s="1" t="str">
        <f t="shared" si="270"/>
        <v>قرارداد فروش</v>
      </c>
      <c r="T1083" s="1" t="str">
        <f t="shared" si="271"/>
        <v>ندارد</v>
      </c>
      <c r="U1083" s="1" t="str">
        <f>"قانعي محمدرضا(1011ج89)"</f>
        <v>قانعي محمدرضا(1011ج89)</v>
      </c>
      <c r="V1083" s="1">
        <v>951900264</v>
      </c>
      <c r="W1083" s="1">
        <v>951900264</v>
      </c>
      <c r="X1083" s="1" t="str">
        <f>"1395466555"</f>
        <v>1395466555</v>
      </c>
      <c r="Y1083" s="1" t="str">
        <f>"95/12/03"</f>
        <v>95/12/03</v>
      </c>
      <c r="Z1083" s="1" t="str">
        <f>"58576/710"</f>
        <v>58576/710</v>
      </c>
      <c r="AA1083" s="1" t="str">
        <f t="shared" ref="AA1083:AA1091" si="284">"سازمان راهداري وحمل نقل جاده اي"</f>
        <v>سازمان راهداري وحمل نقل جاده اي</v>
      </c>
      <c r="AB1083" s="1" t="str">
        <f>"95/11/24"</f>
        <v>95/11/24</v>
      </c>
      <c r="AC1083" s="1" t="str">
        <f>"استان يزد"</f>
        <v>استان يزد</v>
      </c>
      <c r="AD1083" s="1" t="str">
        <f>"95/12/03"</f>
        <v>95/12/03</v>
      </c>
      <c r="AE1083" s="1" t="str">
        <f t="shared" si="280"/>
        <v>اختتام</v>
      </c>
      <c r="AF1083" s="1" t="str">
        <f>""</f>
        <v/>
      </c>
      <c r="AG1083" s="1" t="str">
        <f>""</f>
        <v/>
      </c>
      <c r="AH1083" s="1" t="str">
        <f>""</f>
        <v/>
      </c>
      <c r="AI1083" s="1" t="str">
        <f>""</f>
        <v/>
      </c>
      <c r="AJ1083" s="1" t="str">
        <f>""</f>
        <v/>
      </c>
      <c r="AK1083" s="1" t="str">
        <f>""</f>
        <v/>
      </c>
    </row>
    <row r="1084" spans="1:37" x14ac:dyDescent="0.2">
      <c r="A1084" s="1">
        <v>1000000</v>
      </c>
      <c r="B1084" s="1">
        <v>951900269</v>
      </c>
      <c r="C1084" s="1" t="str">
        <f>"تخليه-يزد-پروژه مرمت و لکه گيري رويه راههاي استان يزد-شرکت تعاوني موحدين آسفالت يزد"</f>
        <v>تخليه-يزد-پروژه مرمت و لکه گيري رويه راههاي استان يزد-شرکت تعاوني موحدين آسفالت يزد</v>
      </c>
      <c r="D1084" s="1">
        <v>8854</v>
      </c>
      <c r="E1084" s="1">
        <v>999640</v>
      </c>
      <c r="F1084" s="1">
        <v>95</v>
      </c>
      <c r="G1084" s="1">
        <v>360</v>
      </c>
      <c r="H1084" s="1" t="str">
        <f>"95/12/09"</f>
        <v>95/12/09</v>
      </c>
      <c r="I1084" s="1" t="str">
        <f t="shared" si="269"/>
        <v>كيلوگرم</v>
      </c>
      <c r="J1084" s="1" t="str">
        <f>"0000000091"</f>
        <v>0000000091</v>
      </c>
      <c r="K1084" s="1" t="str">
        <f>"قير  PG64-22"</f>
        <v>قير  PG64-22</v>
      </c>
      <c r="L1084" s="1">
        <v>100</v>
      </c>
      <c r="M1084" s="1" t="str">
        <f t="shared" si="272"/>
        <v>مخازن قير اصفهان</v>
      </c>
      <c r="N1084" s="1">
        <v>11270</v>
      </c>
      <c r="O1084" s="1">
        <v>50033925</v>
      </c>
      <c r="P1084" s="1" t="str">
        <f>"  اداره كل راهداري وحمل ونقل جاده اي يزد"</f>
        <v xml:space="preserve">  اداره كل راهداري وحمل ونقل جاده اي يزد</v>
      </c>
      <c r="Q1084" s="1">
        <v>19</v>
      </c>
      <c r="R1084" s="1" t="str">
        <f t="shared" si="283"/>
        <v>فروش داخلي تهران - وزارت راه - سازمان راهداري و حمل و نقل جاده ايي</v>
      </c>
      <c r="S1084" s="1" t="str">
        <f t="shared" si="270"/>
        <v>قرارداد فروش</v>
      </c>
      <c r="T1084" s="1" t="str">
        <f t="shared" si="271"/>
        <v>ندارد</v>
      </c>
      <c r="U1084" s="1" t="str">
        <f>"قانعي محمدرضا(1011ج89)"</f>
        <v>قانعي محمدرضا(1011ج89)</v>
      </c>
      <c r="V1084" s="1">
        <v>951900269</v>
      </c>
      <c r="W1084" s="1">
        <v>951900269</v>
      </c>
      <c r="X1084" s="1" t="str">
        <f>"1395467971"</f>
        <v>1395467971</v>
      </c>
      <c r="Y1084" s="1" t="str">
        <f>"95/12/09"</f>
        <v>95/12/09</v>
      </c>
      <c r="Z1084" s="1" t="str">
        <f>"61961/710"</f>
        <v>61961/710</v>
      </c>
      <c r="AA1084" s="1" t="str">
        <f t="shared" si="284"/>
        <v>سازمان راهداري وحمل نقل جاده اي</v>
      </c>
      <c r="AB1084" s="1" t="str">
        <f>"95/12/08"</f>
        <v>95/12/08</v>
      </c>
      <c r="AC1084" s="1" t="str">
        <f>"استان يزد"</f>
        <v>استان يزد</v>
      </c>
      <c r="AD1084" s="1" t="str">
        <f>"95/12/09"</f>
        <v>95/12/09</v>
      </c>
      <c r="AE1084" s="1" t="str">
        <f t="shared" si="280"/>
        <v>اختتام</v>
      </c>
      <c r="AF1084" s="1" t="str">
        <f>""</f>
        <v/>
      </c>
      <c r="AG1084" s="1" t="str">
        <f>""</f>
        <v/>
      </c>
      <c r="AH1084" s="1" t="str">
        <f>""</f>
        <v/>
      </c>
      <c r="AI1084" s="1" t="str">
        <f>""</f>
        <v/>
      </c>
      <c r="AJ1084" s="1" t="str">
        <f>""</f>
        <v/>
      </c>
      <c r="AK1084" s="1" t="str">
        <f>""</f>
        <v/>
      </c>
    </row>
    <row r="1085" spans="1:37" x14ac:dyDescent="0.2">
      <c r="A1085" s="1">
        <v>1000000</v>
      </c>
      <c r="B1085" s="1">
        <v>951900278</v>
      </c>
      <c r="C1085" s="1" t="str">
        <f>"تخليه - يزد کارخانه آسفالت حريتاش يزد"</f>
        <v>تخليه - يزد کارخانه آسفالت حريتاش يزد</v>
      </c>
      <c r="D1085" s="1">
        <v>9354</v>
      </c>
      <c r="E1085" s="1">
        <v>999760</v>
      </c>
      <c r="F1085" s="1">
        <v>95</v>
      </c>
      <c r="G1085" s="1">
        <v>240</v>
      </c>
      <c r="H1085" s="1" t="str">
        <f>"95/12/14"</f>
        <v>95/12/14</v>
      </c>
      <c r="I1085" s="1" t="str">
        <f t="shared" si="269"/>
        <v>كيلوگرم</v>
      </c>
      <c r="J1085" s="1" t="str">
        <f>"0000000091"</f>
        <v>0000000091</v>
      </c>
      <c r="K1085" s="1" t="str">
        <f>"قير  PG64-22"</f>
        <v>قير  PG64-22</v>
      </c>
      <c r="L1085" s="1">
        <v>100</v>
      </c>
      <c r="M1085" s="1" t="str">
        <f t="shared" si="272"/>
        <v>مخازن قير اصفهان</v>
      </c>
      <c r="N1085" s="1">
        <v>11270</v>
      </c>
      <c r="O1085" s="1">
        <v>50033983</v>
      </c>
      <c r="P1085" s="1" t="str">
        <f>"  اداره كل راهداري وحمل ونقل جاده اي يزد"</f>
        <v xml:space="preserve">  اداره كل راهداري وحمل ونقل جاده اي يزد</v>
      </c>
      <c r="Q1085" s="1">
        <v>19</v>
      </c>
      <c r="R1085" s="1" t="str">
        <f t="shared" si="283"/>
        <v>فروش داخلي تهران - وزارت راه - سازمان راهداري و حمل و نقل جاده ايي</v>
      </c>
      <c r="S1085" s="1" t="str">
        <f t="shared" si="270"/>
        <v>قرارداد فروش</v>
      </c>
      <c r="T1085" s="1" t="str">
        <f t="shared" si="271"/>
        <v>ندارد</v>
      </c>
      <c r="U1085" s="1" t="str">
        <f>"قانعي محمدرضا(1011ج89)"</f>
        <v>قانعي محمدرضا(1011ج89)</v>
      </c>
      <c r="V1085" s="1">
        <v>951900278</v>
      </c>
      <c r="W1085" s="1">
        <v>951900278</v>
      </c>
      <c r="X1085" s="1" t="str">
        <f>"1395468781"</f>
        <v>1395468781</v>
      </c>
      <c r="Y1085" s="1" t="str">
        <f>"95/12/14"</f>
        <v>95/12/14</v>
      </c>
      <c r="Z1085" s="1" t="str">
        <f>"62392/710"</f>
        <v>62392/710</v>
      </c>
      <c r="AA1085" s="1" t="str">
        <f t="shared" si="284"/>
        <v>سازمان راهداري وحمل نقل جاده اي</v>
      </c>
      <c r="AB1085" s="1" t="str">
        <f>"95/12/09"</f>
        <v>95/12/09</v>
      </c>
      <c r="AC1085" s="1" t="str">
        <f>"استان يزد"</f>
        <v>استان يزد</v>
      </c>
      <c r="AD1085" s="1" t="str">
        <f>"95/12/11"</f>
        <v>95/12/11</v>
      </c>
      <c r="AE1085" s="1" t="str">
        <f t="shared" si="280"/>
        <v>اختتام</v>
      </c>
      <c r="AF1085" s="1" t="str">
        <f>""</f>
        <v/>
      </c>
      <c r="AG1085" s="1" t="str">
        <f>""</f>
        <v/>
      </c>
      <c r="AH1085" s="1" t="str">
        <f>""</f>
        <v/>
      </c>
      <c r="AI1085" s="1" t="str">
        <f>""</f>
        <v/>
      </c>
      <c r="AJ1085" s="1" t="str">
        <f>""</f>
        <v/>
      </c>
      <c r="AK1085" s="1" t="str">
        <f>""</f>
        <v/>
      </c>
    </row>
    <row r="1086" spans="1:37" x14ac:dyDescent="0.2">
      <c r="A1086" s="1">
        <v>50000</v>
      </c>
      <c r="B1086" s="1">
        <v>951900291</v>
      </c>
      <c r="C1086" s="1" t="str">
        <f>"تخليه لرستان الشتركيلومتر6جاده خرگوش ناب كارخانه آسفالت شركت دانه بندي سلسله"</f>
        <v>تخليه لرستان الشتركيلومتر6جاده خرگوش ناب كارخانه آسفالت شركت دانه بندي سلسله</v>
      </c>
      <c r="D1086" s="1">
        <v>9068</v>
      </c>
      <c r="E1086" s="1">
        <v>48560</v>
      </c>
      <c r="F1086" s="1">
        <v>95</v>
      </c>
      <c r="G1086" s="1">
        <v>1440</v>
      </c>
      <c r="H1086" s="1" t="str">
        <f>"95/12/19"</f>
        <v>95/12/19</v>
      </c>
      <c r="I1086" s="1" t="str">
        <f t="shared" si="269"/>
        <v>كيلوگرم</v>
      </c>
      <c r="J1086" s="1" t="str">
        <f>"0000000091"</f>
        <v>0000000091</v>
      </c>
      <c r="K1086" s="1" t="str">
        <f>"قير  PG64-22"</f>
        <v>قير  PG64-22</v>
      </c>
      <c r="L1086" s="1">
        <v>100</v>
      </c>
      <c r="M1086" s="1" t="str">
        <f t="shared" si="272"/>
        <v>مخازن قير اصفهان</v>
      </c>
      <c r="N1086" s="1">
        <v>11295</v>
      </c>
      <c r="O1086" s="1">
        <v>50034097</v>
      </c>
      <c r="P1086" s="1" t="str">
        <f>"  اداره كل راهداري وحمل ونقل جاده اي لرستان"</f>
        <v xml:space="preserve">  اداره كل راهداري وحمل ونقل جاده اي لرستان</v>
      </c>
      <c r="Q1086" s="1">
        <v>19</v>
      </c>
      <c r="R1086" s="1" t="str">
        <f t="shared" si="283"/>
        <v>فروش داخلي تهران - وزارت راه - سازمان راهداري و حمل و نقل جاده ايي</v>
      </c>
      <c r="S1086" s="1" t="str">
        <f t="shared" si="270"/>
        <v>قرارداد فروش</v>
      </c>
      <c r="T1086" s="1" t="str">
        <f t="shared" si="271"/>
        <v>ندارد</v>
      </c>
      <c r="U1086" s="1" t="str">
        <f>"ريسماني حسن(1007ج89)"</f>
        <v>ريسماني حسن(1007ج89)</v>
      </c>
      <c r="V1086" s="1">
        <v>951900291</v>
      </c>
      <c r="W1086" s="1">
        <v>951900291</v>
      </c>
      <c r="X1086" s="1" t="str">
        <f>"1395470074"</f>
        <v>1395470074</v>
      </c>
      <c r="Y1086" s="1" t="str">
        <f>"95/12/19"</f>
        <v>95/12/19</v>
      </c>
      <c r="Z1086" s="1" t="str">
        <f>"64864/710"</f>
        <v>64864/710</v>
      </c>
      <c r="AA1086" s="1" t="str">
        <f t="shared" si="284"/>
        <v>سازمان راهداري وحمل نقل جاده اي</v>
      </c>
      <c r="AB1086" s="1" t="str">
        <f>"95/12/17"</f>
        <v>95/12/17</v>
      </c>
      <c r="AC1086" s="1" t="str">
        <f>"لرستان"</f>
        <v>لرستان</v>
      </c>
      <c r="AD1086" s="1" t="str">
        <f>"95/12/18"</f>
        <v>95/12/18</v>
      </c>
      <c r="AE1086" s="1" t="str">
        <f t="shared" si="280"/>
        <v>اختتام</v>
      </c>
      <c r="AF1086" s="1" t="str">
        <f>""</f>
        <v/>
      </c>
      <c r="AG1086" s="1" t="str">
        <f>""</f>
        <v/>
      </c>
      <c r="AH1086" s="1" t="str">
        <f>""</f>
        <v/>
      </c>
      <c r="AI1086" s="1" t="str">
        <f>""</f>
        <v/>
      </c>
      <c r="AJ1086" s="1" t="str">
        <f>""</f>
        <v/>
      </c>
      <c r="AK1086" s="1" t="str">
        <f>""</f>
        <v/>
      </c>
    </row>
    <row r="1087" spans="1:37" x14ac:dyDescent="0.2">
      <c r="A1087" s="1">
        <v>300000</v>
      </c>
      <c r="B1087" s="1">
        <v>951900072</v>
      </c>
      <c r="C1087" s="1" t="str">
        <f>"تخليه ايلام ملكشاهي مخازن قيركارخانه آسفالت شهرداري ملكشاهي"</f>
        <v>تخليه ايلام ملكشاهي مخازن قيركارخانه آسفالت شهرداري ملكشاهي</v>
      </c>
      <c r="D1087" s="1">
        <v>6726</v>
      </c>
      <c r="E1087" s="1">
        <v>300000</v>
      </c>
      <c r="F1087" s="1">
        <v>95</v>
      </c>
      <c r="G1087" s="1">
        <v>0</v>
      </c>
      <c r="H1087" s="1" t="str">
        <f>"95/05/05"</f>
        <v>95/05/05</v>
      </c>
      <c r="I1087" s="1" t="str">
        <f t="shared" si="269"/>
        <v>كيلوگرم</v>
      </c>
      <c r="J1087" s="1" t="str">
        <f>"0000000092"</f>
        <v>0000000092</v>
      </c>
      <c r="K1087" s="1" t="str">
        <f>"قير  PG64-16"</f>
        <v>قير  PG64-16</v>
      </c>
      <c r="L1087" s="1">
        <v>100</v>
      </c>
      <c r="M1087" s="1" t="str">
        <f t="shared" si="272"/>
        <v>مخازن قير اصفهان</v>
      </c>
      <c r="N1087" s="1">
        <v>10924</v>
      </c>
      <c r="O1087" s="1">
        <v>50031358</v>
      </c>
      <c r="P1087" s="1" t="str">
        <f>"  پرتو افشان خرم"</f>
        <v xml:space="preserve">  پرتو افشان خرم</v>
      </c>
      <c r="Q1087" s="1">
        <v>19</v>
      </c>
      <c r="R1087" s="1" t="str">
        <f t="shared" si="283"/>
        <v>فروش داخلي تهران - وزارت راه - سازمان راهداري و حمل و نقل جاده ايي</v>
      </c>
      <c r="S1087" s="1" t="str">
        <f t="shared" si="270"/>
        <v>قرارداد فروش</v>
      </c>
      <c r="T1087" s="1" t="str">
        <f t="shared" si="271"/>
        <v>ندارد</v>
      </c>
      <c r="U1087" s="1" t="str">
        <f>"عظيمي محمد(2842015)"</f>
        <v>عظيمي محمد(2842015)</v>
      </c>
      <c r="V1087" s="1">
        <v>951900072</v>
      </c>
      <c r="W1087" s="1">
        <v>951900072</v>
      </c>
      <c r="X1087" s="1" t="str">
        <f>"1395418089"</f>
        <v>1395418089</v>
      </c>
      <c r="Y1087" s="1" t="str">
        <f>"95/05/05"</f>
        <v>95/05/05</v>
      </c>
      <c r="Z1087" s="1" t="str">
        <f>"18900/510"</f>
        <v>18900/510</v>
      </c>
      <c r="AA1087" s="1" t="str">
        <f t="shared" si="284"/>
        <v>سازمان راهداري وحمل نقل جاده اي</v>
      </c>
      <c r="AB1087" s="1" t="str">
        <f>"95/04/30"</f>
        <v>95/04/30</v>
      </c>
      <c r="AC1087" s="1" t="str">
        <f>"استان ايلام"</f>
        <v>استان ايلام</v>
      </c>
      <c r="AD1087" s="1" t="str">
        <f>"95/05/05"</f>
        <v>95/05/05</v>
      </c>
      <c r="AE1087" s="1" t="str">
        <f t="shared" si="280"/>
        <v>اختتام</v>
      </c>
      <c r="AF1087" s="1" t="str">
        <f>""</f>
        <v/>
      </c>
      <c r="AG1087" s="1" t="str">
        <f>""</f>
        <v/>
      </c>
      <c r="AH1087" s="1" t="str">
        <f>""</f>
        <v/>
      </c>
      <c r="AI1087" s="1" t="str">
        <f>""</f>
        <v/>
      </c>
      <c r="AJ1087" s="1" t="str">
        <f>""</f>
        <v/>
      </c>
      <c r="AK1087" s="1" t="str">
        <f>""</f>
        <v/>
      </c>
    </row>
    <row r="1088" spans="1:37" x14ac:dyDescent="0.2">
      <c r="A1088" s="1">
        <v>700000</v>
      </c>
      <c r="B1088" s="1">
        <v>951900302</v>
      </c>
      <c r="C1088" s="1" t="str">
        <f>"تخليه ايلام شهرستان ملكشاهي مخازن قيرشركت پرتوافشان خرم"</f>
        <v>تخليه ايلام شهرستان ملكشاهي مخازن قيرشركت پرتوافشان خرم</v>
      </c>
      <c r="D1088" s="1">
        <v>8348</v>
      </c>
      <c r="E1088" s="1">
        <v>699900</v>
      </c>
      <c r="F1088" s="1">
        <v>95</v>
      </c>
      <c r="G1088" s="1">
        <v>100</v>
      </c>
      <c r="H1088" s="1" t="str">
        <f>"95/12/21"</f>
        <v>95/12/21</v>
      </c>
      <c r="I1088" s="1" t="str">
        <f t="shared" si="269"/>
        <v>كيلوگرم</v>
      </c>
      <c r="J1088" s="1" t="str">
        <f>"0000000092"</f>
        <v>0000000092</v>
      </c>
      <c r="K1088" s="1" t="str">
        <f>"قير  PG64-16"</f>
        <v>قير  PG64-16</v>
      </c>
      <c r="L1088" s="1">
        <v>100</v>
      </c>
      <c r="M1088" s="1" t="str">
        <f t="shared" si="272"/>
        <v>مخازن قير اصفهان</v>
      </c>
      <c r="N1088" s="1">
        <v>10924</v>
      </c>
      <c r="O1088" s="1">
        <v>50034085</v>
      </c>
      <c r="P1088" s="1" t="str">
        <f>"  پرتو افشان خرم"</f>
        <v xml:space="preserve">  پرتو افشان خرم</v>
      </c>
      <c r="Q1088" s="1">
        <v>19</v>
      </c>
      <c r="R1088" s="1" t="str">
        <f t="shared" si="283"/>
        <v>فروش داخلي تهران - وزارت راه - سازمان راهداري و حمل و نقل جاده ايي</v>
      </c>
      <c r="S1088" s="1" t="str">
        <f t="shared" si="270"/>
        <v>قرارداد فروش</v>
      </c>
      <c r="T1088" s="1" t="str">
        <f t="shared" si="271"/>
        <v>ندارد</v>
      </c>
      <c r="U1088" s="1" t="str">
        <f>"عظيمي محمد(2842015)"</f>
        <v>عظيمي محمد(2842015)</v>
      </c>
      <c r="V1088" s="1">
        <v>951900302</v>
      </c>
      <c r="W1088" s="1">
        <v>951900302</v>
      </c>
      <c r="X1088" s="1" t="str">
        <f>"1395470282"</f>
        <v>1395470282</v>
      </c>
      <c r="Y1088" s="1" t="str">
        <f>"95/12/21"</f>
        <v>95/12/21</v>
      </c>
      <c r="Z1088" s="1" t="str">
        <f>"64635/710"</f>
        <v>64635/710</v>
      </c>
      <c r="AA1088" s="1" t="str">
        <f t="shared" si="284"/>
        <v>سازمان راهداري وحمل نقل جاده اي</v>
      </c>
      <c r="AB1088" s="1" t="str">
        <f>"95/12/17"</f>
        <v>95/12/17</v>
      </c>
      <c r="AC1088" s="1" t="str">
        <f>"استان ايلام"</f>
        <v>استان ايلام</v>
      </c>
      <c r="AD1088" s="1" t="str">
        <f>"95/12/17"</f>
        <v>95/12/17</v>
      </c>
      <c r="AE1088" s="1" t="str">
        <f t="shared" si="280"/>
        <v>اختتام</v>
      </c>
      <c r="AF1088" s="1" t="str">
        <f>""</f>
        <v/>
      </c>
      <c r="AG1088" s="1" t="str">
        <f>""</f>
        <v/>
      </c>
      <c r="AH1088" s="1" t="str">
        <f>""</f>
        <v/>
      </c>
      <c r="AI1088" s="1" t="str">
        <f>""</f>
        <v/>
      </c>
      <c r="AJ1088" s="1" t="str">
        <f>""</f>
        <v/>
      </c>
      <c r="AK1088" s="1" t="str">
        <f>""</f>
        <v/>
      </c>
    </row>
    <row r="1089" spans="1:37" x14ac:dyDescent="0.2">
      <c r="A1089" s="1">
        <v>1000000</v>
      </c>
      <c r="B1089" s="1">
        <v>951900034</v>
      </c>
      <c r="C1089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1089" s="1">
        <v>6250</v>
      </c>
      <c r="E1089" s="1">
        <v>1000000</v>
      </c>
      <c r="F1089" s="1">
        <v>95</v>
      </c>
      <c r="G1089" s="1">
        <v>0</v>
      </c>
      <c r="H1089" s="1" t="str">
        <f>"95/04/13"</f>
        <v>95/04/13</v>
      </c>
      <c r="I1089" s="1" t="str">
        <f t="shared" si="269"/>
        <v>كيلوگرم</v>
      </c>
      <c r="J1089" s="1" t="str">
        <f>"0000000092"</f>
        <v>0000000092</v>
      </c>
      <c r="K1089" s="1" t="str">
        <f>"قير  PG64-16"</f>
        <v>قير  PG64-16</v>
      </c>
      <c r="L1089" s="1">
        <v>100</v>
      </c>
      <c r="M1089" s="1" t="str">
        <f t="shared" si="272"/>
        <v>مخازن قير اصفهان</v>
      </c>
      <c r="N1089" s="1">
        <v>11012</v>
      </c>
      <c r="O1089" s="1">
        <v>50031183</v>
      </c>
      <c r="P1089" s="1" t="str">
        <f>"  راه سازگوده"</f>
        <v xml:space="preserve">  راه سازگوده</v>
      </c>
      <c r="Q1089" s="1">
        <v>19</v>
      </c>
      <c r="R1089" s="1" t="str">
        <f t="shared" si="283"/>
        <v>فروش داخلي تهران - وزارت راه - سازمان راهداري و حمل و نقل جاده ايي</v>
      </c>
      <c r="S1089" s="1" t="str">
        <f t="shared" si="270"/>
        <v>قرارداد فروش</v>
      </c>
      <c r="T1089" s="1" t="str">
        <f t="shared" si="271"/>
        <v>ندارد</v>
      </c>
      <c r="U1089" s="1" t="str">
        <f>"حاصليان ترابرجنوب مرتضي حاصلي (4844006)"</f>
        <v>حاصليان ترابرجنوب مرتضي حاصلي (4844006)</v>
      </c>
      <c r="V1089" s="1">
        <v>951900034</v>
      </c>
      <c r="W1089" s="1">
        <v>951900034</v>
      </c>
      <c r="X1089" s="1" t="str">
        <f>"1395412860"</f>
        <v>1395412860</v>
      </c>
      <c r="Y1089" s="1" t="str">
        <f>"95/04/13"</f>
        <v>95/04/13</v>
      </c>
      <c r="Z1089" s="1" t="str">
        <f>"14836/510"</f>
        <v>14836/510</v>
      </c>
      <c r="AA1089" s="1" t="str">
        <f t="shared" si="284"/>
        <v>سازمان راهداري وحمل نقل جاده اي</v>
      </c>
      <c r="AB1089" s="1" t="str">
        <f>"95/04/08"</f>
        <v>95/04/08</v>
      </c>
      <c r="AC1089" s="1" t="str">
        <f>"استان هرمزگان"</f>
        <v>استان هرمزگان</v>
      </c>
      <c r="AD1089" s="1" t="str">
        <f>"95/04/13"</f>
        <v>95/04/13</v>
      </c>
      <c r="AE1089" s="1" t="str">
        <f t="shared" si="280"/>
        <v>اختتام</v>
      </c>
      <c r="AF1089" s="1" t="str">
        <f>""</f>
        <v/>
      </c>
      <c r="AG1089" s="1" t="str">
        <f>""</f>
        <v/>
      </c>
      <c r="AH1089" s="1" t="str">
        <f>""</f>
        <v/>
      </c>
      <c r="AI1089" s="1" t="str">
        <f>""</f>
        <v/>
      </c>
      <c r="AJ1089" s="1" t="str">
        <f>""</f>
        <v/>
      </c>
      <c r="AK1089" s="1" t="str">
        <f>""</f>
        <v/>
      </c>
    </row>
    <row r="1090" spans="1:37" x14ac:dyDescent="0.2">
      <c r="A1090" s="1">
        <v>1000000</v>
      </c>
      <c r="B1090" s="1">
        <v>951900123</v>
      </c>
      <c r="C1090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1090" s="1">
        <v>6726</v>
      </c>
      <c r="E1090" s="1">
        <v>998980</v>
      </c>
      <c r="F1090" s="1">
        <v>95</v>
      </c>
      <c r="G1090" s="1">
        <v>1020</v>
      </c>
      <c r="H1090" s="1" t="str">
        <f>"95/05/25"</f>
        <v>95/05/25</v>
      </c>
      <c r="I1090" s="1" t="str">
        <f t="shared" ref="I1090:I1153" si="285">"كيلوگرم"</f>
        <v>كيلوگرم</v>
      </c>
      <c r="J1090" s="1" t="str">
        <f>"0000000092"</f>
        <v>0000000092</v>
      </c>
      <c r="K1090" s="1" t="str">
        <f>"قير  PG64-16"</f>
        <v>قير  PG64-16</v>
      </c>
      <c r="L1090" s="1">
        <v>100</v>
      </c>
      <c r="M1090" s="1" t="str">
        <f t="shared" si="272"/>
        <v>مخازن قير اصفهان</v>
      </c>
      <c r="N1090" s="1">
        <v>11012</v>
      </c>
      <c r="O1090" s="1">
        <v>50031538</v>
      </c>
      <c r="P1090" s="1" t="str">
        <f>"  راه سازگوده"</f>
        <v xml:space="preserve">  راه سازگوده</v>
      </c>
      <c r="Q1090" s="1">
        <v>19</v>
      </c>
      <c r="R1090" s="1" t="str">
        <f t="shared" si="283"/>
        <v>فروش داخلي تهران - وزارت راه - سازمان راهداري و حمل و نقل جاده ايي</v>
      </c>
      <c r="S1090" s="1" t="str">
        <f t="shared" ref="S1090:S1153" si="286">"قرارداد فروش"</f>
        <v>قرارداد فروش</v>
      </c>
      <c r="T1090" s="1" t="str">
        <f t="shared" ref="T1090:T1153" si="287">"ندارد"</f>
        <v>ندارد</v>
      </c>
      <c r="U1090" s="1" t="str">
        <f>"حاصليان ترابرجنوب مرتضي حاصلي (4844006)"</f>
        <v>حاصليان ترابرجنوب مرتضي حاصلي (4844006)</v>
      </c>
      <c r="V1090" s="1">
        <v>951900123</v>
      </c>
      <c r="W1090" s="1">
        <v>951900123</v>
      </c>
      <c r="X1090" s="1" t="str">
        <f>"1395423690"</f>
        <v>1395423690</v>
      </c>
      <c r="Y1090" s="1" t="str">
        <f>"95/05/25"</f>
        <v>95/05/25</v>
      </c>
      <c r="Z1090" s="1" t="str">
        <f>"22264/510"</f>
        <v>22264/510</v>
      </c>
      <c r="AA1090" s="1" t="str">
        <f t="shared" si="284"/>
        <v>سازمان راهداري وحمل نقل جاده اي</v>
      </c>
      <c r="AB1090" s="1" t="str">
        <f>"95/05/17"</f>
        <v>95/05/17</v>
      </c>
      <c r="AC1090" s="1" t="str">
        <f>"استان هرمزگان"</f>
        <v>استان هرمزگان</v>
      </c>
      <c r="AD1090" s="1" t="str">
        <f>"95/05/24"</f>
        <v>95/05/24</v>
      </c>
      <c r="AE1090" s="1" t="str">
        <f t="shared" si="280"/>
        <v>اختتام</v>
      </c>
      <c r="AF1090" s="1" t="str">
        <f>""</f>
        <v/>
      </c>
      <c r="AG1090" s="1" t="str">
        <f>""</f>
        <v/>
      </c>
      <c r="AH1090" s="1" t="str">
        <f>""</f>
        <v/>
      </c>
      <c r="AI1090" s="1" t="str">
        <f>""</f>
        <v/>
      </c>
      <c r="AJ1090" s="1" t="str">
        <f>""</f>
        <v/>
      </c>
      <c r="AK1090" s="1" t="str">
        <f>""</f>
        <v/>
      </c>
    </row>
    <row r="1091" spans="1:37" x14ac:dyDescent="0.2">
      <c r="A1091" s="1">
        <v>560000</v>
      </c>
      <c r="B1091" s="1">
        <v>951900135</v>
      </c>
      <c r="C1091" s="1" t="str">
        <f>"تخليه -زاهدان شهرک صنعتي کامپوزيان شرکت گل سنگ بلوچستان"</f>
        <v>تخليه -زاهدان شهرک صنعتي کامپوزيان شرکت گل سنگ بلوچستان</v>
      </c>
      <c r="D1091" s="1">
        <v>7476</v>
      </c>
      <c r="E1091" s="1">
        <v>512620</v>
      </c>
      <c r="F1091" s="1">
        <v>95</v>
      </c>
      <c r="G1091" s="1">
        <v>47380</v>
      </c>
      <c r="H1091" s="1" t="str">
        <f>"95/06/07"</f>
        <v>95/06/07</v>
      </c>
      <c r="I1091" s="1" t="str">
        <f t="shared" si="285"/>
        <v>كيلوگرم</v>
      </c>
      <c r="J1091" s="1" t="str">
        <f>"0000000094"</f>
        <v>0000000094</v>
      </c>
      <c r="K1091" s="1" t="str">
        <f>"قير  PG70-10"</f>
        <v>قير  PG70-10</v>
      </c>
      <c r="L1091" s="1">
        <v>100</v>
      </c>
      <c r="M1091" s="1" t="str">
        <f t="shared" si="272"/>
        <v>مخازن قير اصفهان</v>
      </c>
      <c r="N1091" s="1">
        <v>4067</v>
      </c>
      <c r="O1091" s="1">
        <v>50031664</v>
      </c>
      <c r="P1091" s="1" t="str">
        <f>"  گل سنگ بلوچستان"</f>
        <v xml:space="preserve">  گل سنگ بلوچستان</v>
      </c>
      <c r="Q1091" s="1">
        <v>19</v>
      </c>
      <c r="R1091" s="1" t="str">
        <f t="shared" si="283"/>
        <v>فروش داخلي تهران - وزارت راه - سازمان راهداري و حمل و نقل جاده ايي</v>
      </c>
      <c r="S1091" s="1" t="str">
        <f t="shared" si="286"/>
        <v>قرارداد فروش</v>
      </c>
      <c r="T1091" s="1" t="str">
        <f t="shared" si="287"/>
        <v>ندارد</v>
      </c>
      <c r="U1091" s="1" t="str">
        <f>"دشت بشي پودنگ وبرادران رضا(4844014)"</f>
        <v>دشت بشي پودنگ وبرادران رضا(4844014)</v>
      </c>
      <c r="V1091" s="1">
        <v>951900135</v>
      </c>
      <c r="W1091" s="1">
        <v>951900135</v>
      </c>
      <c r="X1091" s="1" t="str">
        <f>"1395426939"</f>
        <v>1395426939</v>
      </c>
      <c r="Y1091" s="1" t="str">
        <f>"95/06/07"</f>
        <v>95/06/07</v>
      </c>
      <c r="Z1091" s="1" t="str">
        <f>"23178/510"</f>
        <v>23178/510</v>
      </c>
      <c r="AA1091" s="1" t="str">
        <f t="shared" si="284"/>
        <v>سازمان راهداري وحمل نقل جاده اي</v>
      </c>
      <c r="AB1091" s="1" t="str">
        <f>"95/05/23"</f>
        <v>95/05/23</v>
      </c>
      <c r="AC1091" s="1" t="str">
        <f>"استان سيستان بلوچستان"</f>
        <v>استان سيستان بلوچستان</v>
      </c>
      <c r="AD1091" s="1" t="str">
        <f>"95/06/06"</f>
        <v>95/06/06</v>
      </c>
      <c r="AE1091" s="1" t="str">
        <f t="shared" si="280"/>
        <v>اختتام</v>
      </c>
      <c r="AF1091" s="1" t="str">
        <f>""</f>
        <v/>
      </c>
      <c r="AG1091" s="1" t="str">
        <f>""</f>
        <v/>
      </c>
      <c r="AH1091" s="1" t="str">
        <f>""</f>
        <v/>
      </c>
      <c r="AI1091" s="1" t="str">
        <f>""</f>
        <v/>
      </c>
      <c r="AJ1091" s="1" t="str">
        <f>""</f>
        <v/>
      </c>
      <c r="AK1091" s="1" t="str">
        <f>""</f>
        <v/>
      </c>
    </row>
    <row r="1092" spans="1:37" x14ac:dyDescent="0.2">
      <c r="A1092" s="1">
        <v>300000</v>
      </c>
      <c r="B1092" s="1">
        <v>951100068</v>
      </c>
      <c r="C1092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1092" s="1">
        <v>6350</v>
      </c>
      <c r="E1092" s="1">
        <v>300000</v>
      </c>
      <c r="F1092" s="1">
        <v>95</v>
      </c>
      <c r="G1092" s="1">
        <v>0</v>
      </c>
      <c r="H1092" s="1" t="str">
        <f>"95/03/24"</f>
        <v>95/03/24</v>
      </c>
      <c r="I1092" s="1" t="str">
        <f t="shared" si="285"/>
        <v>كيلوگرم</v>
      </c>
      <c r="J1092" s="1" t="str">
        <f>"0000000094"</f>
        <v>0000000094</v>
      </c>
      <c r="K1092" s="1" t="str">
        <f>"قير  PG70-10"</f>
        <v>قير  PG70-10</v>
      </c>
      <c r="L1092" s="1">
        <v>100</v>
      </c>
      <c r="M1092" s="1" t="str">
        <f t="shared" si="272"/>
        <v>مخازن قير اصفهان</v>
      </c>
      <c r="N1092" s="1">
        <v>9143</v>
      </c>
      <c r="O1092" s="1">
        <v>50031023</v>
      </c>
      <c r="P1092" s="1" t="str">
        <f>"  بتن پيكر زاگرس"</f>
        <v xml:space="preserve">  بتن پيكر زاگرس</v>
      </c>
      <c r="Q1092" s="1">
        <v>11</v>
      </c>
      <c r="R1092" s="1" t="str">
        <f>"فروش داخلي تهران - بورس"</f>
        <v>فروش داخلي تهران - بورس</v>
      </c>
      <c r="S1092" s="1" t="str">
        <f t="shared" si="286"/>
        <v>قرارداد فروش</v>
      </c>
      <c r="T1092" s="1" t="str">
        <f t="shared" si="287"/>
        <v>ندارد</v>
      </c>
      <c r="U1092" s="1" t="str">
        <f>"افراسيابي كيومرث(2842031)"</f>
        <v>افراسيابي كيومرث(2842031)</v>
      </c>
      <c r="V1092" s="1">
        <v>951100068</v>
      </c>
      <c r="W1092" s="1">
        <v>951100068</v>
      </c>
      <c r="X1092" s="1" t="str">
        <f>"1395407990"</f>
        <v>1395407990</v>
      </c>
      <c r="Y1092" s="1" t="str">
        <f>"95/03/23"</f>
        <v>95/03/23</v>
      </c>
      <c r="Z1092" s="1" t="str">
        <f>"95-34483"</f>
        <v>95-34483</v>
      </c>
      <c r="AA1092" s="1" t="str">
        <f>"آسفالت سازان"</f>
        <v>آسفالت سازان</v>
      </c>
      <c r="AB1092" s="1" t="str">
        <f>"95/03/22"</f>
        <v>95/03/22</v>
      </c>
      <c r="AC1092" s="1" t="str">
        <f>"استان كرمانشاه"</f>
        <v>استان كرمانشاه</v>
      </c>
      <c r="AD1092" s="1" t="str">
        <f>"95/03/18"</f>
        <v>95/03/18</v>
      </c>
      <c r="AE1092" s="1" t="str">
        <f>"تاييدشده"</f>
        <v>تاييدشده</v>
      </c>
      <c r="AF1092" s="1" t="str">
        <f>""</f>
        <v/>
      </c>
      <c r="AG1092" s="1" t="str">
        <f>""</f>
        <v/>
      </c>
      <c r="AH1092" s="1" t="str">
        <f>""</f>
        <v/>
      </c>
      <c r="AI1092" s="1" t="str">
        <f>""</f>
        <v/>
      </c>
      <c r="AJ1092" s="1" t="str">
        <f>""</f>
        <v/>
      </c>
      <c r="AK1092" s="1" t="str">
        <f>""</f>
        <v/>
      </c>
    </row>
    <row r="1093" spans="1:37" x14ac:dyDescent="0.2">
      <c r="A1093" s="1">
        <v>134020</v>
      </c>
      <c r="B1093" s="1">
        <v>951600081</v>
      </c>
      <c r="C1093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1093" s="1">
        <v>9511</v>
      </c>
      <c r="E1093" s="1">
        <v>132640</v>
      </c>
      <c r="F1093" s="1">
        <v>95</v>
      </c>
      <c r="G1093" s="1">
        <v>1380</v>
      </c>
      <c r="H1093" s="1" t="str">
        <f>"95/11/03"</f>
        <v>95/11/03</v>
      </c>
      <c r="I1093" s="1" t="str">
        <f t="shared" si="285"/>
        <v>كيلوگرم</v>
      </c>
      <c r="J1093" s="1" t="str">
        <f t="shared" ref="J1093:J1104" si="288">"0000000092"</f>
        <v>0000000092</v>
      </c>
      <c r="K1093" s="1" t="str">
        <f t="shared" ref="K1093:K1104" si="289">"قير  PG64-16"</f>
        <v>قير  PG64-16</v>
      </c>
      <c r="L1093" s="1">
        <v>100</v>
      </c>
      <c r="M1093" s="1" t="str">
        <f t="shared" si="272"/>
        <v>مخازن قير اصفهان</v>
      </c>
      <c r="N1093" s="1">
        <v>9459</v>
      </c>
      <c r="O1093" s="1">
        <v>50033452</v>
      </c>
      <c r="P1093" s="1" t="str">
        <f>"  عمران سازه كاشيگري"</f>
        <v xml:space="preserve">  عمران سازه كاشيگري</v>
      </c>
      <c r="Q1093" s="1">
        <v>16</v>
      </c>
      <c r="R1093" s="1" t="str">
        <f>"فروش داخلي تهران - وزارت راه - معاونت اقتصاد"</f>
        <v>فروش داخلي تهران - وزارت راه - معاونت اقتصاد</v>
      </c>
      <c r="S1093" s="1" t="str">
        <f t="shared" si="286"/>
        <v>قرارداد فروش</v>
      </c>
      <c r="T1093" s="1" t="str">
        <f t="shared" si="287"/>
        <v>ندارد</v>
      </c>
      <c r="U1093" s="1" t="str">
        <f>"فتحي حميد(1901090)"</f>
        <v>فتحي حميد(1901090)</v>
      </c>
      <c r="V1093" s="1">
        <v>951600081</v>
      </c>
      <c r="W1093" s="1">
        <v>951600081</v>
      </c>
      <c r="X1093" s="1" t="str">
        <f>"1395457281"</f>
        <v>1395457281</v>
      </c>
      <c r="Y1093" s="1" t="str">
        <f>"95/11/03"</f>
        <v>95/11/03</v>
      </c>
      <c r="Z1093" s="1" t="str">
        <f>"46372/710"</f>
        <v>46372/710</v>
      </c>
      <c r="AA1093" s="1" t="str">
        <f>"معاونت اقتصادوزارت راه وشهرسازي"</f>
        <v>معاونت اقتصادوزارت راه وشهرسازي</v>
      </c>
      <c r="AB1093" s="1" t="str">
        <f>"95/09/23"</f>
        <v>95/09/23</v>
      </c>
      <c r="AC1093" s="1" t="str">
        <f>"استان هرمزگان"</f>
        <v>استان هرمزگان</v>
      </c>
      <c r="AD1093" s="1" t="str">
        <f>"95/10/15"</f>
        <v>95/10/15</v>
      </c>
      <c r="AE1093" s="1" t="str">
        <f t="shared" ref="AE1093:AE1112" si="290">"اختتام"</f>
        <v>اختتام</v>
      </c>
      <c r="AF1093" s="1" t="str">
        <f>""</f>
        <v/>
      </c>
      <c r="AG1093" s="1" t="str">
        <f>""</f>
        <v/>
      </c>
      <c r="AH1093" s="1" t="str">
        <f>""</f>
        <v/>
      </c>
      <c r="AI1093" s="1" t="str">
        <f>""</f>
        <v/>
      </c>
      <c r="AJ1093" s="1" t="str">
        <f>""</f>
        <v/>
      </c>
      <c r="AK1093" s="1" t="str">
        <f>""</f>
        <v/>
      </c>
    </row>
    <row r="1094" spans="1:37" x14ac:dyDescent="0.2">
      <c r="A1094" s="1">
        <v>204000</v>
      </c>
      <c r="B1094" s="1">
        <v>951400015</v>
      </c>
      <c r="C1094" s="1" t="str">
        <f>"تخليه : لرستان - خرم آباد کيلومتر 50جاده پل قديمي کشکان روبروي پاسگاه انتظامي کارخانه آسفالت بهاروند"</f>
        <v>تخليه : لرستان - خرم آباد کيلومتر 50جاده پل قديمي کشکان روبروي پاسگاه انتظامي کارخانه آسفالت بهاروند</v>
      </c>
      <c r="D1094" s="1">
        <v>6050</v>
      </c>
      <c r="E1094" s="1">
        <v>204000</v>
      </c>
      <c r="F1094" s="1">
        <v>95</v>
      </c>
      <c r="G1094" s="1">
        <v>0</v>
      </c>
      <c r="H1094" s="1" t="str">
        <f>"95/03/16"</f>
        <v>95/03/16</v>
      </c>
      <c r="I1094" s="1" t="str">
        <f t="shared" si="285"/>
        <v>كيلوگرم</v>
      </c>
      <c r="J1094" s="1" t="str">
        <f t="shared" si="288"/>
        <v>0000000092</v>
      </c>
      <c r="K1094" s="1" t="str">
        <f t="shared" si="289"/>
        <v>قير  PG64-16</v>
      </c>
      <c r="L1094" s="1">
        <v>100</v>
      </c>
      <c r="M1094" s="1" t="str">
        <f t="shared" si="272"/>
        <v>مخازن قير اصفهان</v>
      </c>
      <c r="N1094" s="1">
        <v>9527</v>
      </c>
      <c r="O1094" s="1">
        <v>50030967</v>
      </c>
      <c r="P1094" s="1" t="str">
        <f>"  آبادگران راه خرم"</f>
        <v xml:space="preserve">  آبادگران راه خرم</v>
      </c>
      <c r="Q1094" s="1">
        <v>14</v>
      </c>
      <c r="R1094" s="1" t="str">
        <f>"فروش داخلي - وزارت راه - حوزه راه روستايي ساخت"</f>
        <v>فروش داخلي - وزارت راه - حوزه راه روستايي ساخت</v>
      </c>
      <c r="S1094" s="1" t="str">
        <f t="shared" si="286"/>
        <v>قرارداد فروش</v>
      </c>
      <c r="T1094" s="1" t="str">
        <f t="shared" si="287"/>
        <v>ندارد</v>
      </c>
      <c r="U1094" s="1" t="str">
        <f>"ريسماني حسن(1007ج89)"</f>
        <v>ريسماني حسن(1007ج89)</v>
      </c>
      <c r="V1094" s="1">
        <v>951400015</v>
      </c>
      <c r="W1094" s="1">
        <v>951400015</v>
      </c>
      <c r="X1094" s="1" t="str">
        <f>"1395407687"</f>
        <v>1395407687</v>
      </c>
      <c r="Y1094" s="1" t="str">
        <f>"95/03/16"</f>
        <v>95/03/16</v>
      </c>
      <c r="Z1094" s="1" t="str">
        <f>"10185/510"</f>
        <v>10185/510</v>
      </c>
      <c r="AA1094" s="1" t="str">
        <f>"راه وروستايي -ساخت"</f>
        <v>راه وروستايي -ساخت</v>
      </c>
      <c r="AB1094" s="1" t="str">
        <f>"95/03/11"</f>
        <v>95/03/11</v>
      </c>
      <c r="AC1094" s="1" t="str">
        <f>"لرستان"</f>
        <v>لرستان</v>
      </c>
      <c r="AD1094" s="1" t="str">
        <f>"95/03/16"</f>
        <v>95/03/16</v>
      </c>
      <c r="AE1094" s="1" t="str">
        <f t="shared" si="290"/>
        <v>اختتام</v>
      </c>
      <c r="AF1094" s="1" t="str">
        <f>""</f>
        <v/>
      </c>
      <c r="AG1094" s="1" t="str">
        <f>""</f>
        <v/>
      </c>
      <c r="AH1094" s="1" t="str">
        <f>""</f>
        <v/>
      </c>
      <c r="AI1094" s="1" t="str">
        <f>""</f>
        <v/>
      </c>
      <c r="AJ1094" s="1" t="str">
        <f>""</f>
        <v/>
      </c>
      <c r="AK1094" s="1" t="str">
        <f>""</f>
        <v/>
      </c>
    </row>
    <row r="1095" spans="1:37" x14ac:dyDescent="0.2">
      <c r="A1095" s="1">
        <v>360000</v>
      </c>
      <c r="B1095" s="1">
        <v>951300004</v>
      </c>
      <c r="C1095" s="1" t="str">
        <f>"تخليه اصفهان اردستان كيلومتر15جاده اردستان نائين كارخانه آسفالت مزروعي"</f>
        <v>تخليه اصفهان اردستان كيلومتر15جاده اردستان نائين كارخانه آسفالت مزروعي</v>
      </c>
      <c r="D1095" s="1">
        <v>5650</v>
      </c>
      <c r="E1095" s="1">
        <v>359620</v>
      </c>
      <c r="F1095" s="1">
        <v>95</v>
      </c>
      <c r="G1095" s="1">
        <v>380</v>
      </c>
      <c r="H1095" s="1" t="str">
        <f>"95/02/15"</f>
        <v>95/02/15</v>
      </c>
      <c r="I1095" s="1" t="str">
        <f t="shared" si="285"/>
        <v>كيلوگرم</v>
      </c>
      <c r="J1095" s="1" t="str">
        <f t="shared" si="288"/>
        <v>0000000092</v>
      </c>
      <c r="K1095" s="1" t="str">
        <f t="shared" si="289"/>
        <v>قير  PG64-16</v>
      </c>
      <c r="L1095" s="1">
        <v>100</v>
      </c>
      <c r="M1095" s="1" t="str">
        <f t="shared" si="272"/>
        <v>مخازن قير اصفهان</v>
      </c>
      <c r="N1095" s="1">
        <v>9814</v>
      </c>
      <c r="O1095" s="1">
        <v>50030743</v>
      </c>
      <c r="P1095" s="1" t="str">
        <f>"  بنيادمسكن انقلاب اسلامي اصفهان"</f>
        <v xml:space="preserve">  بنيادمسكن انقلاب اسلامي اصفهان</v>
      </c>
      <c r="Q1095" s="1">
        <v>13</v>
      </c>
      <c r="R1095" s="1" t="str">
        <f>"فروش داخلي - وزارت راه - حوزه بنياد مسكن"</f>
        <v>فروش داخلي - وزارت راه - حوزه بنياد مسكن</v>
      </c>
      <c r="S1095" s="1" t="str">
        <f t="shared" si="286"/>
        <v>قرارداد فروش</v>
      </c>
      <c r="T1095" s="1" t="str">
        <f t="shared" si="287"/>
        <v>ندارد</v>
      </c>
      <c r="U1095" s="1" t="str">
        <f>"معماريان سعيد(1004ج89)"</f>
        <v>معماريان سعيد(1004ج89)</v>
      </c>
      <c r="V1095" s="1">
        <v>951300004</v>
      </c>
      <c r="W1095" s="1">
        <v>951300004</v>
      </c>
      <c r="X1095" s="1" t="str">
        <f>"1395401949"</f>
        <v>1395401949</v>
      </c>
      <c r="Y1095" s="1" t="str">
        <f>"95/02/15"</f>
        <v>95/02/15</v>
      </c>
      <c r="Z1095" s="1" t="str">
        <f>"64220/510"</f>
        <v>64220/510</v>
      </c>
      <c r="AA1095" s="1" t="str">
        <f>"بنياد مسكن -مسكن مهر"</f>
        <v>بنياد مسكن -مسكن مهر</v>
      </c>
      <c r="AB1095" s="1" t="str">
        <f>"94/11/20"</f>
        <v>94/11/20</v>
      </c>
      <c r="AC1095" s="1" t="str">
        <f>"استان اصفهان"</f>
        <v>استان اصفهان</v>
      </c>
      <c r="AD1095" s="1" t="str">
        <f>"95/02/11"</f>
        <v>95/02/11</v>
      </c>
      <c r="AE1095" s="1" t="str">
        <f t="shared" si="290"/>
        <v>اختتام</v>
      </c>
      <c r="AF1095" s="1" t="str">
        <f>""</f>
        <v/>
      </c>
      <c r="AG1095" s="1" t="str">
        <f>""</f>
        <v/>
      </c>
      <c r="AH1095" s="1" t="str">
        <f>""</f>
        <v/>
      </c>
      <c r="AI1095" s="1" t="str">
        <f>""</f>
        <v/>
      </c>
      <c r="AJ1095" s="1" t="str">
        <f>""</f>
        <v/>
      </c>
      <c r="AK1095" s="1" t="str">
        <f>""</f>
        <v/>
      </c>
    </row>
    <row r="1096" spans="1:37" x14ac:dyDescent="0.2">
      <c r="A1096" s="1">
        <v>167000</v>
      </c>
      <c r="B1096" s="1">
        <v>951300020</v>
      </c>
      <c r="C1096" s="1" t="str">
        <f>"تخليه -اصفهان پليس راه شاهين شهركيلومتر12جاده علويجه كارخانه آسفالت مترو-مزروعي"</f>
        <v>تخليه -اصفهان پليس راه شاهين شهركيلومتر12جاده علويجه كارخانه آسفالت مترو-مزروعي</v>
      </c>
      <c r="D1096" s="1">
        <v>9511</v>
      </c>
      <c r="E1096" s="1">
        <v>166280</v>
      </c>
      <c r="F1096" s="1">
        <v>95</v>
      </c>
      <c r="G1096" s="1">
        <v>720</v>
      </c>
      <c r="H1096" s="1" t="str">
        <f>"95/11/10"</f>
        <v>95/11/10</v>
      </c>
      <c r="I1096" s="1" t="str">
        <f t="shared" si="285"/>
        <v>كيلوگرم</v>
      </c>
      <c r="J1096" s="1" t="str">
        <f t="shared" si="288"/>
        <v>0000000092</v>
      </c>
      <c r="K1096" s="1" t="str">
        <f t="shared" si="289"/>
        <v>قير  PG64-16</v>
      </c>
      <c r="L1096" s="1">
        <v>100</v>
      </c>
      <c r="M1096" s="1" t="str">
        <f t="shared" ref="M1096:M1159" si="291">"مخازن قير اصفهان"</f>
        <v>مخازن قير اصفهان</v>
      </c>
      <c r="N1096" s="1">
        <v>9814</v>
      </c>
      <c r="O1096" s="1">
        <v>50033563</v>
      </c>
      <c r="P1096" s="1" t="str">
        <f>"  بنيادمسكن انقلاب اسلامي اصفهان"</f>
        <v xml:space="preserve">  بنيادمسكن انقلاب اسلامي اصفهان</v>
      </c>
      <c r="Q1096" s="1">
        <v>13</v>
      </c>
      <c r="R1096" s="1" t="str">
        <f>"فروش داخلي - وزارت راه - حوزه بنياد مسكن"</f>
        <v>فروش داخلي - وزارت راه - حوزه بنياد مسكن</v>
      </c>
      <c r="S1096" s="1" t="str">
        <f t="shared" si="286"/>
        <v>قرارداد فروش</v>
      </c>
      <c r="T1096" s="1" t="str">
        <f t="shared" si="287"/>
        <v>ندارد</v>
      </c>
      <c r="U1096" s="1" t="str">
        <f>"عزيزي صفر(1006ج 89)"</f>
        <v>عزيزي صفر(1006ج 89)</v>
      </c>
      <c r="V1096" s="1">
        <v>951300020</v>
      </c>
      <c r="W1096" s="1">
        <v>951300020</v>
      </c>
      <c r="X1096" s="1" t="str">
        <f>"1395461524"</f>
        <v>1395461524</v>
      </c>
      <c r="Y1096" s="1" t="str">
        <f>"95/11/10"</f>
        <v>95/11/10</v>
      </c>
      <c r="Z1096" s="1" t="str">
        <f>"54373/710"</f>
        <v>54373/710</v>
      </c>
      <c r="AA1096" s="1" t="str">
        <f>"بنياد مسكن -مسكن مهر"</f>
        <v>بنياد مسكن -مسكن مهر</v>
      </c>
      <c r="AB1096" s="1" t="str">
        <f>"95/11/04"</f>
        <v>95/11/04</v>
      </c>
      <c r="AC1096" s="1" t="str">
        <f>"استان اصفهان"</f>
        <v>استان اصفهان</v>
      </c>
      <c r="AD1096" s="1" t="str">
        <f>"95/11/10"</f>
        <v>95/11/10</v>
      </c>
      <c r="AE1096" s="1" t="str">
        <f t="shared" si="290"/>
        <v>اختتام</v>
      </c>
      <c r="AF1096" s="1" t="str">
        <f>""</f>
        <v/>
      </c>
      <c r="AG1096" s="1" t="str">
        <f>""</f>
        <v/>
      </c>
      <c r="AH1096" s="1" t="str">
        <f>""</f>
        <v/>
      </c>
      <c r="AI1096" s="1" t="str">
        <f>""</f>
        <v/>
      </c>
      <c r="AJ1096" s="1" t="str">
        <f>""</f>
        <v/>
      </c>
      <c r="AK1096" s="1" t="str">
        <f>""</f>
        <v/>
      </c>
    </row>
    <row r="1097" spans="1:37" x14ac:dyDescent="0.2">
      <c r="A1097" s="1">
        <v>214000</v>
      </c>
      <c r="B1097" s="1">
        <v>951300029</v>
      </c>
      <c r="C1097" s="1" t="str">
        <f>"تخليه اصفهان پليس راه اصفهان تهران جاده علويجه كيلومتر12كارخانه آسفالت اصفهان مترو"</f>
        <v>تخليه اصفهان پليس راه اصفهان تهران جاده علويجه كيلومتر12كارخانه آسفالت اصفهان مترو</v>
      </c>
      <c r="D1097" s="1">
        <v>8998</v>
      </c>
      <c r="E1097" s="1">
        <v>214000</v>
      </c>
      <c r="F1097" s="1">
        <v>95</v>
      </c>
      <c r="G1097" s="1">
        <v>0</v>
      </c>
      <c r="H1097" s="1" t="str">
        <f>"95/12/18"</f>
        <v>95/12/18</v>
      </c>
      <c r="I1097" s="1" t="str">
        <f t="shared" si="285"/>
        <v>كيلوگرم</v>
      </c>
      <c r="J1097" s="1" t="str">
        <f t="shared" si="288"/>
        <v>0000000092</v>
      </c>
      <c r="K1097" s="1" t="str">
        <f t="shared" si="289"/>
        <v>قير  PG64-16</v>
      </c>
      <c r="L1097" s="1">
        <v>100</v>
      </c>
      <c r="M1097" s="1" t="str">
        <f t="shared" si="291"/>
        <v>مخازن قير اصفهان</v>
      </c>
      <c r="N1097" s="1">
        <v>9814</v>
      </c>
      <c r="O1097" s="1">
        <v>50034050</v>
      </c>
      <c r="P1097" s="1" t="str">
        <f>"  بنيادمسكن انقلاب اسلامي اصفهان"</f>
        <v xml:space="preserve">  بنيادمسكن انقلاب اسلامي اصفهان</v>
      </c>
      <c r="Q1097" s="1">
        <v>13</v>
      </c>
      <c r="R1097" s="1" t="str">
        <f>"فروش داخلي - وزارت راه - حوزه بنياد مسكن"</f>
        <v>فروش داخلي - وزارت راه - حوزه بنياد مسكن</v>
      </c>
      <c r="S1097" s="1" t="str">
        <f t="shared" si="286"/>
        <v>قرارداد فروش</v>
      </c>
      <c r="T1097" s="1" t="str">
        <f t="shared" si="287"/>
        <v>ندارد</v>
      </c>
      <c r="U1097" s="1" t="str">
        <f>"عزيزي صفر(1006ج 89)"</f>
        <v>عزيزي صفر(1006ج 89)</v>
      </c>
      <c r="V1097" s="1">
        <v>951300029</v>
      </c>
      <c r="W1097" s="1">
        <v>951300029</v>
      </c>
      <c r="X1097" s="1" t="str">
        <f>"1395469560"</f>
        <v>1395469560</v>
      </c>
      <c r="Y1097" s="1" t="str">
        <f>"95/12/18"</f>
        <v>95/12/18</v>
      </c>
      <c r="Z1097" s="1" t="str">
        <f>"63494/710"</f>
        <v>63494/710</v>
      </c>
      <c r="AA1097" s="1" t="str">
        <f>"بنياد مسكن -مسكن مهر"</f>
        <v>بنياد مسكن -مسكن مهر</v>
      </c>
      <c r="AB1097" s="1" t="str">
        <f>"95/12/14"</f>
        <v>95/12/14</v>
      </c>
      <c r="AC1097" s="1" t="str">
        <f>"استان اصفهان"</f>
        <v>استان اصفهان</v>
      </c>
      <c r="AD1097" s="1" t="str">
        <f>"95/12/17"</f>
        <v>95/12/17</v>
      </c>
      <c r="AE1097" s="1" t="str">
        <f t="shared" si="290"/>
        <v>اختتام</v>
      </c>
      <c r="AF1097" s="1" t="str">
        <f>""</f>
        <v/>
      </c>
      <c r="AG1097" s="1" t="str">
        <f>""</f>
        <v/>
      </c>
      <c r="AH1097" s="1" t="str">
        <f>""</f>
        <v/>
      </c>
      <c r="AI1097" s="1" t="str">
        <f>""</f>
        <v/>
      </c>
      <c r="AJ1097" s="1" t="str">
        <f>""</f>
        <v/>
      </c>
      <c r="AK1097" s="1" t="str">
        <f>""</f>
        <v/>
      </c>
    </row>
    <row r="1098" spans="1:37" x14ac:dyDescent="0.2">
      <c r="A1098" s="1">
        <v>1000000</v>
      </c>
      <c r="B1098" s="1">
        <v>951900260</v>
      </c>
      <c r="C1098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098" s="1">
        <v>8998</v>
      </c>
      <c r="E1098" s="1">
        <v>991020</v>
      </c>
      <c r="F1098" s="1">
        <v>95</v>
      </c>
      <c r="G1098" s="1">
        <v>8980</v>
      </c>
      <c r="H1098" s="1" t="str">
        <f>"95/11/24"</f>
        <v>95/11/24</v>
      </c>
      <c r="I1098" s="1" t="str">
        <f t="shared" si="285"/>
        <v>كيلوگرم</v>
      </c>
      <c r="J1098" s="1" t="str">
        <f t="shared" si="288"/>
        <v>0000000092</v>
      </c>
      <c r="K1098" s="1" t="str">
        <f t="shared" si="289"/>
        <v>قير  PG64-16</v>
      </c>
      <c r="L1098" s="1">
        <v>100</v>
      </c>
      <c r="M1098" s="1" t="str">
        <f t="shared" si="291"/>
        <v>مخازن قير اصفهان</v>
      </c>
      <c r="N1098" s="1">
        <v>11038</v>
      </c>
      <c r="O1098" s="1">
        <v>50033705</v>
      </c>
      <c r="P1098" s="1" t="str">
        <f>"  پل پي ساحل"</f>
        <v xml:space="preserve">  پل پي ساحل</v>
      </c>
      <c r="Q1098" s="1">
        <v>19</v>
      </c>
      <c r="R10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98" s="1" t="str">
        <f t="shared" si="286"/>
        <v>قرارداد فروش</v>
      </c>
      <c r="T1098" s="1" t="str">
        <f t="shared" si="287"/>
        <v>ندارد</v>
      </c>
      <c r="U1098" s="1" t="str">
        <f>"حاصليان ترابرجنوب مرتضي حاصلي (4844006)"</f>
        <v>حاصليان ترابرجنوب مرتضي حاصلي (4844006)</v>
      </c>
      <c r="V1098" s="1">
        <v>951900260</v>
      </c>
      <c r="W1098" s="1">
        <v>951900260</v>
      </c>
      <c r="X1098" s="1" t="str">
        <f>"1395464566"</f>
        <v>1395464566</v>
      </c>
      <c r="Y1098" s="1" t="str">
        <f>"95/11/24"</f>
        <v>95/11/24</v>
      </c>
      <c r="Z1098" s="1" t="str">
        <f>"57832/710"</f>
        <v>57832/710</v>
      </c>
      <c r="AA1098" s="1" t="str">
        <f>"سازمان راهداري وحمل نقل جاده اي"</f>
        <v>سازمان راهداري وحمل نقل جاده اي</v>
      </c>
      <c r="AB1098" s="1" t="str">
        <f>"95/11/19"</f>
        <v>95/11/19</v>
      </c>
      <c r="AC1098" s="1" t="str">
        <f>"استان هرمزگان"</f>
        <v>استان هرمزگان</v>
      </c>
      <c r="AD1098" s="1" t="str">
        <f>"95/11/24"</f>
        <v>95/11/24</v>
      </c>
      <c r="AE1098" s="1" t="str">
        <f t="shared" si="290"/>
        <v>اختتام</v>
      </c>
      <c r="AF1098" s="1" t="str">
        <f>""</f>
        <v/>
      </c>
      <c r="AG1098" s="1" t="str">
        <f>""</f>
        <v/>
      </c>
      <c r="AH1098" s="1" t="str">
        <f>""</f>
        <v/>
      </c>
      <c r="AI1098" s="1" t="str">
        <f>""</f>
        <v/>
      </c>
      <c r="AJ1098" s="1" t="str">
        <f>""</f>
        <v/>
      </c>
      <c r="AK1098" s="1" t="str">
        <f>""</f>
        <v/>
      </c>
    </row>
    <row r="1099" spans="1:37" x14ac:dyDescent="0.2">
      <c r="A1099" s="1">
        <v>550000</v>
      </c>
      <c r="B1099" s="1">
        <v>951900019</v>
      </c>
      <c r="C1099" s="1" t="str">
        <f>"تخليه -اصفهان -نايين انارك 5كيلومتري انارك كارخانه آسفالت شركت فردسازه سپاهان"</f>
        <v>تخليه -اصفهان -نايين انارك 5كيلومتري انارك كارخانه آسفالت شركت فردسازه سپاهان</v>
      </c>
      <c r="D1099" s="1">
        <v>5650</v>
      </c>
      <c r="E1099" s="1">
        <v>550000</v>
      </c>
      <c r="F1099" s="1">
        <v>95</v>
      </c>
      <c r="G1099" s="1">
        <v>0</v>
      </c>
      <c r="H1099" s="1" t="str">
        <f>"95/02/21"</f>
        <v>95/02/21</v>
      </c>
      <c r="I1099" s="1" t="str">
        <f t="shared" si="285"/>
        <v>كيلوگرم</v>
      </c>
      <c r="J1099" s="1" t="str">
        <f t="shared" si="288"/>
        <v>0000000092</v>
      </c>
      <c r="K1099" s="1" t="str">
        <f t="shared" si="289"/>
        <v>قير  PG64-16</v>
      </c>
      <c r="L1099" s="1">
        <v>100</v>
      </c>
      <c r="M1099" s="1" t="str">
        <f t="shared" si="291"/>
        <v>مخازن قير اصفهان</v>
      </c>
      <c r="N1099" s="1">
        <v>11068</v>
      </c>
      <c r="O1099" s="1">
        <v>50030797</v>
      </c>
      <c r="P1099" s="1" t="str">
        <f>"  بتن گسترسبزسپاهان"</f>
        <v xml:space="preserve">  بتن گسترسبزسپاهان</v>
      </c>
      <c r="Q1099" s="1">
        <v>19</v>
      </c>
      <c r="R109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99" s="1" t="str">
        <f t="shared" si="286"/>
        <v>قرارداد فروش</v>
      </c>
      <c r="T1099" s="1" t="str">
        <f t="shared" si="287"/>
        <v>ندارد</v>
      </c>
      <c r="U1099" s="1" t="str">
        <f>"علي عابدي ابوالقاسم(1003ج89)"</f>
        <v>علي عابدي ابوالقاسم(1003ج89)</v>
      </c>
      <c r="V1099" s="1">
        <v>951900019</v>
      </c>
      <c r="W1099" s="1">
        <v>951900019</v>
      </c>
      <c r="X1099" s="1" t="str">
        <f>"1395403055"</f>
        <v>1395403055</v>
      </c>
      <c r="Y1099" s="1" t="str">
        <f>"95/02/20"</f>
        <v>95/02/20</v>
      </c>
      <c r="Z1099" s="1" t="str">
        <f>"68008/510"</f>
        <v>68008/510</v>
      </c>
      <c r="AA1099" s="1" t="str">
        <f>"سازمان راهداري وحمل نقل جاده اي"</f>
        <v>سازمان راهداري وحمل نقل جاده اي</v>
      </c>
      <c r="AB1099" s="1" t="str">
        <f>"94/12/11"</f>
        <v>94/12/11</v>
      </c>
      <c r="AC1099" s="1" t="str">
        <f>"استان اصفهان"</f>
        <v>استان اصفهان</v>
      </c>
      <c r="AD1099" s="1" t="str">
        <f>"95/02/18"</f>
        <v>95/02/18</v>
      </c>
      <c r="AE1099" s="1" t="str">
        <f t="shared" si="290"/>
        <v>اختتام</v>
      </c>
      <c r="AF1099" s="1" t="str">
        <f>""</f>
        <v/>
      </c>
      <c r="AG1099" s="1" t="str">
        <f>""</f>
        <v/>
      </c>
      <c r="AH1099" s="1" t="str">
        <f>""</f>
        <v/>
      </c>
      <c r="AI1099" s="1" t="str">
        <f>""</f>
        <v/>
      </c>
      <c r="AJ1099" s="1" t="str">
        <f>""</f>
        <v/>
      </c>
      <c r="AK1099" s="1" t="str">
        <f>""</f>
        <v/>
      </c>
    </row>
    <row r="1100" spans="1:37" x14ac:dyDescent="0.2">
      <c r="A1100" s="1">
        <v>360000</v>
      </c>
      <c r="B1100" s="1">
        <v>951000001</v>
      </c>
      <c r="C1100" s="1" t="str">
        <f>"تخليه-ياسوج کارخانه آسفالت ولي عصر"</f>
        <v>تخليه-ياسوج کارخانه آسفالت ولي عصر</v>
      </c>
      <c r="D1100" s="1">
        <v>5650</v>
      </c>
      <c r="E1100" s="1">
        <v>358780</v>
      </c>
      <c r="F1100" s="1">
        <v>95</v>
      </c>
      <c r="G1100" s="1">
        <v>1220</v>
      </c>
      <c r="H1100" s="1" t="str">
        <f>"95/02/21"</f>
        <v>95/02/21</v>
      </c>
      <c r="I1100" s="1" t="str">
        <f t="shared" si="285"/>
        <v>كيلوگرم</v>
      </c>
      <c r="J1100" s="1" t="str">
        <f t="shared" si="288"/>
        <v>0000000092</v>
      </c>
      <c r="K1100" s="1" t="str">
        <f t="shared" si="289"/>
        <v>قير  PG64-16</v>
      </c>
      <c r="L1100" s="1">
        <v>100</v>
      </c>
      <c r="M1100" s="1" t="str">
        <f t="shared" si="291"/>
        <v>مخازن قير اصفهان</v>
      </c>
      <c r="N1100" s="1">
        <v>11094</v>
      </c>
      <c r="O1100" s="1">
        <v>50030806</v>
      </c>
      <c r="P1100" s="1" t="str">
        <f>"  اداره کل نوسازي مدارس استان کهگيلويه و بويراحمد"</f>
        <v xml:space="preserve">  اداره کل نوسازي مدارس استان کهگيلويه و بويراحمد</v>
      </c>
      <c r="Q1100" s="1">
        <v>10</v>
      </c>
      <c r="R1100" s="1" t="str">
        <f>"فروش داخلي - وزارت راه - متفرقه"</f>
        <v>فروش داخلي - وزارت راه - متفرقه</v>
      </c>
      <c r="S1100" s="1" t="str">
        <f t="shared" si="286"/>
        <v>قرارداد فروش</v>
      </c>
      <c r="T1100" s="1" t="str">
        <f t="shared" si="287"/>
        <v>ندارد</v>
      </c>
      <c r="U1100" s="1" t="str">
        <f>"غلام نجفي سيامك‌‌‌‌‌‌(1881082)"</f>
        <v>غلام نجفي سيامك‌‌‌‌‌‌(1881082)</v>
      </c>
      <c r="V1100" s="1">
        <v>951000001</v>
      </c>
      <c r="W1100" s="1">
        <v>951000001</v>
      </c>
      <c r="X1100" s="1" t="str">
        <f>"1395403067"</f>
        <v>1395403067</v>
      </c>
      <c r="Y1100" s="1" t="str">
        <f>"95/02/21"</f>
        <v>95/02/21</v>
      </c>
      <c r="Z1100" s="1" t="str">
        <f>"69696/510"</f>
        <v>69696/510</v>
      </c>
      <c r="AA1100" s="1" t="str">
        <f>"متفرقه"</f>
        <v>متفرقه</v>
      </c>
      <c r="AB1100" s="1" t="str">
        <f>"94/12/19"</f>
        <v>94/12/19</v>
      </c>
      <c r="AC1100" s="1" t="str">
        <f>"كهكيلويه و بوير احمد"</f>
        <v>كهكيلويه و بوير احمد</v>
      </c>
      <c r="AD1100" s="1" t="str">
        <f>"95/02/18"</f>
        <v>95/02/18</v>
      </c>
      <c r="AE1100" s="1" t="str">
        <f t="shared" si="290"/>
        <v>اختتام</v>
      </c>
      <c r="AF1100" s="1" t="str">
        <f>""</f>
        <v/>
      </c>
      <c r="AG1100" s="1" t="str">
        <f>""</f>
        <v/>
      </c>
      <c r="AH1100" s="1" t="str">
        <f>""</f>
        <v/>
      </c>
      <c r="AI1100" s="1" t="str">
        <f>""</f>
        <v/>
      </c>
      <c r="AJ1100" s="1" t="str">
        <f>""</f>
        <v/>
      </c>
      <c r="AK1100" s="1" t="str">
        <f>""</f>
        <v/>
      </c>
    </row>
    <row r="1101" spans="1:37" x14ac:dyDescent="0.2">
      <c r="A1101" s="1">
        <v>586000</v>
      </c>
      <c r="B1101" s="1">
        <v>951400189</v>
      </c>
      <c r="C1101" s="1" t="str">
        <f>"تخليه پروژه خريدواجراي آسفالت راههاي روستايي حوزه حاجي آبادكارخانه آسفالت شركت سازه سازان سمنگان"</f>
        <v>تخليه پروژه خريدواجراي آسفالت راههاي روستايي حوزه حاجي آبادكارخانه آسفالت شركت سازه سازان سمنگان</v>
      </c>
      <c r="D1101" s="1">
        <v>9068</v>
      </c>
      <c r="E1101" s="1">
        <v>585240</v>
      </c>
      <c r="F1101" s="1">
        <v>95</v>
      </c>
      <c r="G1101" s="1">
        <v>760</v>
      </c>
      <c r="H1101" s="1" t="str">
        <f>"95/12/26"</f>
        <v>95/12/26</v>
      </c>
      <c r="I1101" s="1" t="str">
        <f t="shared" si="285"/>
        <v>كيلوگرم</v>
      </c>
      <c r="J1101" s="1" t="str">
        <f t="shared" si="288"/>
        <v>0000000092</v>
      </c>
      <c r="K1101" s="1" t="str">
        <f t="shared" si="289"/>
        <v>قير  PG64-16</v>
      </c>
      <c r="L1101" s="1">
        <v>100</v>
      </c>
      <c r="M1101" s="1" t="str">
        <f t="shared" si="291"/>
        <v>مخازن قير اصفهان</v>
      </c>
      <c r="N1101" s="1">
        <v>11233</v>
      </c>
      <c r="O1101" s="1">
        <v>50034278</v>
      </c>
      <c r="P1101" s="1" t="str">
        <f>"  پي سازه هرسين"</f>
        <v xml:space="preserve">  پي سازه هرسين</v>
      </c>
      <c r="Q1101" s="1">
        <v>14</v>
      </c>
      <c r="R1101" s="1" t="str">
        <f>"فروش داخلي - وزارت راه - حوزه راه روستايي ساخت"</f>
        <v>فروش داخلي - وزارت راه - حوزه راه روستايي ساخت</v>
      </c>
      <c r="S1101" s="1" t="str">
        <f t="shared" si="286"/>
        <v>قرارداد فروش</v>
      </c>
      <c r="T1101" s="1" t="str">
        <f t="shared" si="287"/>
        <v>ندارد</v>
      </c>
      <c r="U1101" s="1" t="str">
        <f>"حاصليان ترابرجنوب مرتضي حاصلي (4844006)"</f>
        <v>حاصليان ترابرجنوب مرتضي حاصلي (4844006)</v>
      </c>
      <c r="V1101" s="1">
        <v>951400189</v>
      </c>
      <c r="W1101" s="1">
        <v>951400189</v>
      </c>
      <c r="X1101" s="1" t="str">
        <f>"1395470955"</f>
        <v>1395470955</v>
      </c>
      <c r="Y1101" s="1" t="str">
        <f>"95/12/26"</f>
        <v>95/12/26</v>
      </c>
      <c r="Z1101" s="1" t="str">
        <f>"65976/710"</f>
        <v>65976/710</v>
      </c>
      <c r="AA1101" s="1" t="str">
        <f>"راه وروستايي -ساخت"</f>
        <v>راه وروستايي -ساخت</v>
      </c>
      <c r="AB1101" s="1" t="str">
        <f>"95/12/22"</f>
        <v>95/12/22</v>
      </c>
      <c r="AC1101" s="1" t="str">
        <f>"استان هرمزگان"</f>
        <v>استان هرمزگان</v>
      </c>
      <c r="AD1101" s="1" t="str">
        <f>"95/12/24"</f>
        <v>95/12/24</v>
      </c>
      <c r="AE1101" s="1" t="str">
        <f t="shared" si="290"/>
        <v>اختتام</v>
      </c>
      <c r="AF1101" s="1" t="str">
        <f>""</f>
        <v/>
      </c>
      <c r="AG1101" s="1" t="str">
        <f>""</f>
        <v/>
      </c>
      <c r="AH1101" s="1" t="str">
        <f>""</f>
        <v/>
      </c>
      <c r="AI1101" s="1" t="str">
        <f>""</f>
        <v/>
      </c>
      <c r="AJ1101" s="1" t="str">
        <f>""</f>
        <v/>
      </c>
      <c r="AK1101" s="1" t="str">
        <f>""</f>
        <v/>
      </c>
    </row>
    <row r="1102" spans="1:37" x14ac:dyDescent="0.2">
      <c r="A1102" s="1">
        <v>130000</v>
      </c>
      <c r="B1102" s="1">
        <v>956100023</v>
      </c>
      <c r="C1102" s="1" t="str">
        <f>"تخليه اصفهان شهرك صنعتي اشترجان خيابان 11كارخانه آسفالت راه آژند"</f>
        <v>تخليه اصفهان شهرك صنعتي اشترجان خيابان 11كارخانه آسفالت راه آژند</v>
      </c>
      <c r="D1102" s="1">
        <v>8998</v>
      </c>
      <c r="E1102" s="1">
        <v>128640</v>
      </c>
      <c r="F1102" s="1">
        <v>95</v>
      </c>
      <c r="G1102" s="1">
        <v>1360</v>
      </c>
      <c r="H1102" s="1" t="str">
        <f>"95/12/11"</f>
        <v>95/12/11</v>
      </c>
      <c r="I1102" s="1" t="str">
        <f t="shared" si="285"/>
        <v>كيلوگرم</v>
      </c>
      <c r="J1102" s="1" t="str">
        <f t="shared" si="288"/>
        <v>0000000092</v>
      </c>
      <c r="K1102" s="1" t="str">
        <f t="shared" si="289"/>
        <v>قير  PG64-16</v>
      </c>
      <c r="L1102" s="1">
        <v>100</v>
      </c>
      <c r="M1102" s="1" t="str">
        <f t="shared" si="291"/>
        <v>مخازن قير اصفهان</v>
      </c>
      <c r="N1102" s="1">
        <v>11281</v>
      </c>
      <c r="O1102" s="1">
        <v>50033955</v>
      </c>
      <c r="P1102" s="1" t="str">
        <f>"  پوياسازه ارمند"</f>
        <v xml:space="preserve">  پوياسازه ارمند</v>
      </c>
      <c r="Q1102" s="1">
        <v>61</v>
      </c>
      <c r="R1102" s="1" t="str">
        <f>"فروش داخلي - وزارت راه - مسكن مهر"</f>
        <v>فروش داخلي - وزارت راه - مسكن مهر</v>
      </c>
      <c r="S1102" s="1" t="str">
        <f t="shared" si="286"/>
        <v>قرارداد فروش</v>
      </c>
      <c r="T1102" s="1" t="str">
        <f t="shared" si="287"/>
        <v>ندارد</v>
      </c>
      <c r="U1102" s="1" t="str">
        <f>"سيفي پور عبدالمجيد(1009ج89)"</f>
        <v>سيفي پور عبدالمجيد(1009ج89)</v>
      </c>
      <c r="V1102" s="1">
        <v>956100023</v>
      </c>
      <c r="W1102" s="1">
        <v>956100023</v>
      </c>
      <c r="X1102" s="1" t="str">
        <f>"1395467971"</f>
        <v>1395467971</v>
      </c>
      <c r="Y1102" s="1" t="str">
        <f>"95/12/09"</f>
        <v>95/12/09</v>
      </c>
      <c r="Z1102" s="1" t="str">
        <f>"60171/710"</f>
        <v>60171/710</v>
      </c>
      <c r="AA1102" s="1" t="str">
        <f>"مسكن مهر-وزارت راه"</f>
        <v>مسكن مهر-وزارت راه</v>
      </c>
      <c r="AB1102" s="1" t="str">
        <f>"95/11/30"</f>
        <v>95/11/30</v>
      </c>
      <c r="AC1102" s="1" t="str">
        <f>"استان اصفهان"</f>
        <v>استان اصفهان</v>
      </c>
      <c r="AD1102" s="1" t="str">
        <f>"95/12/09"</f>
        <v>95/12/09</v>
      </c>
      <c r="AE1102" s="1" t="str">
        <f t="shared" si="290"/>
        <v>اختتام</v>
      </c>
      <c r="AF1102" s="1" t="str">
        <f>""</f>
        <v/>
      </c>
      <c r="AG1102" s="1" t="str">
        <f>""</f>
        <v/>
      </c>
      <c r="AH1102" s="1" t="str">
        <f>""</f>
        <v/>
      </c>
      <c r="AI1102" s="1" t="str">
        <f>""</f>
        <v/>
      </c>
      <c r="AJ1102" s="1" t="str">
        <f>""</f>
        <v/>
      </c>
      <c r="AK1102" s="1" t="str">
        <f>""</f>
        <v/>
      </c>
    </row>
    <row r="1103" spans="1:37" x14ac:dyDescent="0.2">
      <c r="A1103" s="1">
        <v>400000</v>
      </c>
      <c r="B1103" s="1">
        <v>951900296</v>
      </c>
      <c r="C1103" s="1" t="str">
        <f>"تخليه لرستان كيلومتر75كوهدشت اسلام آبادغرب هليلان شركت آج راه غرب"</f>
        <v>تخليه لرستان كيلومتر75كوهدشت اسلام آبادغرب هليلان شركت آج راه غرب</v>
      </c>
      <c r="D1103" s="1">
        <v>8998</v>
      </c>
      <c r="E1103" s="1">
        <v>398680</v>
      </c>
      <c r="F1103" s="1">
        <v>95</v>
      </c>
      <c r="G1103" s="1">
        <v>1320</v>
      </c>
      <c r="H1103" s="1" t="str">
        <f>"95/12/19"</f>
        <v>95/12/19</v>
      </c>
      <c r="I1103" s="1" t="str">
        <f t="shared" si="285"/>
        <v>كيلوگرم</v>
      </c>
      <c r="J1103" s="1" t="str">
        <f t="shared" si="288"/>
        <v>0000000092</v>
      </c>
      <c r="K1103" s="1" t="str">
        <f t="shared" si="289"/>
        <v>قير  PG64-16</v>
      </c>
      <c r="L1103" s="1">
        <v>100</v>
      </c>
      <c r="M1103" s="1" t="str">
        <f t="shared" si="291"/>
        <v>مخازن قير اصفهان</v>
      </c>
      <c r="N1103" s="1">
        <v>11295</v>
      </c>
      <c r="O1103" s="1">
        <v>50034102</v>
      </c>
      <c r="P1103" s="1" t="str">
        <f>"  اداره كل راهداري وحمل ونقل جاده اي لرستان"</f>
        <v xml:space="preserve">  اداره كل راهداري وحمل ونقل جاده اي لرستان</v>
      </c>
      <c r="Q1103" s="1">
        <v>19</v>
      </c>
      <c r="R110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03" s="1" t="str">
        <f t="shared" si="286"/>
        <v>قرارداد فروش</v>
      </c>
      <c r="T1103" s="1" t="str">
        <f t="shared" si="287"/>
        <v>ندارد</v>
      </c>
      <c r="U1103" s="1" t="str">
        <f>"ريسماني حسن(1007ج89)"</f>
        <v>ريسماني حسن(1007ج89)</v>
      </c>
      <c r="V1103" s="1">
        <v>951900296</v>
      </c>
      <c r="W1103" s="1">
        <v>951900296</v>
      </c>
      <c r="X1103" s="1" t="str">
        <f>"1395470074"</f>
        <v>1395470074</v>
      </c>
      <c r="Y1103" s="1" t="str">
        <f>"95/12/19"</f>
        <v>95/12/19</v>
      </c>
      <c r="Z1103" s="1" t="str">
        <f>"64777/710"</f>
        <v>64777/710</v>
      </c>
      <c r="AA1103" s="1" t="str">
        <f>"سازمان راهداري وحمل نقل جاده اي"</f>
        <v>سازمان راهداري وحمل نقل جاده اي</v>
      </c>
      <c r="AB1103" s="1" t="str">
        <f>"95/12/17"</f>
        <v>95/12/17</v>
      </c>
      <c r="AC1103" s="1" t="str">
        <f>"لرستان"</f>
        <v>لرستان</v>
      </c>
      <c r="AD1103" s="1" t="str">
        <f>"95/12/18"</f>
        <v>95/12/18</v>
      </c>
      <c r="AE1103" s="1" t="str">
        <f t="shared" si="290"/>
        <v>اختتام</v>
      </c>
      <c r="AF1103" s="1" t="str">
        <f>""</f>
        <v/>
      </c>
      <c r="AG1103" s="1" t="str">
        <f>""</f>
        <v/>
      </c>
      <c r="AH1103" s="1" t="str">
        <f>""</f>
        <v/>
      </c>
      <c r="AI1103" s="1" t="str">
        <f>""</f>
        <v/>
      </c>
      <c r="AJ1103" s="1" t="str">
        <f>""</f>
        <v/>
      </c>
      <c r="AK1103" s="1" t="str">
        <f>""</f>
        <v/>
      </c>
    </row>
    <row r="1104" spans="1:37" x14ac:dyDescent="0.2">
      <c r="A1104" s="1">
        <v>200000</v>
      </c>
      <c r="B1104" s="1">
        <v>951900297</v>
      </c>
      <c r="C1104" s="1" t="str">
        <f>"تخليه لرستان خرم آبادكيلومتر22جاده خرم آبادكوهدشت شركت بلوران سازه خرم"</f>
        <v>تخليه لرستان خرم آبادكيلومتر22جاده خرم آبادكوهدشت شركت بلوران سازه خرم</v>
      </c>
      <c r="D1104" s="1">
        <v>8998</v>
      </c>
      <c r="E1104" s="1">
        <v>199360</v>
      </c>
      <c r="F1104" s="1">
        <v>95</v>
      </c>
      <c r="G1104" s="1">
        <v>640</v>
      </c>
      <c r="H1104" s="1" t="str">
        <f>"95/12/19"</f>
        <v>95/12/19</v>
      </c>
      <c r="I1104" s="1" t="str">
        <f t="shared" si="285"/>
        <v>كيلوگرم</v>
      </c>
      <c r="J1104" s="1" t="str">
        <f t="shared" si="288"/>
        <v>0000000092</v>
      </c>
      <c r="K1104" s="1" t="str">
        <f t="shared" si="289"/>
        <v>قير  PG64-16</v>
      </c>
      <c r="L1104" s="1">
        <v>100</v>
      </c>
      <c r="M1104" s="1" t="str">
        <f t="shared" si="291"/>
        <v>مخازن قير اصفهان</v>
      </c>
      <c r="N1104" s="1">
        <v>11295</v>
      </c>
      <c r="O1104" s="1">
        <v>50034103</v>
      </c>
      <c r="P1104" s="1" t="str">
        <f>"  اداره كل راهداري وحمل ونقل جاده اي لرستان"</f>
        <v xml:space="preserve">  اداره كل راهداري وحمل ونقل جاده اي لرستان</v>
      </c>
      <c r="Q1104" s="1">
        <v>19</v>
      </c>
      <c r="R11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04" s="1" t="str">
        <f t="shared" si="286"/>
        <v>قرارداد فروش</v>
      </c>
      <c r="T1104" s="1" t="str">
        <f t="shared" si="287"/>
        <v>ندارد</v>
      </c>
      <c r="U1104" s="1" t="str">
        <f>"ريسماني حسن(1007ج89)"</f>
        <v>ريسماني حسن(1007ج89)</v>
      </c>
      <c r="V1104" s="1">
        <v>951900297</v>
      </c>
      <c r="W1104" s="1">
        <v>951900297</v>
      </c>
      <c r="X1104" s="1" t="str">
        <f>"1395470074"</f>
        <v>1395470074</v>
      </c>
      <c r="Y1104" s="1" t="str">
        <f>"95/12/19"</f>
        <v>95/12/19</v>
      </c>
      <c r="Z1104" s="1" t="str">
        <f>"64877/710"</f>
        <v>64877/710</v>
      </c>
      <c r="AA1104" s="1" t="str">
        <f>"سازمان راهداري وحمل نقل جاده اي"</f>
        <v>سازمان راهداري وحمل نقل جاده اي</v>
      </c>
      <c r="AB1104" s="1" t="str">
        <f>"95/12/17"</f>
        <v>95/12/17</v>
      </c>
      <c r="AC1104" s="1" t="str">
        <f>"لرستان"</f>
        <v>لرستان</v>
      </c>
      <c r="AD1104" s="1" t="str">
        <f>"95/12/18"</f>
        <v>95/12/18</v>
      </c>
      <c r="AE1104" s="1" t="str">
        <f t="shared" si="290"/>
        <v>اختتام</v>
      </c>
      <c r="AF1104" s="1" t="str">
        <f>""</f>
        <v/>
      </c>
      <c r="AG1104" s="1" t="str">
        <f>""</f>
        <v/>
      </c>
      <c r="AH1104" s="1" t="str">
        <f>""</f>
        <v/>
      </c>
      <c r="AI1104" s="1" t="str">
        <f>""</f>
        <v/>
      </c>
      <c r="AJ1104" s="1" t="str">
        <f>""</f>
        <v/>
      </c>
      <c r="AK1104" s="1" t="str">
        <f>""</f>
        <v/>
      </c>
    </row>
    <row r="1105" spans="1:37" x14ac:dyDescent="0.2">
      <c r="A1105" s="1">
        <v>200000</v>
      </c>
      <c r="B1105" s="1">
        <v>951900007</v>
      </c>
      <c r="C1105" s="1" t="str">
        <f>"تخليه-مبارکه-روبروي شهر طالخونچه-منطقه صنعتي امير کبير-کارخانه آسفالت نويدنورسپاهان"</f>
        <v>تخليه-مبارکه-روبروي شهر طالخونچه-منطقه صنعتي امير کبير-کارخانه آسفالت نويدنورسپاهان</v>
      </c>
      <c r="D1105" s="1">
        <v>5650</v>
      </c>
      <c r="E1105" s="1">
        <v>200000</v>
      </c>
      <c r="F1105" s="1">
        <v>95</v>
      </c>
      <c r="G1105" s="1">
        <v>0</v>
      </c>
      <c r="H1105" s="1" t="str">
        <f>"95/02/14"</f>
        <v>95/02/14</v>
      </c>
      <c r="I1105" s="1" t="str">
        <f t="shared" si="285"/>
        <v>كيلوگرم</v>
      </c>
      <c r="J1105" s="1" t="str">
        <f>"0000000091"</f>
        <v>0000000091</v>
      </c>
      <c r="K1105" s="1" t="str">
        <f>"قير  PG64-22"</f>
        <v>قير  PG64-22</v>
      </c>
      <c r="L1105" s="1">
        <v>100</v>
      </c>
      <c r="M1105" s="1" t="str">
        <f t="shared" si="291"/>
        <v>مخازن قير اصفهان</v>
      </c>
      <c r="N1105" s="1">
        <v>10497</v>
      </c>
      <c r="O1105" s="1">
        <v>50030716</v>
      </c>
      <c r="P1105" s="1" t="str">
        <f>"  نويدنورسپاهان"</f>
        <v xml:space="preserve">  نويدنورسپاهان</v>
      </c>
      <c r="Q1105" s="1">
        <v>19</v>
      </c>
      <c r="R11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05" s="1" t="str">
        <f t="shared" si="286"/>
        <v>قرارداد فروش</v>
      </c>
      <c r="T1105" s="1" t="str">
        <f t="shared" si="287"/>
        <v>ندارد</v>
      </c>
      <c r="U1105" s="1" t="str">
        <f>"شهبازي محمدرضا(1029ج89)"</f>
        <v>شهبازي محمدرضا(1029ج89)</v>
      </c>
      <c r="V1105" s="1">
        <v>951900007</v>
      </c>
      <c r="W1105" s="1">
        <v>951900007</v>
      </c>
      <c r="X1105" s="1" t="str">
        <f>"1395401946"</f>
        <v>1395401946</v>
      </c>
      <c r="Y1105" s="1" t="str">
        <f>"95/02/14"</f>
        <v>95/02/14</v>
      </c>
      <c r="Z1105" s="1" t="str">
        <f>"64671/510"</f>
        <v>64671/510</v>
      </c>
      <c r="AA1105" s="1" t="str">
        <f>"سازمان راهداري وحمل نقل جاده اي"</f>
        <v>سازمان راهداري وحمل نقل جاده اي</v>
      </c>
      <c r="AB1105" s="1" t="str">
        <f>"94/11/24"</f>
        <v>94/11/24</v>
      </c>
      <c r="AC1105" s="1" t="str">
        <f>"استان اصفهان"</f>
        <v>استان اصفهان</v>
      </c>
      <c r="AD1105" s="1" t="str">
        <f>"95/02/11"</f>
        <v>95/02/11</v>
      </c>
      <c r="AE1105" s="1" t="str">
        <f t="shared" si="290"/>
        <v>اختتام</v>
      </c>
      <c r="AF1105" s="1" t="str">
        <f>""</f>
        <v/>
      </c>
      <c r="AG1105" s="1" t="str">
        <f>""</f>
        <v/>
      </c>
      <c r="AH1105" s="1" t="str">
        <f>""</f>
        <v/>
      </c>
      <c r="AI1105" s="1" t="str">
        <f>""</f>
        <v/>
      </c>
      <c r="AJ1105" s="1" t="str">
        <f>""</f>
        <v/>
      </c>
      <c r="AK1105" s="1" t="str">
        <f>""</f>
        <v/>
      </c>
    </row>
    <row r="1106" spans="1:37" x14ac:dyDescent="0.2">
      <c r="A1106" s="1">
        <v>65000</v>
      </c>
      <c r="B1106" s="1">
        <v>951300031</v>
      </c>
      <c r="C1106" s="1" t="str">
        <f>"تخليه اصفهان پليس راه اصفهان تهران جاده علويجه كيلومتر12كارخانه آسفالت اصفهان مترو"</f>
        <v>تخليه اصفهان پليس راه اصفهان تهران جاده علويجه كيلومتر12كارخانه آسفالت اصفهان مترو</v>
      </c>
      <c r="D1106" s="1">
        <v>8998</v>
      </c>
      <c r="E1106" s="1">
        <v>63240</v>
      </c>
      <c r="F1106" s="1">
        <v>95</v>
      </c>
      <c r="G1106" s="1">
        <v>1760</v>
      </c>
      <c r="H1106" s="1" t="str">
        <f>"95/12/23"</f>
        <v>95/12/23</v>
      </c>
      <c r="I1106" s="1" t="str">
        <f t="shared" si="285"/>
        <v>كيلوگرم</v>
      </c>
      <c r="J1106" s="1" t="str">
        <f>"0000000092"</f>
        <v>0000000092</v>
      </c>
      <c r="K1106" s="1" t="str">
        <f>"قير  PG64-16"</f>
        <v>قير  PG64-16</v>
      </c>
      <c r="L1106" s="1">
        <v>100</v>
      </c>
      <c r="M1106" s="1" t="str">
        <f t="shared" si="291"/>
        <v>مخازن قير اصفهان</v>
      </c>
      <c r="N1106" s="1">
        <v>9814</v>
      </c>
      <c r="O1106" s="1">
        <v>50034177</v>
      </c>
      <c r="P1106" s="1" t="str">
        <f>"  بنيادمسكن انقلاب اسلامي اصفهان"</f>
        <v xml:space="preserve">  بنيادمسكن انقلاب اسلامي اصفهان</v>
      </c>
      <c r="Q1106" s="1">
        <v>13</v>
      </c>
      <c r="R1106" s="1" t="str">
        <f>"فروش داخلي - وزارت راه - حوزه بنياد مسكن"</f>
        <v>فروش داخلي - وزارت راه - حوزه بنياد مسكن</v>
      </c>
      <c r="S1106" s="1" t="str">
        <f t="shared" si="286"/>
        <v>قرارداد فروش</v>
      </c>
      <c r="T1106" s="1" t="str">
        <f t="shared" si="287"/>
        <v>ندارد</v>
      </c>
      <c r="U1106" s="1" t="str">
        <f>"عزيزي صفر(1006ج 89)"</f>
        <v>عزيزي صفر(1006ج 89)</v>
      </c>
      <c r="V1106" s="1">
        <v>951300031</v>
      </c>
      <c r="W1106" s="1">
        <v>951300031</v>
      </c>
      <c r="X1106" s="1" t="str">
        <f>"1395470893"</f>
        <v>1395470893</v>
      </c>
      <c r="Y1106" s="1" t="str">
        <f>"95/12/23"</f>
        <v>95/12/23</v>
      </c>
      <c r="Z1106" s="1" t="str">
        <f>"65487/710"</f>
        <v>65487/710</v>
      </c>
      <c r="AA1106" s="1" t="str">
        <f>"بنياد مسكن -مسكن مهر"</f>
        <v>بنياد مسكن -مسكن مهر</v>
      </c>
      <c r="AB1106" s="1" t="str">
        <f>"95/12/21"</f>
        <v>95/12/21</v>
      </c>
      <c r="AC1106" s="1" t="str">
        <f>"استان اصفهان"</f>
        <v>استان اصفهان</v>
      </c>
      <c r="AD1106" s="1" t="str">
        <f>"95/12/23"</f>
        <v>95/12/23</v>
      </c>
      <c r="AE1106" s="1" t="str">
        <f t="shared" si="290"/>
        <v>اختتام</v>
      </c>
      <c r="AF1106" s="1" t="str">
        <f>""</f>
        <v/>
      </c>
      <c r="AG1106" s="1" t="str">
        <f>""</f>
        <v/>
      </c>
      <c r="AH1106" s="1" t="str">
        <f>""</f>
        <v/>
      </c>
      <c r="AI1106" s="1" t="str">
        <f>""</f>
        <v/>
      </c>
      <c r="AJ1106" s="1" t="str">
        <f>""</f>
        <v/>
      </c>
      <c r="AK1106" s="1" t="str">
        <f>""</f>
        <v/>
      </c>
    </row>
    <row r="1107" spans="1:37" x14ac:dyDescent="0.2">
      <c r="A1107" s="1">
        <v>400000</v>
      </c>
      <c r="B1107" s="1">
        <v>951900071</v>
      </c>
      <c r="C1107" s="1" t="str">
        <f>"تخليه -ايلام -ايوان سه راهي زرنه -سومار"</f>
        <v>تخليه -ايلام -ايوان سه راهي زرنه -سومار</v>
      </c>
      <c r="D1107" s="1">
        <v>6726</v>
      </c>
      <c r="E1107" s="1">
        <v>400000</v>
      </c>
      <c r="F1107" s="1">
        <v>95</v>
      </c>
      <c r="G1107" s="1">
        <v>0</v>
      </c>
      <c r="H1107" s="1" t="str">
        <f>"95/05/05"</f>
        <v>95/05/05</v>
      </c>
      <c r="I1107" s="1" t="str">
        <f t="shared" si="285"/>
        <v>كيلوگرم</v>
      </c>
      <c r="J1107" s="1" t="str">
        <f>"0000000092"</f>
        <v>0000000092</v>
      </c>
      <c r="K1107" s="1" t="str">
        <f>"قير  PG64-16"</f>
        <v>قير  PG64-16</v>
      </c>
      <c r="L1107" s="1">
        <v>100</v>
      </c>
      <c r="M1107" s="1" t="str">
        <f t="shared" si="291"/>
        <v>مخازن قير اصفهان</v>
      </c>
      <c r="N1107" s="1">
        <v>9857</v>
      </c>
      <c r="O1107" s="1">
        <v>50031357</v>
      </c>
      <c r="P1107" s="1" t="str">
        <f>"  پيمان پويا ايوان"</f>
        <v xml:space="preserve">  پيمان پويا ايوان</v>
      </c>
      <c r="Q1107" s="1">
        <v>19</v>
      </c>
      <c r="R110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07" s="1" t="str">
        <f t="shared" si="286"/>
        <v>قرارداد فروش</v>
      </c>
      <c r="T1107" s="1" t="str">
        <f t="shared" si="287"/>
        <v>ندارد</v>
      </c>
      <c r="U1107" s="1" t="str">
        <f>"عظيمي محمد(2842015)"</f>
        <v>عظيمي محمد(2842015)</v>
      </c>
      <c r="V1107" s="1">
        <v>951900071</v>
      </c>
      <c r="W1107" s="1">
        <v>951900071</v>
      </c>
      <c r="X1107" s="1" t="str">
        <f>"1395418089"</f>
        <v>1395418089</v>
      </c>
      <c r="Y1107" s="1" t="str">
        <f>"95/05/05"</f>
        <v>95/05/05</v>
      </c>
      <c r="Z1107" s="1" t="str">
        <f>"18945/510"</f>
        <v>18945/510</v>
      </c>
      <c r="AA1107" s="1" t="str">
        <f>"سازمان راهداري وحمل نقل جاده اي"</f>
        <v>سازمان راهداري وحمل نقل جاده اي</v>
      </c>
      <c r="AB1107" s="1" t="str">
        <f>"95/04/30"</f>
        <v>95/04/30</v>
      </c>
      <c r="AC1107" s="1" t="str">
        <f>"استان ايلام"</f>
        <v>استان ايلام</v>
      </c>
      <c r="AD1107" s="1" t="str">
        <f>"95/05/05"</f>
        <v>95/05/05</v>
      </c>
      <c r="AE1107" s="1" t="str">
        <f t="shared" si="290"/>
        <v>اختتام</v>
      </c>
      <c r="AF1107" s="1" t="str">
        <f>""</f>
        <v/>
      </c>
      <c r="AG1107" s="1" t="str">
        <f>""</f>
        <v/>
      </c>
      <c r="AH1107" s="1" t="str">
        <f>""</f>
        <v/>
      </c>
      <c r="AI1107" s="1" t="str">
        <f>""</f>
        <v/>
      </c>
      <c r="AJ1107" s="1" t="str">
        <f>""</f>
        <v/>
      </c>
      <c r="AK1107" s="1" t="str">
        <f>""</f>
        <v/>
      </c>
    </row>
    <row r="1108" spans="1:37" x14ac:dyDescent="0.2">
      <c r="A1108" s="1">
        <v>500000</v>
      </c>
      <c r="B1108" s="1">
        <v>951900138</v>
      </c>
      <c r="C1108" s="1" t="str">
        <f>"تخليه -محورايرانشهر-بمپورکيلومتر14کارگاه کارخانه آسفالت سالم راه سپاهان"</f>
        <v>تخليه -محورايرانشهر-بمپورکيلومتر14کارگاه کارخانه آسفالت سالم راه سپاهان</v>
      </c>
      <c r="D1108" s="1">
        <v>7176</v>
      </c>
      <c r="E1108" s="1">
        <v>140300</v>
      </c>
      <c r="F1108" s="1">
        <v>95</v>
      </c>
      <c r="G1108" s="1">
        <v>359700</v>
      </c>
      <c r="H1108" s="1" t="str">
        <f>"95/06/08"</f>
        <v>95/06/08</v>
      </c>
      <c r="I1108" s="1" t="str">
        <f t="shared" si="285"/>
        <v>كيلوگرم</v>
      </c>
      <c r="J1108" s="1" t="str">
        <f>"0000000092"</f>
        <v>0000000092</v>
      </c>
      <c r="K1108" s="1" t="str">
        <f>"قير  PG64-16"</f>
        <v>قير  PG64-16</v>
      </c>
      <c r="L1108" s="1">
        <v>100</v>
      </c>
      <c r="M1108" s="1" t="str">
        <f t="shared" si="291"/>
        <v>مخازن قير اصفهان</v>
      </c>
      <c r="N1108" s="1">
        <v>10075</v>
      </c>
      <c r="O1108" s="1">
        <v>50031702</v>
      </c>
      <c r="P1108" s="1" t="str">
        <f>"  سالم راه سپاهان"</f>
        <v xml:space="preserve">  سالم راه سپاهان</v>
      </c>
      <c r="Q1108" s="1">
        <v>19</v>
      </c>
      <c r="R110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08" s="1" t="str">
        <f t="shared" si="286"/>
        <v>قرارداد فروش</v>
      </c>
      <c r="T1108" s="1" t="str">
        <f t="shared" si="287"/>
        <v>ندارد</v>
      </c>
      <c r="U1108" s="1" t="str">
        <f>"پورباقري ترابر (4914036)"</f>
        <v>پورباقري ترابر (4914036)</v>
      </c>
      <c r="V1108" s="1">
        <v>951900138</v>
      </c>
      <c r="W1108" s="1">
        <v>951900138</v>
      </c>
      <c r="X1108" s="1" t="str">
        <f>"1395427132"</f>
        <v>1395427132</v>
      </c>
      <c r="Y1108" s="1" t="str">
        <f>"95/06/08"</f>
        <v>95/06/08</v>
      </c>
      <c r="Z1108" s="1" t="str">
        <f>"24777/510"</f>
        <v>24777/510</v>
      </c>
      <c r="AA1108" s="1" t="str">
        <f>"سازمان راهداري وحمل نقل جاده اي"</f>
        <v>سازمان راهداري وحمل نقل جاده اي</v>
      </c>
      <c r="AB1108" s="1" t="str">
        <f>"95/05/31"</f>
        <v>95/05/31</v>
      </c>
      <c r="AC1108" s="1" t="str">
        <f>"ايرانشهر"</f>
        <v>ايرانشهر</v>
      </c>
      <c r="AD1108" s="1" t="str">
        <f>"95/06/07"</f>
        <v>95/06/07</v>
      </c>
      <c r="AE1108" s="1" t="str">
        <f t="shared" si="290"/>
        <v>اختتام</v>
      </c>
      <c r="AF1108" s="1" t="str">
        <f>""</f>
        <v/>
      </c>
      <c r="AG1108" s="1" t="str">
        <f>""</f>
        <v/>
      </c>
      <c r="AH1108" s="1" t="str">
        <f>""</f>
        <v/>
      </c>
      <c r="AI1108" s="1" t="str">
        <f>""</f>
        <v/>
      </c>
      <c r="AJ1108" s="1" t="str">
        <f>""</f>
        <v/>
      </c>
      <c r="AK1108" s="1" t="str">
        <f>""</f>
        <v/>
      </c>
    </row>
    <row r="1109" spans="1:37" x14ac:dyDescent="0.2">
      <c r="A1109" s="1">
        <v>500000</v>
      </c>
      <c r="B1109" s="1">
        <v>951600050</v>
      </c>
      <c r="C1109" s="1" t="str">
        <f>"تخليه خراسان جنوبي پروژه آفريز-به سمت دوست آبادكارخانه آسفالت كوه پيما"</f>
        <v>تخليه خراسان جنوبي پروژه آفريز-به سمت دوست آبادكارخانه آسفالت كوه پيما</v>
      </c>
      <c r="D1109" s="1">
        <v>8323</v>
      </c>
      <c r="E1109" s="1">
        <v>498860</v>
      </c>
      <c r="F1109" s="1">
        <v>95</v>
      </c>
      <c r="G1109" s="1">
        <v>1140</v>
      </c>
      <c r="H1109" s="1" t="str">
        <f>"95/08/15"</f>
        <v>95/08/15</v>
      </c>
      <c r="I1109" s="1" t="str">
        <f t="shared" si="285"/>
        <v>كيلوگرم</v>
      </c>
      <c r="J1109" s="1" t="str">
        <f>"0000000092"</f>
        <v>0000000092</v>
      </c>
      <c r="K1109" s="1" t="str">
        <f>"قير  PG64-16"</f>
        <v>قير  PG64-16</v>
      </c>
      <c r="L1109" s="1">
        <v>100</v>
      </c>
      <c r="M1109" s="1" t="str">
        <f t="shared" si="291"/>
        <v>مخازن قير اصفهان</v>
      </c>
      <c r="N1109" s="1">
        <v>10308</v>
      </c>
      <c r="O1109" s="1">
        <v>50032489</v>
      </c>
      <c r="P1109" s="1" t="str">
        <f>"  کوه پيما بيرجند"</f>
        <v xml:space="preserve">  کوه پيما بيرجند</v>
      </c>
      <c r="Q1109" s="1">
        <v>16</v>
      </c>
      <c r="R1109" s="1" t="str">
        <f>"فروش داخلي تهران - وزارت راه - معاونت اقتصاد"</f>
        <v>فروش داخلي تهران - وزارت راه - معاونت اقتصاد</v>
      </c>
      <c r="S1109" s="1" t="str">
        <f t="shared" si="286"/>
        <v>قرارداد فروش</v>
      </c>
      <c r="T1109" s="1" t="str">
        <f t="shared" si="287"/>
        <v>ندارد</v>
      </c>
      <c r="U1109" s="1" t="str">
        <f>"بابامحمدي عنايت اله(4844000)"</f>
        <v>بابامحمدي عنايت اله(4844000)</v>
      </c>
      <c r="V1109" s="1">
        <v>951600050</v>
      </c>
      <c r="W1109" s="1">
        <v>951600050</v>
      </c>
      <c r="X1109" s="1" t="str">
        <f>"1395443197"</f>
        <v>1395443197</v>
      </c>
      <c r="Y1109" s="1" t="str">
        <f>"95/08/15"</f>
        <v>95/08/15</v>
      </c>
      <c r="Z1109" s="1" t="str">
        <f>"38717/710"</f>
        <v>38717/710</v>
      </c>
      <c r="AA1109" s="1" t="str">
        <f>"معاونت اقتصادوزارت راه وشهرسازي"</f>
        <v>معاونت اقتصادوزارت راه وشهرسازي</v>
      </c>
      <c r="AB1109" s="1" t="str">
        <f>"95/08/11"</f>
        <v>95/08/11</v>
      </c>
      <c r="AC1109" s="1" t="str">
        <f>"خراسان جنوبي"</f>
        <v>خراسان جنوبي</v>
      </c>
      <c r="AD1109" s="1" t="str">
        <f>"95/08/15"</f>
        <v>95/08/15</v>
      </c>
      <c r="AE1109" s="1" t="str">
        <f t="shared" si="290"/>
        <v>اختتام</v>
      </c>
      <c r="AF1109" s="1" t="str">
        <f>""</f>
        <v/>
      </c>
      <c r="AG1109" s="1" t="str">
        <f>""</f>
        <v/>
      </c>
      <c r="AH1109" s="1" t="str">
        <f>""</f>
        <v/>
      </c>
      <c r="AI1109" s="1" t="str">
        <f>""</f>
        <v/>
      </c>
      <c r="AJ1109" s="1" t="str">
        <f>""</f>
        <v/>
      </c>
      <c r="AK1109" s="1" t="str">
        <f>""</f>
        <v/>
      </c>
    </row>
    <row r="1110" spans="1:37" x14ac:dyDescent="0.2">
      <c r="A1110" s="1">
        <v>66760</v>
      </c>
      <c r="B1110" s="1">
        <v>951700242</v>
      </c>
      <c r="C1110" s="1" t="str">
        <f>"تخليه-آزاد شهر-جاده مينو دشت-آق امام کارخانه زرين سنگ اطلس"</f>
        <v>تخليه-آزاد شهر-جاده مينو دشت-آق امام کارخانه زرين سنگ اطلس</v>
      </c>
      <c r="D1110" s="1">
        <v>8323</v>
      </c>
      <c r="E1110" s="1">
        <v>65440</v>
      </c>
      <c r="F1110" s="1">
        <v>95</v>
      </c>
      <c r="G1110" s="1">
        <v>1320</v>
      </c>
      <c r="H1110" s="1" t="str">
        <f>"95/08/05"</f>
        <v>95/08/05</v>
      </c>
      <c r="I1110" s="1" t="str">
        <f t="shared" si="285"/>
        <v>كيلوگرم</v>
      </c>
      <c r="J1110" s="1" t="str">
        <f>"0000000093"</f>
        <v>0000000093</v>
      </c>
      <c r="K1110" s="1" t="str">
        <f>"قير  PG64-10"</f>
        <v>قير  PG64-10</v>
      </c>
      <c r="L1110" s="1">
        <v>100</v>
      </c>
      <c r="M1110" s="1" t="str">
        <f t="shared" si="291"/>
        <v>مخازن قير اصفهان</v>
      </c>
      <c r="N1110" s="1">
        <v>4101</v>
      </c>
      <c r="O1110" s="1">
        <v>50032258</v>
      </c>
      <c r="P1110" s="1" t="str">
        <f>"  اداره كل راه و شهرسازي گلستان"</f>
        <v xml:space="preserve">  اداره كل راه و شهرسازي گلستان</v>
      </c>
      <c r="Q1110" s="1">
        <v>17</v>
      </c>
      <c r="R1110" s="1" t="str">
        <f>"فروش داخلي تهران - وزارت راه - راه روستايي - روکش"</f>
        <v>فروش داخلي تهران - وزارت راه - راه روستايي - روکش</v>
      </c>
      <c r="S1110" s="1" t="str">
        <f t="shared" si="286"/>
        <v>قرارداد فروش</v>
      </c>
      <c r="T1110" s="1" t="str">
        <f t="shared" si="287"/>
        <v>ندارد</v>
      </c>
      <c r="U1110" s="1" t="str">
        <f>"شيشه بر كريم(1841016)"</f>
        <v>شيشه بر كريم(1841016)</v>
      </c>
      <c r="V1110" s="1">
        <v>951700242</v>
      </c>
      <c r="W1110" s="1">
        <v>951700242</v>
      </c>
      <c r="X1110" s="1" t="str">
        <f>"1395411207"</f>
        <v>1395411207</v>
      </c>
      <c r="Y1110" s="1" t="str">
        <f>"95/08/05"</f>
        <v>95/08/05</v>
      </c>
      <c r="Z1110" s="1" t="str">
        <f>"13251/510"</f>
        <v>13251/510</v>
      </c>
      <c r="AA1110" s="1" t="str">
        <f>"راه روستائي -روكش"</f>
        <v>راه روستائي -روكش</v>
      </c>
      <c r="AB1110" s="1" t="str">
        <f>"95/03/30"</f>
        <v>95/03/30</v>
      </c>
      <c r="AC1110" s="1" t="str">
        <f>"استان گلستان"</f>
        <v>استان گلستان</v>
      </c>
      <c r="AD1110" s="1" t="str">
        <f>"95/04/05"</f>
        <v>95/04/05</v>
      </c>
      <c r="AE1110" s="1" t="str">
        <f t="shared" si="290"/>
        <v>اختتام</v>
      </c>
      <c r="AF1110" s="1" t="str">
        <f>""</f>
        <v/>
      </c>
      <c r="AG1110" s="1" t="str">
        <f>""</f>
        <v/>
      </c>
      <c r="AH1110" s="1" t="str">
        <f>""</f>
        <v/>
      </c>
      <c r="AI1110" s="1" t="str">
        <f>""</f>
        <v/>
      </c>
      <c r="AJ1110" s="1" t="str">
        <f>""</f>
        <v/>
      </c>
      <c r="AK1110" s="1" t="str">
        <f>""</f>
        <v/>
      </c>
    </row>
    <row r="1111" spans="1:37" x14ac:dyDescent="0.2">
      <c r="A1111" s="1">
        <v>30640</v>
      </c>
      <c r="B1111" s="1">
        <v>951900234</v>
      </c>
      <c r="C1111" s="1" t="str">
        <f>"تخليه كهگليويه وبويراحمدياسوج كارخانه آسفالت ساحلي ياسوج"</f>
        <v>تخليه كهگليويه وبويراحمدياسوج كارخانه آسفالت ساحلي ياسوج</v>
      </c>
      <c r="D1111" s="1">
        <v>9061</v>
      </c>
      <c r="E1111" s="1">
        <v>29520</v>
      </c>
      <c r="F1111" s="1">
        <v>95</v>
      </c>
      <c r="G1111" s="1">
        <v>1120</v>
      </c>
      <c r="H1111" s="1" t="str">
        <f>"95/10/05"</f>
        <v>95/10/05</v>
      </c>
      <c r="I1111" s="1" t="str">
        <f t="shared" si="285"/>
        <v>كيلوگرم</v>
      </c>
      <c r="J1111" s="1" t="str">
        <f>"0000000093"</f>
        <v>0000000093</v>
      </c>
      <c r="K1111" s="1" t="str">
        <f>"قير  PG64-10"</f>
        <v>قير  PG64-10</v>
      </c>
      <c r="L1111" s="1">
        <v>100</v>
      </c>
      <c r="M1111" s="1" t="str">
        <f t="shared" si="291"/>
        <v>مخازن قير اصفهان</v>
      </c>
      <c r="N1111" s="1">
        <v>4196</v>
      </c>
      <c r="O1111" s="1">
        <v>50033158</v>
      </c>
      <c r="P1111" s="1" t="str">
        <f>"  سربيشه ياسوج"</f>
        <v xml:space="preserve">  سربيشه ياسوج</v>
      </c>
      <c r="Q1111" s="1">
        <v>19</v>
      </c>
      <c r="R11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11" s="1" t="str">
        <f t="shared" si="286"/>
        <v>قرارداد فروش</v>
      </c>
      <c r="T1111" s="1" t="str">
        <f t="shared" si="287"/>
        <v>ندارد</v>
      </c>
      <c r="U1111" s="1" t="str">
        <f>"غلام نجفي سيامك‌‌‌‌‌‌(1881082)"</f>
        <v>غلام نجفي سيامك‌‌‌‌‌‌(1881082)</v>
      </c>
      <c r="V1111" s="1">
        <v>951900234</v>
      </c>
      <c r="W1111" s="1">
        <v>951900234</v>
      </c>
      <c r="X1111" s="1" t="str">
        <f>"1395451107"</f>
        <v>1395451107</v>
      </c>
      <c r="Y1111" s="1" t="str">
        <f>"95/10/05"</f>
        <v>95/10/05</v>
      </c>
      <c r="Z1111" s="1" t="str">
        <f>"43208/710"</f>
        <v>43208/710</v>
      </c>
      <c r="AA1111" s="1" t="str">
        <f>"سازمان راهداري وحمل نقل جاده اي"</f>
        <v>سازمان راهداري وحمل نقل جاده اي</v>
      </c>
      <c r="AB1111" s="1" t="str">
        <f>"95/09/06"</f>
        <v>95/09/06</v>
      </c>
      <c r="AC1111" s="1" t="str">
        <f>"كهكيلويه و بوير احمد"</f>
        <v>كهكيلويه و بوير احمد</v>
      </c>
      <c r="AD1111" s="1" t="str">
        <f>"95/09/20"</f>
        <v>95/09/20</v>
      </c>
      <c r="AE1111" s="1" t="str">
        <f t="shared" si="290"/>
        <v>اختتام</v>
      </c>
      <c r="AF1111" s="1" t="str">
        <f>""</f>
        <v/>
      </c>
      <c r="AG1111" s="1" t="str">
        <f>""</f>
        <v/>
      </c>
      <c r="AH1111" s="1" t="str">
        <f>""</f>
        <v/>
      </c>
      <c r="AI1111" s="1" t="str">
        <f>""</f>
        <v/>
      </c>
      <c r="AJ1111" s="1" t="str">
        <f>""</f>
        <v/>
      </c>
      <c r="AK1111" s="1" t="str">
        <f>""</f>
        <v/>
      </c>
    </row>
    <row r="1112" spans="1:37" x14ac:dyDescent="0.2">
      <c r="A1112" s="1">
        <v>300000</v>
      </c>
      <c r="B1112" s="1">
        <v>951800112</v>
      </c>
      <c r="C1112" s="1" t="str">
        <f>"تخليه گيلان لوشان شهرك صنعتي لوشان آسمان سراي 5شركت عمران دژالماس"</f>
        <v>تخليه گيلان لوشان شهرك صنعتي لوشان آسمان سراي 5شركت عمران دژالماس</v>
      </c>
      <c r="D1112" s="1">
        <v>9061</v>
      </c>
      <c r="E1112" s="1">
        <v>101500</v>
      </c>
      <c r="F1112" s="1">
        <v>95</v>
      </c>
      <c r="G1112" s="1">
        <v>198500</v>
      </c>
      <c r="H1112" s="1" t="str">
        <f>"95/10/05"</f>
        <v>95/10/05</v>
      </c>
      <c r="I1112" s="1" t="str">
        <f t="shared" si="285"/>
        <v>كيلوگرم</v>
      </c>
      <c r="J1112" s="1" t="str">
        <f>"0000000093"</f>
        <v>0000000093</v>
      </c>
      <c r="K1112" s="1" t="str">
        <f>"قير  PG64-10"</f>
        <v>قير  PG64-10</v>
      </c>
      <c r="L1112" s="1">
        <v>100</v>
      </c>
      <c r="M1112" s="1" t="str">
        <f t="shared" si="291"/>
        <v>مخازن قير اصفهان</v>
      </c>
      <c r="N1112" s="1">
        <v>8029</v>
      </c>
      <c r="O1112" s="1">
        <v>50033150</v>
      </c>
      <c r="P1112" s="1" t="str">
        <f>"  خلخال دشت"</f>
        <v xml:space="preserve">  خلخال دشت</v>
      </c>
      <c r="Q1112" s="1">
        <v>18</v>
      </c>
      <c r="R1112" s="1" t="str">
        <f>"فروش داخلي تهران - وزارت راه - شرکت ساخت و توسعه راهها"</f>
        <v>فروش داخلي تهران - وزارت راه - شرکت ساخت و توسعه راهها</v>
      </c>
      <c r="S1112" s="1" t="str">
        <f t="shared" si="286"/>
        <v>قرارداد فروش</v>
      </c>
      <c r="T1112" s="1" t="str">
        <f t="shared" si="287"/>
        <v>ندارد</v>
      </c>
      <c r="U1112" s="1" t="str">
        <f>"خليل الهي حسن(1841005)"</f>
        <v>خليل الهي حسن(1841005)</v>
      </c>
      <c r="V1112" s="1">
        <v>951800112</v>
      </c>
      <c r="W1112" s="1">
        <v>951800112</v>
      </c>
      <c r="X1112" s="1" t="str">
        <f>"1395449861"</f>
        <v>1395449861</v>
      </c>
      <c r="Y1112" s="1" t="str">
        <f>"95/10/05"</f>
        <v>95/10/05</v>
      </c>
      <c r="Z1112" s="1" t="str">
        <f>"43646/710"</f>
        <v>43646/710</v>
      </c>
      <c r="AA1112" s="1" t="str">
        <f>"شركت  ساخت وتوسعه راهها"</f>
        <v>شركت  ساخت وتوسعه راهها</v>
      </c>
      <c r="AB1112" s="1" t="str">
        <f>"95/09/07"</f>
        <v>95/09/07</v>
      </c>
      <c r="AC1112" s="1" t="str">
        <f>"استان گيلان"</f>
        <v>استان گيلان</v>
      </c>
      <c r="AD1112" s="1" t="str">
        <f>"95/09/16"</f>
        <v>95/09/16</v>
      </c>
      <c r="AE1112" s="1" t="str">
        <f t="shared" si="290"/>
        <v>اختتام</v>
      </c>
      <c r="AF1112" s="1" t="str">
        <f>""</f>
        <v/>
      </c>
      <c r="AG1112" s="1" t="str">
        <f>""</f>
        <v/>
      </c>
      <c r="AH1112" s="1" t="str">
        <f>""</f>
        <v/>
      </c>
      <c r="AI1112" s="1" t="str">
        <f>""</f>
        <v/>
      </c>
      <c r="AJ1112" s="1" t="str">
        <f>""</f>
        <v/>
      </c>
      <c r="AK1112" s="1" t="str">
        <f>""</f>
        <v/>
      </c>
    </row>
    <row r="1113" spans="1:37" x14ac:dyDescent="0.2">
      <c r="A1113" s="1">
        <v>100000</v>
      </c>
      <c r="B1113" s="1">
        <v>951100056</v>
      </c>
      <c r="C1113" s="1" t="str">
        <f>"تخليه - کاشان کيلومتر 17قمصر شركت بتن آسفالت مهر"</f>
        <v>تخليه - کاشان کيلومتر 17قمصر شركت بتن آسفالت مهر</v>
      </c>
      <c r="D1113" s="1">
        <v>5750</v>
      </c>
      <c r="E1113" s="1">
        <v>100000</v>
      </c>
      <c r="F1113" s="1">
        <v>95</v>
      </c>
      <c r="G1113" s="1">
        <v>0</v>
      </c>
      <c r="H1113" s="1" t="str">
        <f>"95/03/11"</f>
        <v>95/03/11</v>
      </c>
      <c r="I1113" s="1" t="str">
        <f t="shared" si="285"/>
        <v>كيلوگرم</v>
      </c>
      <c r="J1113" s="1" t="str">
        <f>"0000000076"</f>
        <v>0000000076</v>
      </c>
      <c r="K1113" s="1" t="str">
        <f>"قير 60/70 - فله"</f>
        <v>قير 60/70 - فله</v>
      </c>
      <c r="L1113" s="1">
        <v>100</v>
      </c>
      <c r="M1113" s="1" t="str">
        <f t="shared" si="291"/>
        <v>مخازن قير اصفهان</v>
      </c>
      <c r="N1113" s="1">
        <v>9268</v>
      </c>
      <c r="O1113" s="1">
        <v>50030919</v>
      </c>
      <c r="P1113" s="1" t="str">
        <f>"  بتن آسفالت مهر"</f>
        <v xml:space="preserve">  بتن آسفالت مهر</v>
      </c>
      <c r="Q1113" s="1">
        <v>11</v>
      </c>
      <c r="R1113" s="1" t="str">
        <f>"فروش داخلي تهران - بورس"</f>
        <v>فروش داخلي تهران - بورس</v>
      </c>
      <c r="S1113" s="1" t="str">
        <f t="shared" si="286"/>
        <v>قرارداد فروش</v>
      </c>
      <c r="T1113" s="1" t="str">
        <f t="shared" si="287"/>
        <v>ندارد</v>
      </c>
      <c r="U1113" s="1" t="str">
        <f>"شهبازي محمدرضا(1029ج89)"</f>
        <v>شهبازي محمدرضا(1029ج89)</v>
      </c>
      <c r="V1113" s="1">
        <v>951100056</v>
      </c>
      <c r="W1113" s="1">
        <v>951100056</v>
      </c>
      <c r="X1113" s="1" t="str">
        <f>"1395406244"</f>
        <v>1395406244</v>
      </c>
      <c r="Y1113" s="1" t="str">
        <f>"95/03/10"</f>
        <v>95/03/10</v>
      </c>
      <c r="Z1113" s="1" t="str">
        <f>"95-34444"</f>
        <v>95-34444</v>
      </c>
      <c r="AA1113" s="1" t="str">
        <f>"راه سازي"</f>
        <v>راه سازي</v>
      </c>
      <c r="AB1113" s="1" t="str">
        <f>"95/03/10"</f>
        <v>95/03/10</v>
      </c>
      <c r="AC1113" s="1" t="str">
        <f>"استان اصفهان"</f>
        <v>استان اصفهان</v>
      </c>
      <c r="AD1113" s="1" t="str">
        <f>"95/03/08"</f>
        <v>95/03/08</v>
      </c>
      <c r="AE1113" s="1" t="str">
        <f>"تاييدشده"</f>
        <v>تاييدشده</v>
      </c>
      <c r="AF1113" s="1" t="str">
        <f>""</f>
        <v/>
      </c>
      <c r="AG1113" s="1" t="str">
        <f>""</f>
        <v/>
      </c>
      <c r="AH1113" s="1" t="str">
        <f>""</f>
        <v/>
      </c>
      <c r="AI1113" s="1" t="str">
        <f>""</f>
        <v/>
      </c>
      <c r="AJ1113" s="1" t="str">
        <f>""</f>
        <v/>
      </c>
      <c r="AK1113" s="1" t="str">
        <f>""</f>
        <v/>
      </c>
    </row>
    <row r="1114" spans="1:37" x14ac:dyDescent="0.2">
      <c r="A1114" s="1">
        <v>700000</v>
      </c>
      <c r="B1114" s="1">
        <v>951900039</v>
      </c>
      <c r="C1114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14" s="1">
        <v>6250</v>
      </c>
      <c r="E1114" s="1">
        <v>699500</v>
      </c>
      <c r="F1114" s="1">
        <v>95</v>
      </c>
      <c r="G1114" s="1">
        <v>500</v>
      </c>
      <c r="H1114" s="1" t="str">
        <f>"95/04/21"</f>
        <v>95/04/21</v>
      </c>
      <c r="I1114" s="1" t="str">
        <f t="shared" si="285"/>
        <v>كيلوگرم</v>
      </c>
      <c r="J1114" s="1" t="str">
        <f>"0000000092"</f>
        <v>0000000092</v>
      </c>
      <c r="K1114" s="1" t="str">
        <f>"قير  PG64-16"</f>
        <v>قير  PG64-16</v>
      </c>
      <c r="L1114" s="1">
        <v>100</v>
      </c>
      <c r="M1114" s="1" t="str">
        <f t="shared" si="291"/>
        <v>مخازن قير اصفهان</v>
      </c>
      <c r="N1114" s="1">
        <v>10547</v>
      </c>
      <c r="O1114" s="1">
        <v>50031255</v>
      </c>
      <c r="P1114" s="1" t="str">
        <f>"  پي و پل جنوب"</f>
        <v xml:space="preserve">  پي و پل جنوب</v>
      </c>
      <c r="Q1114" s="1">
        <v>19</v>
      </c>
      <c r="R11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14" s="1" t="str">
        <f t="shared" si="286"/>
        <v>قرارداد فروش</v>
      </c>
      <c r="T1114" s="1" t="str">
        <f t="shared" si="287"/>
        <v>ندارد</v>
      </c>
      <c r="U1114" s="1" t="str">
        <f>"حاصليان ترابرجنوب مرتضي حاصلي (4844006)"</f>
        <v>حاصليان ترابرجنوب مرتضي حاصلي (4844006)</v>
      </c>
      <c r="V1114" s="1">
        <v>951900039</v>
      </c>
      <c r="W1114" s="1">
        <v>951900039</v>
      </c>
      <c r="X1114" s="1" t="str">
        <f>"1395414284"</f>
        <v>1395414284</v>
      </c>
      <c r="Y1114" s="1" t="str">
        <f>"95/04/20"</f>
        <v>95/04/20</v>
      </c>
      <c r="Z1114" s="1" t="str">
        <f>"16245/510"</f>
        <v>16245/510</v>
      </c>
      <c r="AA1114" s="1" t="str">
        <f>"سازمان راهداري وحمل نقل جاده اي"</f>
        <v>سازمان راهداري وحمل نقل جاده اي</v>
      </c>
      <c r="AB1114" s="1" t="str">
        <f>"95/04/15"</f>
        <v>95/04/15</v>
      </c>
      <c r="AC1114" s="1" t="str">
        <f>"استان هرمزگان"</f>
        <v>استان هرمزگان</v>
      </c>
      <c r="AD1114" s="1" t="str">
        <f>"95/04/20"</f>
        <v>95/04/20</v>
      </c>
      <c r="AE1114" s="1" t="str">
        <f t="shared" ref="AE1114:AE1145" si="292">"اختتام"</f>
        <v>اختتام</v>
      </c>
      <c r="AF1114" s="1" t="str">
        <f>""</f>
        <v/>
      </c>
      <c r="AG1114" s="1" t="str">
        <f>""</f>
        <v/>
      </c>
      <c r="AH1114" s="1" t="str">
        <f>""</f>
        <v/>
      </c>
      <c r="AI1114" s="1" t="str">
        <f>""</f>
        <v/>
      </c>
      <c r="AJ1114" s="1" t="str">
        <f>""</f>
        <v/>
      </c>
      <c r="AK1114" s="1" t="str">
        <f>""</f>
        <v/>
      </c>
    </row>
    <row r="1115" spans="1:37" x14ac:dyDescent="0.2">
      <c r="A1115" s="1">
        <v>1000000</v>
      </c>
      <c r="B1115" s="1">
        <v>951600068</v>
      </c>
      <c r="C1115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15" s="1">
        <v>9061</v>
      </c>
      <c r="E1115" s="1">
        <v>998640</v>
      </c>
      <c r="F1115" s="1">
        <v>95</v>
      </c>
      <c r="G1115" s="1">
        <v>1360</v>
      </c>
      <c r="H1115" s="1" t="str">
        <f>"95/10/08"</f>
        <v>95/10/08</v>
      </c>
      <c r="I1115" s="1" t="str">
        <f t="shared" si="285"/>
        <v>كيلوگرم</v>
      </c>
      <c r="J1115" s="1" t="str">
        <f>"0000000092"</f>
        <v>0000000092</v>
      </c>
      <c r="K1115" s="1" t="str">
        <f>"قير  PG64-16"</f>
        <v>قير  PG64-16</v>
      </c>
      <c r="L1115" s="1">
        <v>100</v>
      </c>
      <c r="M1115" s="1" t="str">
        <f t="shared" si="291"/>
        <v>مخازن قير اصفهان</v>
      </c>
      <c r="N1115" s="1">
        <v>10547</v>
      </c>
      <c r="O1115" s="1">
        <v>50033217</v>
      </c>
      <c r="P1115" s="1" t="str">
        <f>"  پي و پل جنوب"</f>
        <v xml:space="preserve">  پي و پل جنوب</v>
      </c>
      <c r="Q1115" s="1">
        <v>16</v>
      </c>
      <c r="R1115" s="1" t="str">
        <f>"فروش داخلي تهران - وزارت راه - معاونت اقتصاد"</f>
        <v>فروش داخلي تهران - وزارت راه - معاونت اقتصاد</v>
      </c>
      <c r="S1115" s="1" t="str">
        <f t="shared" si="286"/>
        <v>قرارداد فروش</v>
      </c>
      <c r="T1115" s="1" t="str">
        <f t="shared" si="287"/>
        <v>ندارد</v>
      </c>
      <c r="U1115" s="1" t="str">
        <f>"قره باغي مجيد(1871065)"</f>
        <v>قره باغي مجيد(1871065)</v>
      </c>
      <c r="V1115" s="1">
        <v>951600068</v>
      </c>
      <c r="W1115" s="1">
        <v>951600068</v>
      </c>
      <c r="X1115" s="1" t="str">
        <f>"1395455864"</f>
        <v>1395455864</v>
      </c>
      <c r="Y1115" s="1" t="str">
        <f>"95/10/08"</f>
        <v>95/10/08</v>
      </c>
      <c r="Z1115" s="1" t="str">
        <f>"48194/710"</f>
        <v>48194/710</v>
      </c>
      <c r="AA1115" s="1" t="str">
        <f>"معاونت اقتصادوزارت راه وشهرسازي"</f>
        <v>معاونت اقتصادوزارت راه وشهرسازي</v>
      </c>
      <c r="AB1115" s="1" t="str">
        <f>"95/10/04"</f>
        <v>95/10/04</v>
      </c>
      <c r="AC1115" s="1" t="str">
        <f>"استان هرمزگان"</f>
        <v>استان هرمزگان</v>
      </c>
      <c r="AD1115" s="1" t="str">
        <f>"95/10/08"</f>
        <v>95/10/08</v>
      </c>
      <c r="AE1115" s="1" t="str">
        <f t="shared" si="292"/>
        <v>اختتام</v>
      </c>
      <c r="AF1115" s="1" t="str">
        <f>""</f>
        <v/>
      </c>
      <c r="AG1115" s="1" t="str">
        <f>""</f>
        <v/>
      </c>
      <c r="AH1115" s="1" t="str">
        <f>""</f>
        <v/>
      </c>
      <c r="AI1115" s="1" t="str">
        <f>""</f>
        <v/>
      </c>
      <c r="AJ1115" s="1" t="str">
        <f>""</f>
        <v/>
      </c>
      <c r="AK1115" s="1" t="str">
        <f>""</f>
        <v/>
      </c>
    </row>
    <row r="1116" spans="1:37" x14ac:dyDescent="0.2">
      <c r="A1116" s="1">
        <v>800000</v>
      </c>
      <c r="B1116" s="1">
        <v>951600085</v>
      </c>
      <c r="C1116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116" s="1">
        <v>9511</v>
      </c>
      <c r="E1116" s="1">
        <v>800000</v>
      </c>
      <c r="F1116" s="1">
        <v>95</v>
      </c>
      <c r="G1116" s="1">
        <v>0</v>
      </c>
      <c r="H1116" s="1" t="str">
        <f>"95/11/04"</f>
        <v>95/11/04</v>
      </c>
      <c r="I1116" s="1" t="str">
        <f t="shared" si="285"/>
        <v>كيلوگرم</v>
      </c>
      <c r="J1116" s="1" t="str">
        <f>"0000000092"</f>
        <v>0000000092</v>
      </c>
      <c r="K1116" s="1" t="str">
        <f>"قير  PG64-16"</f>
        <v>قير  PG64-16</v>
      </c>
      <c r="L1116" s="1">
        <v>100</v>
      </c>
      <c r="M1116" s="1" t="str">
        <f t="shared" si="291"/>
        <v>مخازن قير اصفهان</v>
      </c>
      <c r="N1116" s="1">
        <v>10547</v>
      </c>
      <c r="O1116" s="1">
        <v>50033492</v>
      </c>
      <c r="P1116" s="1" t="str">
        <f>"  پي و پل جنوب"</f>
        <v xml:space="preserve">  پي و پل جنوب</v>
      </c>
      <c r="Q1116" s="1">
        <v>16</v>
      </c>
      <c r="R1116" s="1" t="str">
        <f>"فروش داخلي تهران - وزارت راه - معاونت اقتصاد"</f>
        <v>فروش داخلي تهران - وزارت راه - معاونت اقتصاد</v>
      </c>
      <c r="S1116" s="1" t="str">
        <f t="shared" si="286"/>
        <v>قرارداد فروش</v>
      </c>
      <c r="T1116" s="1" t="str">
        <f t="shared" si="287"/>
        <v>ندارد</v>
      </c>
      <c r="U1116" s="1" t="str">
        <f>"قره باغي مجيد(1871065)"</f>
        <v>قره باغي مجيد(1871065)</v>
      </c>
      <c r="V1116" s="1">
        <v>951600085</v>
      </c>
      <c r="W1116" s="1">
        <v>951600085</v>
      </c>
      <c r="X1116" s="1" t="str">
        <f>"1395460244"</f>
        <v>1395460244</v>
      </c>
      <c r="Y1116" s="1" t="str">
        <f>"95/11/04"</f>
        <v>95/11/04</v>
      </c>
      <c r="Z1116" s="1" t="str">
        <f>"52359/710"</f>
        <v>52359/710</v>
      </c>
      <c r="AA1116" s="1" t="str">
        <f>"معاونت اقتصادوزارت راه وشهرسازي"</f>
        <v>معاونت اقتصادوزارت راه وشهرسازي</v>
      </c>
      <c r="AB1116" s="1" t="str">
        <f>"95/10/22"</f>
        <v>95/10/22</v>
      </c>
      <c r="AC1116" s="1" t="str">
        <f>"جنوب کرمان"</f>
        <v>جنوب کرمان</v>
      </c>
      <c r="AD1116" s="1" t="str">
        <f>"95/11/04"</f>
        <v>95/11/04</v>
      </c>
      <c r="AE1116" s="1" t="str">
        <f t="shared" si="292"/>
        <v>اختتام</v>
      </c>
      <c r="AF1116" s="1" t="str">
        <f>""</f>
        <v/>
      </c>
      <c r="AG1116" s="1" t="str">
        <f>""</f>
        <v/>
      </c>
      <c r="AH1116" s="1" t="str">
        <f>""</f>
        <v/>
      </c>
      <c r="AI1116" s="1" t="str">
        <f>""</f>
        <v/>
      </c>
      <c r="AJ1116" s="1" t="str">
        <f>""</f>
        <v/>
      </c>
      <c r="AK1116" s="1" t="str">
        <f>""</f>
        <v/>
      </c>
    </row>
    <row r="1117" spans="1:37" x14ac:dyDescent="0.2">
      <c r="A1117" s="1">
        <v>760000</v>
      </c>
      <c r="B1117" s="1">
        <v>951600094</v>
      </c>
      <c r="C1117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117" s="1">
        <v>8998</v>
      </c>
      <c r="E1117" s="1">
        <v>760000</v>
      </c>
      <c r="F1117" s="1">
        <v>95</v>
      </c>
      <c r="G1117" s="1">
        <v>0</v>
      </c>
      <c r="H1117" s="1" t="str">
        <f>"95/12/16"</f>
        <v>95/12/16</v>
      </c>
      <c r="I1117" s="1" t="str">
        <f t="shared" si="285"/>
        <v>كيلوگرم</v>
      </c>
      <c r="J1117" s="1" t="str">
        <f>"0000000092"</f>
        <v>0000000092</v>
      </c>
      <c r="K1117" s="1" t="str">
        <f>"قير  PG64-16"</f>
        <v>قير  PG64-16</v>
      </c>
      <c r="L1117" s="1">
        <v>100</v>
      </c>
      <c r="M1117" s="1" t="str">
        <f t="shared" si="291"/>
        <v>مخازن قير اصفهان</v>
      </c>
      <c r="N1117" s="1">
        <v>10547</v>
      </c>
      <c r="O1117" s="1">
        <v>50034017</v>
      </c>
      <c r="P1117" s="1" t="str">
        <f>"  پي و پل جنوب"</f>
        <v xml:space="preserve">  پي و پل جنوب</v>
      </c>
      <c r="Q1117" s="1">
        <v>16</v>
      </c>
      <c r="R1117" s="1" t="str">
        <f>"فروش داخلي تهران - وزارت راه - معاونت اقتصاد"</f>
        <v>فروش داخلي تهران - وزارت راه - معاونت اقتصاد</v>
      </c>
      <c r="S1117" s="1" t="str">
        <f t="shared" si="286"/>
        <v>قرارداد فروش</v>
      </c>
      <c r="T1117" s="1" t="str">
        <f t="shared" si="287"/>
        <v>ندارد</v>
      </c>
      <c r="U1117" s="1" t="str">
        <f>"قره باغي مجيد(1871065)"</f>
        <v>قره باغي مجيد(1871065)</v>
      </c>
      <c r="V1117" s="1">
        <v>951600094</v>
      </c>
      <c r="W1117" s="1">
        <v>951600094</v>
      </c>
      <c r="X1117" s="1" t="str">
        <f>"1395469184"</f>
        <v>1395469184</v>
      </c>
      <c r="Y1117" s="1" t="str">
        <f>"95/12/16"</f>
        <v>95/12/16</v>
      </c>
      <c r="Z1117" s="1" t="str">
        <f>"63259/710"</f>
        <v>63259/710</v>
      </c>
      <c r="AA1117" s="1" t="str">
        <f>"معاونت اقتصادوزارت راه وشهرسازي"</f>
        <v>معاونت اقتصادوزارت راه وشهرسازي</v>
      </c>
      <c r="AB1117" s="1" t="str">
        <f>"95/12/11"</f>
        <v>95/12/11</v>
      </c>
      <c r="AC1117" s="1" t="str">
        <f>"جنوب کرمان"</f>
        <v>جنوب کرمان</v>
      </c>
      <c r="AD1117" s="1" t="str">
        <f>"95/12/16"</f>
        <v>95/12/16</v>
      </c>
      <c r="AE1117" s="1" t="str">
        <f t="shared" si="292"/>
        <v>اختتام</v>
      </c>
      <c r="AF1117" s="1" t="str">
        <f>""</f>
        <v/>
      </c>
      <c r="AG1117" s="1" t="str">
        <f>""</f>
        <v/>
      </c>
      <c r="AH1117" s="1" t="str">
        <f>""</f>
        <v/>
      </c>
      <c r="AI1117" s="1" t="str">
        <f>""</f>
        <v/>
      </c>
      <c r="AJ1117" s="1" t="str">
        <f>""</f>
        <v/>
      </c>
      <c r="AK1117" s="1" t="str">
        <f>""</f>
        <v/>
      </c>
    </row>
    <row r="1118" spans="1:37" x14ac:dyDescent="0.2">
      <c r="A1118" s="1">
        <v>126460</v>
      </c>
      <c r="B1118" s="1">
        <v>951900169</v>
      </c>
      <c r="C1118" s="1" t="str">
        <f>"تخليه -اصفهان -شهرستان سميرم -شهرحناكيلومتر5جاده چشمه خوني -كارخانه آسفالت شرکت چشمه ساران خانميرزا"</f>
        <v>تخليه -اصفهان -شهرستان سميرم -شهرحناكيلومتر5جاده چشمه خوني -كارخانه آسفالت شرکت چشمه ساران خانميرزا</v>
      </c>
      <c r="D1118" s="1">
        <v>8323</v>
      </c>
      <c r="E1118" s="1">
        <v>124000</v>
      </c>
      <c r="F1118" s="1">
        <v>95</v>
      </c>
      <c r="G1118" s="1">
        <v>2460</v>
      </c>
      <c r="H1118" s="1" t="str">
        <f>"95/08/06"</f>
        <v>95/08/06</v>
      </c>
      <c r="I1118" s="1" t="str">
        <f t="shared" si="285"/>
        <v>كيلوگرم</v>
      </c>
      <c r="J1118" s="1" t="str">
        <f>"0000000091"</f>
        <v>0000000091</v>
      </c>
      <c r="K1118" s="1" t="str">
        <f>"قير  PG64-22"</f>
        <v>قير  PG64-22</v>
      </c>
      <c r="L1118" s="1">
        <v>100</v>
      </c>
      <c r="M1118" s="1" t="str">
        <f t="shared" si="291"/>
        <v>مخازن قير اصفهان</v>
      </c>
      <c r="N1118" s="1">
        <v>10538</v>
      </c>
      <c r="O1118" s="1">
        <v>50032309</v>
      </c>
      <c r="P1118" s="1" t="str">
        <f>"  چشمه ساران خانميرزا"</f>
        <v xml:space="preserve">  چشمه ساران خانميرزا</v>
      </c>
      <c r="Q1118" s="1">
        <v>19</v>
      </c>
      <c r="R11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18" s="1" t="str">
        <f t="shared" si="286"/>
        <v>قرارداد فروش</v>
      </c>
      <c r="T1118" s="1" t="str">
        <f t="shared" si="287"/>
        <v>ندارد</v>
      </c>
      <c r="U1118" s="1" t="str">
        <f>"شهبازي محمدرضا(1029ج89)"</f>
        <v>شهبازي محمدرضا(1029ج89)</v>
      </c>
      <c r="V1118" s="1">
        <v>951900169</v>
      </c>
      <c r="W1118" s="1">
        <v>951900169</v>
      </c>
      <c r="X1118" s="1" t="str">
        <f>"1395421996"</f>
        <v>1395421996</v>
      </c>
      <c r="Y1118" s="1" t="str">
        <f>"95/08/06"</f>
        <v>95/08/06</v>
      </c>
      <c r="Z1118" s="1" t="str">
        <f>"21860/510"</f>
        <v>21860/510</v>
      </c>
      <c r="AA1118" s="1" t="str">
        <f>"سازمان راهداري وحمل نقل جاده اي"</f>
        <v>سازمان راهداري وحمل نقل جاده اي</v>
      </c>
      <c r="AB1118" s="1" t="str">
        <f>"95/05/16"</f>
        <v>95/05/16</v>
      </c>
      <c r="AC1118" s="1" t="str">
        <f>"استان اصفهان"</f>
        <v>استان اصفهان</v>
      </c>
      <c r="AD1118" s="1" t="str">
        <f>"95/05/18"</f>
        <v>95/05/18</v>
      </c>
      <c r="AE1118" s="1" t="str">
        <f t="shared" si="292"/>
        <v>اختتام</v>
      </c>
      <c r="AF1118" s="1" t="str">
        <f>""</f>
        <v/>
      </c>
      <c r="AG1118" s="1" t="str">
        <f>""</f>
        <v/>
      </c>
      <c r="AH1118" s="1" t="str">
        <f>""</f>
        <v/>
      </c>
      <c r="AI1118" s="1" t="str">
        <f>""</f>
        <v/>
      </c>
      <c r="AJ1118" s="1" t="str">
        <f>""</f>
        <v/>
      </c>
      <c r="AK1118" s="1" t="str">
        <f>""</f>
        <v/>
      </c>
    </row>
    <row r="1119" spans="1:37" x14ac:dyDescent="0.2">
      <c r="A1119" s="1">
        <v>302000</v>
      </c>
      <c r="B1119" s="1">
        <v>956200071</v>
      </c>
      <c r="C1119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119" s="1">
        <v>6876</v>
      </c>
      <c r="E1119" s="1">
        <v>301560</v>
      </c>
      <c r="F1119" s="1">
        <v>95</v>
      </c>
      <c r="G1119" s="1">
        <v>440</v>
      </c>
      <c r="H1119" s="1" t="str">
        <f>"95/06/03"</f>
        <v>95/06/03</v>
      </c>
      <c r="I1119" s="1" t="str">
        <f t="shared" si="285"/>
        <v>كيلوگرم</v>
      </c>
      <c r="J1119" s="1" t="str">
        <f>"0000000076"</f>
        <v>0000000076</v>
      </c>
      <c r="K1119" s="1" t="str">
        <f>"قير 60/70 - فله"</f>
        <v>قير 60/70 - فله</v>
      </c>
      <c r="L1119" s="1">
        <v>100</v>
      </c>
      <c r="M1119" s="1" t="str">
        <f t="shared" si="291"/>
        <v>مخازن قير اصفهان</v>
      </c>
      <c r="N1119" s="1">
        <v>8597</v>
      </c>
      <c r="O1119" s="1">
        <v>50031620</v>
      </c>
      <c r="P1119" s="1" t="str">
        <f>"  خرداد راه ساز ايلام"</f>
        <v xml:space="preserve">  خرداد راه ساز ايلام</v>
      </c>
      <c r="Q1119" s="1">
        <v>62</v>
      </c>
      <c r="R1119" s="1" t="str">
        <f>"فروش داخلي - سازمان بنيادمسكن انقلاب اسلامي"</f>
        <v>فروش داخلي - سازمان بنيادمسكن انقلاب اسلامي</v>
      </c>
      <c r="S1119" s="1" t="str">
        <f t="shared" si="286"/>
        <v>قرارداد فروش</v>
      </c>
      <c r="T1119" s="1" t="str">
        <f t="shared" si="287"/>
        <v>ندارد</v>
      </c>
      <c r="U1119" s="1" t="str">
        <f>"عظيمي محمد(2842015)"</f>
        <v>عظيمي محمد(2842015)</v>
      </c>
      <c r="V1119" s="1">
        <v>956200071</v>
      </c>
      <c r="W1119" s="1">
        <v>956200071</v>
      </c>
      <c r="X1119" s="1" t="str">
        <f>"1395426720"</f>
        <v>1395426720</v>
      </c>
      <c r="Y1119" s="1" t="str">
        <f>"95/06/03"</f>
        <v>95/06/03</v>
      </c>
      <c r="Z1119" s="1" t="str">
        <f>"22544/د"</f>
        <v>22544/د</v>
      </c>
      <c r="AA1119" s="1" t="str">
        <f>"بنيادمسكن انقلاب اسلامي"</f>
        <v>بنيادمسكن انقلاب اسلامي</v>
      </c>
      <c r="AB1119" s="1" t="str">
        <f>"95/06/01"</f>
        <v>95/06/01</v>
      </c>
      <c r="AC1119" s="1" t="str">
        <f>"استان ايلام"</f>
        <v>استان ايلام</v>
      </c>
      <c r="AD1119" s="1" t="str">
        <f>"95/06/03"</f>
        <v>95/06/03</v>
      </c>
      <c r="AE1119" s="1" t="str">
        <f t="shared" si="292"/>
        <v>اختتام</v>
      </c>
      <c r="AF1119" s="1" t="str">
        <f>""</f>
        <v/>
      </c>
      <c r="AG1119" s="1" t="str">
        <f>""</f>
        <v/>
      </c>
      <c r="AH1119" s="1" t="str">
        <f>""</f>
        <v/>
      </c>
      <c r="AI1119" s="1" t="str">
        <f>""</f>
        <v/>
      </c>
      <c r="AJ1119" s="1" t="str">
        <f>""</f>
        <v/>
      </c>
      <c r="AK1119" s="1" t="str">
        <f>""</f>
        <v/>
      </c>
    </row>
    <row r="1120" spans="1:37" x14ac:dyDescent="0.2">
      <c r="A1120" s="1">
        <v>60000</v>
      </c>
      <c r="B1120" s="1">
        <v>951300026</v>
      </c>
      <c r="C1120" s="1" t="str">
        <f>"تخليه يزدكارخانه آسفالت شهرداري ميبد"</f>
        <v>تخليه يزدكارخانه آسفالت شهرداري ميبد</v>
      </c>
      <c r="D1120" s="1">
        <v>8348</v>
      </c>
      <c r="E1120" s="1">
        <v>59840</v>
      </c>
      <c r="F1120" s="1">
        <v>95</v>
      </c>
      <c r="G1120" s="1">
        <v>160</v>
      </c>
      <c r="H1120" s="1" t="str">
        <f>"95/11/26"</f>
        <v>95/11/26</v>
      </c>
      <c r="I1120" s="1" t="str">
        <f t="shared" si="285"/>
        <v>كيلوگرم</v>
      </c>
      <c r="J1120" s="1" t="str">
        <f>"0000000093"</f>
        <v>0000000093</v>
      </c>
      <c r="K1120" s="1" t="str">
        <f>"قير  PG64-10"</f>
        <v>قير  PG64-10</v>
      </c>
      <c r="L1120" s="1">
        <v>100</v>
      </c>
      <c r="M1120" s="1" t="str">
        <f t="shared" si="291"/>
        <v>مخازن قير اصفهان</v>
      </c>
      <c r="N1120" s="1">
        <v>9875</v>
      </c>
      <c r="O1120" s="1">
        <v>50033748</v>
      </c>
      <c r="P1120" s="1" t="str">
        <f>"  بنيادمسكن انقلاب اسلامي يزد"</f>
        <v xml:space="preserve">  بنيادمسكن انقلاب اسلامي يزد</v>
      </c>
      <c r="Q1120" s="1">
        <v>13</v>
      </c>
      <c r="R1120" s="1" t="str">
        <f>"فروش داخلي - وزارت راه - حوزه بنياد مسكن"</f>
        <v>فروش داخلي - وزارت راه - حوزه بنياد مسكن</v>
      </c>
      <c r="S1120" s="1" t="str">
        <f t="shared" si="286"/>
        <v>قرارداد فروش</v>
      </c>
      <c r="T1120" s="1" t="str">
        <f t="shared" si="287"/>
        <v>ندارد</v>
      </c>
      <c r="U1120" s="1" t="str">
        <f>"قانعي محمدرضا(1011ج89)"</f>
        <v>قانعي محمدرضا(1011ج89)</v>
      </c>
      <c r="V1120" s="1">
        <v>951300026</v>
      </c>
      <c r="W1120" s="1">
        <v>951300026</v>
      </c>
      <c r="X1120" s="1" t="str">
        <f>"1395464672"</f>
        <v>1395464672</v>
      </c>
      <c r="Y1120" s="1" t="str">
        <f>"95/11/26"</f>
        <v>95/11/26</v>
      </c>
      <c r="Z1120" s="1" t="str">
        <f>"56604/710"</f>
        <v>56604/710</v>
      </c>
      <c r="AA1120" s="1" t="str">
        <f>"بنياد مسكن -مسكن مهر"</f>
        <v>بنياد مسكن -مسكن مهر</v>
      </c>
      <c r="AB1120" s="1" t="str">
        <f>"95/11/13"</f>
        <v>95/11/13</v>
      </c>
      <c r="AC1120" s="1" t="str">
        <f>"استان يزد"</f>
        <v>استان يزد</v>
      </c>
      <c r="AD1120" s="1" t="str">
        <f>"95/11/25"</f>
        <v>95/11/25</v>
      </c>
      <c r="AE1120" s="1" t="str">
        <f t="shared" si="292"/>
        <v>اختتام</v>
      </c>
      <c r="AF1120" s="1" t="str">
        <f>""</f>
        <v/>
      </c>
      <c r="AG1120" s="1" t="str">
        <f>""</f>
        <v/>
      </c>
      <c r="AH1120" s="1" t="str">
        <f>""</f>
        <v/>
      </c>
      <c r="AI1120" s="1" t="str">
        <f>""</f>
        <v/>
      </c>
      <c r="AJ1120" s="1" t="str">
        <f>""</f>
        <v/>
      </c>
      <c r="AK1120" s="1" t="str">
        <f>""</f>
        <v/>
      </c>
    </row>
    <row r="1121" spans="1:37" x14ac:dyDescent="0.2">
      <c r="A1121" s="1">
        <v>750000</v>
      </c>
      <c r="B1121" s="1">
        <v>951800090</v>
      </c>
      <c r="C1121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1121" s="1">
        <v>8323</v>
      </c>
      <c r="E1121" s="1">
        <v>392360</v>
      </c>
      <c r="F1121" s="1">
        <v>95</v>
      </c>
      <c r="G1121" s="1">
        <v>357640</v>
      </c>
      <c r="H1121" s="1" t="str">
        <f>"95/08/08"</f>
        <v>95/08/08</v>
      </c>
      <c r="I1121" s="1" t="str">
        <f t="shared" si="285"/>
        <v>كيلوگرم</v>
      </c>
      <c r="J1121" s="1" t="str">
        <f>"0000000092"</f>
        <v>0000000092</v>
      </c>
      <c r="K1121" s="1" t="str">
        <f>"قير  PG64-16"</f>
        <v>قير  PG64-16</v>
      </c>
      <c r="L1121" s="1">
        <v>100</v>
      </c>
      <c r="M1121" s="1" t="str">
        <f t="shared" si="291"/>
        <v>مخازن قير اصفهان</v>
      </c>
      <c r="N1121" s="1">
        <v>1665</v>
      </c>
      <c r="O1121" s="1">
        <v>50032335</v>
      </c>
      <c r="P1121" s="1" t="str">
        <f>"  جهاد نصر يزد"</f>
        <v xml:space="preserve">  جهاد نصر يزد</v>
      </c>
      <c r="Q1121" s="1">
        <v>18</v>
      </c>
      <c r="R1121" s="1" t="str">
        <f>"فروش داخلي تهران - وزارت راه - شرکت ساخت و توسعه راهها"</f>
        <v>فروش داخلي تهران - وزارت راه - شرکت ساخت و توسعه راهها</v>
      </c>
      <c r="S1121" s="1" t="str">
        <f t="shared" si="286"/>
        <v>قرارداد فروش</v>
      </c>
      <c r="T1121" s="1" t="str">
        <f t="shared" si="287"/>
        <v>ندارد</v>
      </c>
      <c r="U1121" s="1" t="str">
        <f>"غلام نجفي سيامك‌‌‌‌‌‌(1881082)"</f>
        <v>غلام نجفي سيامك‌‌‌‌‌‌(1881082)</v>
      </c>
      <c r="V1121" s="1">
        <v>951800090</v>
      </c>
      <c r="W1121" s="1">
        <v>951800090</v>
      </c>
      <c r="X1121" s="1" t="str">
        <f>"1395433634"</f>
        <v>1395433634</v>
      </c>
      <c r="Y1121" s="1" t="str">
        <f>"95/08/08"</f>
        <v>95/08/08</v>
      </c>
      <c r="Z1121" s="1" t="str">
        <f>"31061/510"</f>
        <v>31061/510</v>
      </c>
      <c r="AA1121" s="1" t="str">
        <f>"شركت  ساخت وتوسعه راهها"</f>
        <v>شركت  ساخت وتوسعه راهها</v>
      </c>
      <c r="AB1121" s="1" t="str">
        <f>"95/06/29"</f>
        <v>95/06/29</v>
      </c>
      <c r="AC1121" s="1" t="str">
        <f>"خراسان جنوبي"</f>
        <v>خراسان جنوبي</v>
      </c>
      <c r="AD1121" s="1" t="str">
        <f>"95/07/04"</f>
        <v>95/07/04</v>
      </c>
      <c r="AE1121" s="1" t="str">
        <f t="shared" si="292"/>
        <v>اختتام</v>
      </c>
      <c r="AF1121" s="1" t="str">
        <f>""</f>
        <v/>
      </c>
      <c r="AG1121" s="1" t="str">
        <f>""</f>
        <v/>
      </c>
      <c r="AH1121" s="1" t="str">
        <f>""</f>
        <v/>
      </c>
      <c r="AI1121" s="1" t="str">
        <f>""</f>
        <v/>
      </c>
      <c r="AJ1121" s="1" t="str">
        <f>""</f>
        <v/>
      </c>
      <c r="AK1121" s="1" t="str">
        <f>""</f>
        <v/>
      </c>
    </row>
    <row r="1122" spans="1:37" x14ac:dyDescent="0.2">
      <c r="A1122" s="1">
        <v>250000</v>
      </c>
      <c r="B1122" s="1">
        <v>951800035</v>
      </c>
      <c r="C1122" s="1" t="str">
        <f>"تخليه -كرمان كيلومتر7محورانار-شهربابك -كارگاه جهادنصركرمان"</f>
        <v>تخليه -كرمان كيلومتر7محورانار-شهربابك -كارگاه جهادنصركرمان</v>
      </c>
      <c r="D1122" s="1">
        <v>6726</v>
      </c>
      <c r="E1122" s="1">
        <v>249660</v>
      </c>
      <c r="F1122" s="1">
        <v>95</v>
      </c>
      <c r="G1122" s="1">
        <v>340</v>
      </c>
      <c r="H1122" s="1" t="str">
        <f>"95/05/04"</f>
        <v>95/05/04</v>
      </c>
      <c r="I1122" s="1" t="str">
        <f t="shared" si="285"/>
        <v>كيلوگرم</v>
      </c>
      <c r="J1122" s="1" t="str">
        <f>"0000000092"</f>
        <v>0000000092</v>
      </c>
      <c r="K1122" s="1" t="str">
        <f>"قير  PG64-16"</f>
        <v>قير  PG64-16</v>
      </c>
      <c r="L1122" s="1">
        <v>100</v>
      </c>
      <c r="M1122" s="1" t="str">
        <f t="shared" si="291"/>
        <v>مخازن قير اصفهان</v>
      </c>
      <c r="N1122" s="1">
        <v>4063</v>
      </c>
      <c r="O1122" s="1">
        <v>50031349</v>
      </c>
      <c r="P1122" s="1" t="str">
        <f>"  جهاد نصر كرمان"</f>
        <v xml:space="preserve">  جهاد نصر كرمان</v>
      </c>
      <c r="Q1122" s="1">
        <v>18</v>
      </c>
      <c r="R1122" s="1" t="str">
        <f>"فروش داخلي تهران - وزارت راه - شرکت ساخت و توسعه راهها"</f>
        <v>فروش داخلي تهران - وزارت راه - شرکت ساخت و توسعه راهها</v>
      </c>
      <c r="S1122" s="1" t="str">
        <f t="shared" si="286"/>
        <v>قرارداد فروش</v>
      </c>
      <c r="T1122" s="1" t="str">
        <f t="shared" si="287"/>
        <v>ندارد</v>
      </c>
      <c r="U1122" s="1" t="str">
        <f>"پير احمدي محمد جعفر(4844021)"</f>
        <v>پير احمدي محمد جعفر(4844021)</v>
      </c>
      <c r="V1122" s="1">
        <v>951800035</v>
      </c>
      <c r="W1122" s="1">
        <v>951800035</v>
      </c>
      <c r="X1122" s="1" t="str">
        <f>"1395417777"</f>
        <v>1395417777</v>
      </c>
      <c r="Y1122" s="1" t="str">
        <f>"95/05/04"</f>
        <v>95/05/04</v>
      </c>
      <c r="Z1122" s="1" t="str">
        <f>"17000/510"</f>
        <v>17000/510</v>
      </c>
      <c r="AA1122" s="1" t="str">
        <f>"شركت  ساخت وتوسعه راهها"</f>
        <v>شركت  ساخت وتوسعه راهها</v>
      </c>
      <c r="AB1122" s="1" t="str">
        <f>"95/04/21"</f>
        <v>95/04/21</v>
      </c>
      <c r="AC1122" s="1" t="str">
        <f>"استان كرمان"</f>
        <v>استان كرمان</v>
      </c>
      <c r="AD1122" s="1" t="str">
        <f>"95/05/04"</f>
        <v>95/05/04</v>
      </c>
      <c r="AE1122" s="1" t="str">
        <f t="shared" si="292"/>
        <v>اختتام</v>
      </c>
      <c r="AF1122" s="1" t="str">
        <f>""</f>
        <v/>
      </c>
      <c r="AG1122" s="1" t="str">
        <f>""</f>
        <v/>
      </c>
      <c r="AH1122" s="1" t="str">
        <f>""</f>
        <v/>
      </c>
      <c r="AI1122" s="1" t="str">
        <f>""</f>
        <v/>
      </c>
      <c r="AJ1122" s="1" t="str">
        <f>""</f>
        <v/>
      </c>
      <c r="AK1122" s="1" t="str">
        <f>""</f>
        <v/>
      </c>
    </row>
    <row r="1123" spans="1:37" x14ac:dyDescent="0.2">
      <c r="A1123" s="1">
        <v>120000</v>
      </c>
      <c r="B1123" s="1">
        <v>951900115</v>
      </c>
      <c r="C1123" s="1" t="str">
        <f>"تخليه - ايلام- شهرک سرطاف جاده قديم صالح آباد کارخانه ايلام  قيرپاش"</f>
        <v>تخليه - ايلام- شهرک سرطاف جاده قديم صالح آباد کارخانه ايلام  قيرپاش</v>
      </c>
      <c r="D1123" s="1">
        <v>6726</v>
      </c>
      <c r="E1123" s="1">
        <v>118980</v>
      </c>
      <c r="F1123" s="1">
        <v>95</v>
      </c>
      <c r="G1123" s="1">
        <v>1020</v>
      </c>
      <c r="H1123" s="1" t="str">
        <f>"95/05/23"</f>
        <v>95/05/23</v>
      </c>
      <c r="I1123" s="1" t="str">
        <f t="shared" si="285"/>
        <v>كيلوگرم</v>
      </c>
      <c r="J1123" s="1" t="str">
        <f>"0000000092"</f>
        <v>0000000092</v>
      </c>
      <c r="K1123" s="1" t="str">
        <f>"قير  PG64-16"</f>
        <v>قير  PG64-16</v>
      </c>
      <c r="L1123" s="1">
        <v>100</v>
      </c>
      <c r="M1123" s="1" t="str">
        <f t="shared" si="291"/>
        <v>مخازن قير اصفهان</v>
      </c>
      <c r="N1123" s="1">
        <v>10675</v>
      </c>
      <c r="O1123" s="1">
        <v>50031504</v>
      </c>
      <c r="P1123" s="1" t="str">
        <f>"  چناره چرداول"</f>
        <v xml:space="preserve">  چناره چرداول</v>
      </c>
      <c r="Q1123" s="1">
        <v>19</v>
      </c>
      <c r="R11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23" s="1" t="str">
        <f t="shared" si="286"/>
        <v>قرارداد فروش</v>
      </c>
      <c r="T1123" s="1" t="str">
        <f t="shared" si="287"/>
        <v>ندارد</v>
      </c>
      <c r="U1123" s="1" t="str">
        <f>"عظيمي محمد(2842015)"</f>
        <v>عظيمي محمد(2842015)</v>
      </c>
      <c r="V1123" s="1">
        <v>951900115</v>
      </c>
      <c r="W1123" s="1">
        <v>951900115</v>
      </c>
      <c r="X1123" s="1" t="str">
        <f>"1395421996"</f>
        <v>1395421996</v>
      </c>
      <c r="Y1123" s="1" t="str">
        <f>"95/05/23"</f>
        <v>95/05/23</v>
      </c>
      <c r="Z1123" s="1" t="str">
        <f>"21910/510"</f>
        <v>21910/510</v>
      </c>
      <c r="AA1123" s="1" t="str">
        <f>"سازمان راهداري وحمل نقل جاده اي"</f>
        <v>سازمان راهداري وحمل نقل جاده اي</v>
      </c>
      <c r="AB1123" s="1" t="str">
        <f>"95/05/16"</f>
        <v>95/05/16</v>
      </c>
      <c r="AC1123" s="1" t="str">
        <f>"استان ايلام"</f>
        <v>استان ايلام</v>
      </c>
      <c r="AD1123" s="1" t="str">
        <f>"95/05/18"</f>
        <v>95/05/18</v>
      </c>
      <c r="AE1123" s="1" t="str">
        <f t="shared" si="292"/>
        <v>اختتام</v>
      </c>
      <c r="AF1123" s="1" t="str">
        <f>""</f>
        <v/>
      </c>
      <c r="AG1123" s="1" t="str">
        <f>""</f>
        <v/>
      </c>
      <c r="AH1123" s="1" t="str">
        <f>""</f>
        <v/>
      </c>
      <c r="AI1123" s="1" t="str">
        <f>""</f>
        <v/>
      </c>
      <c r="AJ1123" s="1" t="str">
        <f>""</f>
        <v/>
      </c>
      <c r="AK1123" s="1" t="str">
        <f>""</f>
        <v/>
      </c>
    </row>
    <row r="1124" spans="1:37" x14ac:dyDescent="0.2">
      <c r="A1124" s="1">
        <v>233660</v>
      </c>
      <c r="B1124" s="1">
        <v>951600076</v>
      </c>
      <c r="C1124" s="1" t="str">
        <f>"تخليه - خراسان جنوبي - عمليات خاکي و آسفالت و ابنيه فني باند دوم محور طبس -اصفهان-کارخانه بهبود صنعت"</f>
        <v>تخليه - خراسان جنوبي - عمليات خاکي و آسفالت و ابنيه فني باند دوم محور طبس -اصفهان-کارخانه بهبود صنعت</v>
      </c>
      <c r="D1124" s="1">
        <v>8998</v>
      </c>
      <c r="E1124" s="1">
        <v>226920</v>
      </c>
      <c r="F1124" s="1">
        <v>95</v>
      </c>
      <c r="G1124" s="1">
        <v>6740</v>
      </c>
      <c r="H1124" s="1" t="str">
        <f>"95/11/03"</f>
        <v>95/11/03</v>
      </c>
      <c r="I1124" s="1" t="str">
        <f t="shared" si="285"/>
        <v>كيلوگرم</v>
      </c>
      <c r="J1124" s="1" t="str">
        <f>"0000000093"</f>
        <v>0000000093</v>
      </c>
      <c r="K1124" s="1" t="str">
        <f>"قير  PG64-10"</f>
        <v>قير  PG64-10</v>
      </c>
      <c r="L1124" s="1">
        <v>100</v>
      </c>
      <c r="M1124" s="1" t="str">
        <f t="shared" si="291"/>
        <v>مخازن قير اصفهان</v>
      </c>
      <c r="N1124" s="1">
        <v>10635</v>
      </c>
      <c r="O1124" s="1">
        <v>50033486</v>
      </c>
      <c r="P1124" s="1" t="str">
        <f>"  ريحان گسترخاوران"</f>
        <v xml:space="preserve">  ريحان گسترخاوران</v>
      </c>
      <c r="Q1124" s="1">
        <v>16</v>
      </c>
      <c r="R1124" s="1" t="str">
        <f>"فروش داخلي تهران - وزارت راه - معاونت اقتصاد"</f>
        <v>فروش داخلي تهران - وزارت راه - معاونت اقتصاد</v>
      </c>
      <c r="S1124" s="1" t="str">
        <f t="shared" si="286"/>
        <v>قرارداد فروش</v>
      </c>
      <c r="T1124" s="1" t="str">
        <f t="shared" si="287"/>
        <v>ندارد</v>
      </c>
      <c r="U1124" s="1" t="str">
        <f>"بابامحمدي عنايت اله(4844000)"</f>
        <v>بابامحمدي عنايت اله(4844000)</v>
      </c>
      <c r="V1124" s="1">
        <v>951600076</v>
      </c>
      <c r="W1124" s="1">
        <v>951600076</v>
      </c>
      <c r="X1124" s="1" t="str">
        <f>"1395447611"</f>
        <v>1395447611</v>
      </c>
      <c r="Y1124" s="1" t="str">
        <f>"95/11/03"</f>
        <v>95/11/03</v>
      </c>
      <c r="Z1124" s="1" t="str">
        <f>"40598/710"</f>
        <v>40598/710</v>
      </c>
      <c r="AA1124" s="1" t="str">
        <f>"معاونت اقتصادوزارت راه وشهرسازي"</f>
        <v>معاونت اقتصادوزارت راه وشهرسازي</v>
      </c>
      <c r="AB1124" s="1" t="str">
        <f>"95/08/19"</f>
        <v>95/08/19</v>
      </c>
      <c r="AC1124" s="1" t="str">
        <f>"خراسان جنوبي"</f>
        <v>خراسان جنوبي</v>
      </c>
      <c r="AD1124" s="1" t="str">
        <f>"95/09/06"</f>
        <v>95/09/06</v>
      </c>
      <c r="AE1124" s="1" t="str">
        <f t="shared" si="292"/>
        <v>اختتام</v>
      </c>
      <c r="AF1124" s="1" t="str">
        <f>""</f>
        <v/>
      </c>
      <c r="AG1124" s="1" t="str">
        <f>""</f>
        <v/>
      </c>
      <c r="AH1124" s="1" t="str">
        <f>""</f>
        <v/>
      </c>
      <c r="AI1124" s="1" t="str">
        <f>""</f>
        <v/>
      </c>
      <c r="AJ1124" s="1" t="str">
        <f>""</f>
        <v/>
      </c>
      <c r="AK1124" s="1" t="str">
        <f>""</f>
        <v/>
      </c>
    </row>
    <row r="1125" spans="1:37" x14ac:dyDescent="0.2">
      <c r="A1125" s="1">
        <v>183860</v>
      </c>
      <c r="B1125" s="1">
        <v>951700289</v>
      </c>
      <c r="C1125" s="1" t="str">
        <f>"تخليه -كهگيلويه وبويراحمد-ياسوج كارخانه آسفالت جوكار"</f>
        <v>تخليه -كهگيلويه وبويراحمد-ياسوج كارخانه آسفالت جوكار</v>
      </c>
      <c r="D1125" s="1">
        <v>9061</v>
      </c>
      <c r="E1125" s="1">
        <v>137200</v>
      </c>
      <c r="F1125" s="1">
        <v>95</v>
      </c>
      <c r="G1125" s="1">
        <v>46660</v>
      </c>
      <c r="H1125" s="1" t="str">
        <f>"95/10/05"</f>
        <v>95/10/05</v>
      </c>
      <c r="I1125" s="1" t="str">
        <f t="shared" si="285"/>
        <v>كيلوگرم</v>
      </c>
      <c r="J1125" s="1" t="str">
        <f>"0000000093"</f>
        <v>0000000093</v>
      </c>
      <c r="K1125" s="1" t="str">
        <f>"قير  PG64-10"</f>
        <v>قير  PG64-10</v>
      </c>
      <c r="L1125" s="1">
        <v>100</v>
      </c>
      <c r="M1125" s="1" t="str">
        <f t="shared" si="291"/>
        <v>مخازن قير اصفهان</v>
      </c>
      <c r="N1125" s="1">
        <v>10979</v>
      </c>
      <c r="O1125" s="1">
        <v>50033133</v>
      </c>
      <c r="P1125" s="1" t="str">
        <f>"  والادسازه آترين"</f>
        <v xml:space="preserve">  والادسازه آترين</v>
      </c>
      <c r="Q1125" s="1">
        <v>17</v>
      </c>
      <c r="R1125" s="1" t="str">
        <f>"فروش داخلي تهران - وزارت راه - راه روستايي - روکش"</f>
        <v>فروش داخلي تهران - وزارت راه - راه روستايي - روکش</v>
      </c>
      <c r="S1125" s="1" t="str">
        <f t="shared" si="286"/>
        <v>قرارداد فروش</v>
      </c>
      <c r="T1125" s="1" t="str">
        <f t="shared" si="287"/>
        <v>ندارد</v>
      </c>
      <c r="U1125" s="1" t="str">
        <f>"غلام نجفي سيامك‌‌‌‌‌‌(1881082)"</f>
        <v>غلام نجفي سيامك‌‌‌‌‌‌(1881082)</v>
      </c>
      <c r="V1125" s="1">
        <v>951700289</v>
      </c>
      <c r="W1125" s="1">
        <v>951700289</v>
      </c>
      <c r="X1125" s="1" t="str">
        <f>"1395419857"</f>
        <v>1395419857</v>
      </c>
      <c r="Y1125" s="1" t="str">
        <f>"95/10/05"</f>
        <v>95/10/05</v>
      </c>
      <c r="Z1125" s="1" t="str">
        <f>"18875/510"</f>
        <v>18875/510</v>
      </c>
      <c r="AA1125" s="1" t="str">
        <f>"راه روستائي -روكش"</f>
        <v>راه روستائي -روكش</v>
      </c>
      <c r="AB1125" s="1" t="str">
        <f>"95/04/30"</f>
        <v>95/04/30</v>
      </c>
      <c r="AC1125" s="1" t="str">
        <f>"كهكيلويه و بوير احمد"</f>
        <v>كهكيلويه و بوير احمد</v>
      </c>
      <c r="AD1125" s="1" t="str">
        <f>"95/05/11"</f>
        <v>95/05/11</v>
      </c>
      <c r="AE1125" s="1" t="str">
        <f t="shared" si="292"/>
        <v>اختتام</v>
      </c>
      <c r="AF1125" s="1" t="str">
        <f>""</f>
        <v/>
      </c>
      <c r="AG1125" s="1" t="str">
        <f>""</f>
        <v/>
      </c>
      <c r="AH1125" s="1" t="str">
        <f>""</f>
        <v/>
      </c>
      <c r="AI1125" s="1" t="str">
        <f>""</f>
        <v/>
      </c>
      <c r="AJ1125" s="1" t="str">
        <f>""</f>
        <v/>
      </c>
      <c r="AK1125" s="1" t="str">
        <f>""</f>
        <v/>
      </c>
    </row>
    <row r="1126" spans="1:37" x14ac:dyDescent="0.2">
      <c r="A1126" s="1">
        <v>513000</v>
      </c>
      <c r="B1126" s="1">
        <v>956100009</v>
      </c>
      <c r="C1126" s="1" t="str">
        <f>"تخليه- اصفهان-جاده سيمان سپاهان-منطقه صنعتي اشترجان خ 11 شرکت راه آژند"</f>
        <v>تخليه- اصفهان-جاده سيمان سپاهان-منطقه صنعتي اشترجان خ 11 شرکت راه آژند</v>
      </c>
      <c r="D1126" s="1">
        <v>7176</v>
      </c>
      <c r="E1126" s="1">
        <v>512520</v>
      </c>
      <c r="F1126" s="1">
        <v>95</v>
      </c>
      <c r="G1126" s="1">
        <v>480</v>
      </c>
      <c r="H1126" s="1" t="str">
        <f>"95/06/13"</f>
        <v>95/06/13</v>
      </c>
      <c r="I1126" s="1" t="str">
        <f t="shared" si="285"/>
        <v>كيلوگرم</v>
      </c>
      <c r="J1126" s="1" t="str">
        <f>"0000000093"</f>
        <v>0000000093</v>
      </c>
      <c r="K1126" s="1" t="str">
        <f>"قير  PG64-10"</f>
        <v>قير  PG64-10</v>
      </c>
      <c r="L1126" s="1">
        <v>100</v>
      </c>
      <c r="M1126" s="1" t="str">
        <f t="shared" si="291"/>
        <v>مخازن قير اصفهان</v>
      </c>
      <c r="N1126" s="1">
        <v>11170</v>
      </c>
      <c r="O1126" s="1">
        <v>50031754</v>
      </c>
      <c r="P1126" s="1" t="str">
        <f>"  راه و ساختمان کرسنگ"</f>
        <v xml:space="preserve">  راه و ساختمان کرسنگ</v>
      </c>
      <c r="Q1126" s="1">
        <v>61</v>
      </c>
      <c r="R1126" s="1" t="str">
        <f>"فروش داخلي - وزارت راه - مسكن مهر"</f>
        <v>فروش داخلي - وزارت راه - مسكن مهر</v>
      </c>
      <c r="S1126" s="1" t="str">
        <f t="shared" si="286"/>
        <v>قرارداد فروش</v>
      </c>
      <c r="T1126" s="1" t="str">
        <f t="shared" si="287"/>
        <v>ندارد</v>
      </c>
      <c r="U1126" s="1" t="str">
        <f>"سيفي پور عبدالمجيد(1009ج89)"</f>
        <v>سيفي پور عبدالمجيد(1009ج89)</v>
      </c>
      <c r="V1126" s="1">
        <v>956100009</v>
      </c>
      <c r="W1126" s="1">
        <v>956100009</v>
      </c>
      <c r="X1126" s="1" t="str">
        <f>"1395428495"</f>
        <v>1395428495</v>
      </c>
      <c r="Y1126" s="1" t="str">
        <f>"95/06/13"</f>
        <v>95/06/13</v>
      </c>
      <c r="Z1126" s="1" t="str">
        <f>"26349/510"</f>
        <v>26349/510</v>
      </c>
      <c r="AA1126" s="1" t="str">
        <f>"مسكن مهر-وزارت راه"</f>
        <v>مسكن مهر-وزارت راه</v>
      </c>
      <c r="AB1126" s="1" t="str">
        <f>"95/06/07"</f>
        <v>95/06/07</v>
      </c>
      <c r="AC1126" s="1" t="str">
        <f>"استان اصفهان"</f>
        <v>استان اصفهان</v>
      </c>
      <c r="AD1126" s="1" t="str">
        <f>"95/06/10"</f>
        <v>95/06/10</v>
      </c>
      <c r="AE1126" s="1" t="str">
        <f t="shared" si="292"/>
        <v>اختتام</v>
      </c>
      <c r="AF1126" s="1" t="str">
        <f>""</f>
        <v/>
      </c>
      <c r="AG1126" s="1" t="str">
        <f>""</f>
        <v/>
      </c>
      <c r="AH1126" s="1" t="str">
        <f>""</f>
        <v/>
      </c>
      <c r="AI1126" s="1" t="str">
        <f>""</f>
        <v/>
      </c>
      <c r="AJ1126" s="1" t="str">
        <f>""</f>
        <v/>
      </c>
      <c r="AK1126" s="1" t="str">
        <f>""</f>
        <v/>
      </c>
    </row>
    <row r="1127" spans="1:37" x14ac:dyDescent="0.2">
      <c r="A1127" s="1">
        <v>368620</v>
      </c>
      <c r="B1127" s="1">
        <v>951400078</v>
      </c>
      <c r="C1127" s="1" t="str">
        <f>"تخليه -لرستان كيلومتر22نورآباد-بابابزرگ -شركت ايمن كارسمير"</f>
        <v>تخليه -لرستان كيلومتر22نورآباد-بابابزرگ -شركت ايمن كارسمير</v>
      </c>
      <c r="D1127" s="1">
        <v>8323</v>
      </c>
      <c r="E1127" s="1">
        <v>368360</v>
      </c>
      <c r="F1127" s="1">
        <v>95</v>
      </c>
      <c r="G1127" s="1">
        <v>260</v>
      </c>
      <c r="H1127" s="1" t="str">
        <f>"95/08/04"</f>
        <v>95/08/04</v>
      </c>
      <c r="I1127" s="1" t="str">
        <f t="shared" si="285"/>
        <v>كيلوگرم</v>
      </c>
      <c r="J1127" s="1" t="str">
        <f>"0000000092"</f>
        <v>0000000092</v>
      </c>
      <c r="K1127" s="1" t="str">
        <f>"قير  PG64-16"</f>
        <v>قير  PG64-16</v>
      </c>
      <c r="L1127" s="1">
        <v>100</v>
      </c>
      <c r="M1127" s="1" t="str">
        <f t="shared" si="291"/>
        <v>مخازن قير اصفهان</v>
      </c>
      <c r="N1127" s="1">
        <v>4074</v>
      </c>
      <c r="O1127" s="1">
        <v>50032256</v>
      </c>
      <c r="P1127" s="1" t="str">
        <f>"  اداره كل راه و  شهرسازي لرستان"</f>
        <v xml:space="preserve">  اداره كل راه و  شهرسازي لرستان</v>
      </c>
      <c r="Q1127" s="1">
        <v>14</v>
      </c>
      <c r="R1127" s="1" t="str">
        <f>"فروش داخلي - وزارت راه - حوزه راه روستايي ساخت"</f>
        <v>فروش داخلي - وزارت راه - حوزه راه روستايي ساخت</v>
      </c>
      <c r="S1127" s="1" t="str">
        <f t="shared" si="286"/>
        <v>قرارداد فروش</v>
      </c>
      <c r="T1127" s="1" t="str">
        <f t="shared" si="287"/>
        <v>ندارد</v>
      </c>
      <c r="U1127" s="1" t="str">
        <f>"ريسماني حسن(1007ج89)"</f>
        <v>ريسماني حسن(1007ج89)</v>
      </c>
      <c r="V1127" s="1">
        <v>951400078</v>
      </c>
      <c r="W1127" s="1">
        <v>951400078</v>
      </c>
      <c r="X1127" s="1" t="str">
        <f>"1395436739"</f>
        <v>1395436739</v>
      </c>
      <c r="Y1127" s="1" t="str">
        <f>"95/08/04"</f>
        <v>95/08/04</v>
      </c>
      <c r="Z1127" s="1" t="str">
        <f>"34019/510"</f>
        <v>34019/510</v>
      </c>
      <c r="AA1127" s="1" t="str">
        <f>"راه وروستايي -ساخت"</f>
        <v>راه وروستايي -ساخت</v>
      </c>
      <c r="AB1127" s="1" t="str">
        <f>"95/07/14"</f>
        <v>95/07/14</v>
      </c>
      <c r="AC1127" s="1" t="str">
        <f>"لرستان"</f>
        <v>لرستان</v>
      </c>
      <c r="AD1127" s="1" t="str">
        <f>"95/07/17"</f>
        <v>95/07/17</v>
      </c>
      <c r="AE1127" s="1" t="str">
        <f t="shared" si="292"/>
        <v>اختتام</v>
      </c>
      <c r="AF1127" s="1" t="str">
        <f>""</f>
        <v/>
      </c>
      <c r="AG1127" s="1" t="str">
        <f>""</f>
        <v/>
      </c>
      <c r="AH1127" s="1" t="str">
        <f>""</f>
        <v/>
      </c>
      <c r="AI1127" s="1" t="str">
        <f>""</f>
        <v/>
      </c>
      <c r="AJ1127" s="1" t="str">
        <f>""</f>
        <v/>
      </c>
      <c r="AK1127" s="1" t="str">
        <f>""</f>
        <v/>
      </c>
    </row>
    <row r="1128" spans="1:37" x14ac:dyDescent="0.2">
      <c r="A1128" s="1">
        <v>2100000</v>
      </c>
      <c r="B1128" s="1">
        <v>951600021</v>
      </c>
      <c r="C1128" s="1" t="str">
        <f>"تخليه - فرودگاه سمنان"</f>
        <v>تخليه - فرودگاه سمنان</v>
      </c>
      <c r="D1128" s="1">
        <v>7176</v>
      </c>
      <c r="E1128" s="1">
        <v>2098860</v>
      </c>
      <c r="F1128" s="1">
        <v>95</v>
      </c>
      <c r="G1128" s="1">
        <v>1140</v>
      </c>
      <c r="H1128" s="1" t="str">
        <f>"95/06/06"</f>
        <v>95/06/06</v>
      </c>
      <c r="I1128" s="1" t="str">
        <f t="shared" si="285"/>
        <v>كيلوگرم</v>
      </c>
      <c r="J1128" s="1" t="str">
        <f>"0000000092"</f>
        <v>0000000092</v>
      </c>
      <c r="K1128" s="1" t="str">
        <f>"قير  PG64-16"</f>
        <v>قير  PG64-16</v>
      </c>
      <c r="L1128" s="1">
        <v>100</v>
      </c>
      <c r="M1128" s="1" t="str">
        <f t="shared" si="291"/>
        <v>مخازن قير اصفهان</v>
      </c>
      <c r="N1128" s="1">
        <v>4077</v>
      </c>
      <c r="O1128" s="1">
        <v>50031652</v>
      </c>
      <c r="P1128" s="1" t="str">
        <f>"  ساوير"</f>
        <v xml:space="preserve">  ساوير</v>
      </c>
      <c r="Q1128" s="1">
        <v>16</v>
      </c>
      <c r="R1128" s="1" t="str">
        <f>"فروش داخلي تهران - وزارت راه - معاونت اقتصاد"</f>
        <v>فروش داخلي تهران - وزارت راه - معاونت اقتصاد</v>
      </c>
      <c r="S1128" s="1" t="str">
        <f t="shared" si="286"/>
        <v>قرارداد فروش</v>
      </c>
      <c r="T1128" s="1" t="str">
        <f t="shared" si="287"/>
        <v>ندارد</v>
      </c>
      <c r="U1128" s="1" t="str">
        <f>"شيشه بر كريم(1841016)"</f>
        <v>شيشه بر كريم(1841016)</v>
      </c>
      <c r="V1128" s="1">
        <v>951600021</v>
      </c>
      <c r="W1128" s="1">
        <v>951600021</v>
      </c>
      <c r="X1128" s="1" t="str">
        <f>"1395426946"</f>
        <v>1395426946</v>
      </c>
      <c r="Y1128" s="1" t="str">
        <f>"95/06/06"</f>
        <v>95/06/06</v>
      </c>
      <c r="Z1128" s="1" t="str">
        <f>"24448/510"</f>
        <v>24448/510</v>
      </c>
      <c r="AA1128" s="1" t="str">
        <f>"معاونت اقتصادوزارت راه وشهرسازي"</f>
        <v>معاونت اقتصادوزارت راه وشهرسازي</v>
      </c>
      <c r="AB1128" s="1" t="str">
        <f>"95/05/30"</f>
        <v>95/05/30</v>
      </c>
      <c r="AC1128" s="1" t="str">
        <f>"استان سمنان"</f>
        <v>استان سمنان</v>
      </c>
      <c r="AD1128" s="1" t="str">
        <f>"95/06/06"</f>
        <v>95/06/06</v>
      </c>
      <c r="AE1128" s="1" t="str">
        <f t="shared" si="292"/>
        <v>اختتام</v>
      </c>
      <c r="AF1128" s="1" t="str">
        <f>""</f>
        <v/>
      </c>
      <c r="AG1128" s="1" t="str">
        <f>""</f>
        <v/>
      </c>
      <c r="AH1128" s="1" t="str">
        <f>""</f>
        <v/>
      </c>
      <c r="AI1128" s="1" t="str">
        <f>""</f>
        <v/>
      </c>
      <c r="AJ1128" s="1" t="str">
        <f>""</f>
        <v/>
      </c>
      <c r="AK1128" s="1" t="str">
        <f>""</f>
        <v/>
      </c>
    </row>
    <row r="1129" spans="1:37" x14ac:dyDescent="0.2">
      <c r="A1129" s="1">
        <v>151000</v>
      </c>
      <c r="B1129" s="1">
        <v>951700026</v>
      </c>
      <c r="C1129" s="1" t="str">
        <f>"تخليه -كرمان محوررفسنجان -يزدشركت پ بل"</f>
        <v>تخليه -كرمان محوررفسنجان -يزدشركت پ بل</v>
      </c>
      <c r="D1129" s="1">
        <v>5650</v>
      </c>
      <c r="E1129" s="1">
        <v>147180</v>
      </c>
      <c r="F1129" s="1">
        <v>95</v>
      </c>
      <c r="G1129" s="1">
        <v>3820</v>
      </c>
      <c r="H1129" s="1" t="str">
        <f>"95/02/15"</f>
        <v>95/02/15</v>
      </c>
      <c r="I1129" s="1" t="str">
        <f t="shared" si="285"/>
        <v>كيلوگرم</v>
      </c>
      <c r="J1129" s="1" t="str">
        <f>"0000000092"</f>
        <v>0000000092</v>
      </c>
      <c r="K1129" s="1" t="str">
        <f>"قير  PG64-16"</f>
        <v>قير  PG64-16</v>
      </c>
      <c r="L1129" s="1">
        <v>100</v>
      </c>
      <c r="M1129" s="1" t="str">
        <f t="shared" si="291"/>
        <v>مخازن قير اصفهان</v>
      </c>
      <c r="N1129" s="1">
        <v>7034</v>
      </c>
      <c r="O1129" s="1">
        <v>50030778</v>
      </c>
      <c r="P1129" s="1" t="str">
        <f>"  اداره كل راه وشهرسازي كرمان"</f>
        <v xml:space="preserve">  اداره كل راه وشهرسازي كرمان</v>
      </c>
      <c r="Q1129" s="1">
        <v>17</v>
      </c>
      <c r="R1129" s="1" t="str">
        <f>"فروش داخلي تهران - وزارت راه - راه روستايي - روکش"</f>
        <v>فروش داخلي تهران - وزارت راه - راه روستايي - روکش</v>
      </c>
      <c r="S1129" s="1" t="str">
        <f t="shared" si="286"/>
        <v>قرارداد فروش</v>
      </c>
      <c r="T1129" s="1" t="str">
        <f t="shared" si="287"/>
        <v>ندارد</v>
      </c>
      <c r="U1129" s="1" t="str">
        <f>"خضرائي فريدون(4844003)"</f>
        <v>خضرائي فريدون(4844003)</v>
      </c>
      <c r="V1129" s="1">
        <v>951700026</v>
      </c>
      <c r="W1129" s="1">
        <v>951700026</v>
      </c>
      <c r="X1129" s="1" t="str">
        <f>"1395401964"</f>
        <v>1395401964</v>
      </c>
      <c r="Y1129" s="1" t="str">
        <f>"95/02/15"</f>
        <v>95/02/15</v>
      </c>
      <c r="Z1129" s="1" t="str">
        <f>"66252/510"</f>
        <v>66252/510</v>
      </c>
      <c r="AA1129" s="1" t="str">
        <f>"راه روستائي -روكش"</f>
        <v>راه روستائي -روكش</v>
      </c>
      <c r="AB1129" s="1" t="str">
        <f>"94/12/02"</f>
        <v>94/12/02</v>
      </c>
      <c r="AC1129" s="1" t="str">
        <f>"استان كرمان"</f>
        <v>استان كرمان</v>
      </c>
      <c r="AD1129" s="1" t="str">
        <f>"95/02/11"</f>
        <v>95/02/11</v>
      </c>
      <c r="AE1129" s="1" t="str">
        <f t="shared" si="292"/>
        <v>اختتام</v>
      </c>
      <c r="AF1129" s="1" t="str">
        <f>""</f>
        <v/>
      </c>
      <c r="AG1129" s="1" t="str">
        <f>""</f>
        <v/>
      </c>
      <c r="AH1129" s="1" t="str">
        <f>""</f>
        <v/>
      </c>
      <c r="AI1129" s="1" t="str">
        <f>""</f>
        <v/>
      </c>
      <c r="AJ1129" s="1" t="str">
        <f>""</f>
        <v/>
      </c>
      <c r="AK1129" s="1" t="str">
        <f>""</f>
        <v/>
      </c>
    </row>
    <row r="1130" spans="1:37" x14ac:dyDescent="0.2">
      <c r="A1130" s="1">
        <v>72740</v>
      </c>
      <c r="B1130" s="1">
        <v>951700240</v>
      </c>
      <c r="C1130" s="1" t="str">
        <f>"تخليه -کرمانشاه- دينور- کارخانه آسفالت دره سبز برناج"</f>
        <v>تخليه -کرمانشاه- دينور- کارخانه آسفالت دره سبز برناج</v>
      </c>
      <c r="D1130" s="1">
        <v>8323</v>
      </c>
      <c r="E1130" s="1">
        <v>70200</v>
      </c>
      <c r="F1130" s="1">
        <v>95</v>
      </c>
      <c r="G1130" s="1">
        <v>2540</v>
      </c>
      <c r="H1130" s="1" t="str">
        <f>"95/08/04"</f>
        <v>95/08/04</v>
      </c>
      <c r="I1130" s="1" t="str">
        <f t="shared" si="285"/>
        <v>كيلوگرم</v>
      </c>
      <c r="J1130" s="1" t="str">
        <f>"0000000091"</f>
        <v>0000000091</v>
      </c>
      <c r="K1130" s="1" t="str">
        <f>"قير  PG64-22"</f>
        <v>قير  PG64-22</v>
      </c>
      <c r="L1130" s="1">
        <v>100</v>
      </c>
      <c r="M1130" s="1" t="str">
        <f t="shared" si="291"/>
        <v>مخازن قير اصفهان</v>
      </c>
      <c r="N1130" s="1">
        <v>11033</v>
      </c>
      <c r="O1130" s="1">
        <v>50032254</v>
      </c>
      <c r="P1130" s="1" t="str">
        <f>"  مرمت گران راه گستر"</f>
        <v xml:space="preserve">  مرمت گران راه گستر</v>
      </c>
      <c r="Q1130" s="1">
        <v>17</v>
      </c>
      <c r="R1130" s="1" t="str">
        <f>"فروش داخلي تهران - وزارت راه - راه روستايي - روکش"</f>
        <v>فروش داخلي تهران - وزارت راه - راه روستايي - روکش</v>
      </c>
      <c r="S1130" s="1" t="str">
        <f t="shared" si="286"/>
        <v>قرارداد فروش</v>
      </c>
      <c r="T1130" s="1" t="str">
        <f t="shared" si="287"/>
        <v>ندارد</v>
      </c>
      <c r="U1130" s="1" t="str">
        <f>"حاجيلوئي علي اصغر(2842019)"</f>
        <v>حاجيلوئي علي اصغر(2842019)</v>
      </c>
      <c r="V1130" s="1">
        <v>951700240</v>
      </c>
      <c r="W1130" s="1">
        <v>951700240</v>
      </c>
      <c r="X1130" s="1" t="str">
        <f>"1395427144"</f>
        <v>1395427144</v>
      </c>
      <c r="Y1130" s="1" t="str">
        <f>"95/08/04"</f>
        <v>95/08/04</v>
      </c>
      <c r="Z1130" s="1" t="str">
        <f>"25355/510"</f>
        <v>25355/510</v>
      </c>
      <c r="AA1130" s="1" t="str">
        <f>"راه روستائي -روكش"</f>
        <v>راه روستائي -روكش</v>
      </c>
      <c r="AB1130" s="1" t="str">
        <f>"95/06/01"</f>
        <v>95/06/01</v>
      </c>
      <c r="AC1130" s="1" t="str">
        <f>"لرستان"</f>
        <v>لرستان</v>
      </c>
      <c r="AD1130" s="1" t="str">
        <f>"95/06/07"</f>
        <v>95/06/07</v>
      </c>
      <c r="AE1130" s="1" t="str">
        <f t="shared" si="292"/>
        <v>اختتام</v>
      </c>
      <c r="AF1130" s="1" t="str">
        <f>""</f>
        <v/>
      </c>
      <c r="AG1130" s="1" t="str">
        <f>""</f>
        <v/>
      </c>
      <c r="AH1130" s="1" t="str">
        <f>""</f>
        <v/>
      </c>
      <c r="AI1130" s="1" t="str">
        <f>""</f>
        <v/>
      </c>
      <c r="AJ1130" s="1" t="str">
        <f>""</f>
        <v/>
      </c>
      <c r="AK1130" s="1" t="str">
        <f>""</f>
        <v/>
      </c>
    </row>
    <row r="1131" spans="1:37" x14ac:dyDescent="0.2">
      <c r="A1131" s="1">
        <v>800000</v>
      </c>
      <c r="B1131" s="1">
        <v>951900151</v>
      </c>
      <c r="C1131" s="1" t="str">
        <f>"تخليه-خراسان جنوبي-قاين-کارخانه آسفالت محدوده آرين شهر"</f>
        <v>تخليه-خراسان جنوبي-قاين-کارخانه آسفالت محدوده آرين شهر</v>
      </c>
      <c r="D1131" s="1">
        <v>7276</v>
      </c>
      <c r="E1131" s="1">
        <v>777900</v>
      </c>
      <c r="F1131" s="1">
        <v>95</v>
      </c>
      <c r="G1131" s="1">
        <v>22100</v>
      </c>
      <c r="H1131" s="1" t="str">
        <f>"95/07/04"</f>
        <v>95/07/04</v>
      </c>
      <c r="I1131" s="1" t="str">
        <f t="shared" si="285"/>
        <v>كيلوگرم</v>
      </c>
      <c r="J1131" s="1" t="str">
        <f>"0000000091"</f>
        <v>0000000091</v>
      </c>
      <c r="K1131" s="1" t="str">
        <f>"قير  PG64-22"</f>
        <v>قير  PG64-22</v>
      </c>
      <c r="L1131" s="1">
        <v>100</v>
      </c>
      <c r="M1131" s="1" t="str">
        <f t="shared" si="291"/>
        <v>مخازن قير اصفهان</v>
      </c>
      <c r="N1131" s="1">
        <v>11053</v>
      </c>
      <c r="O1131" s="1">
        <v>50031924</v>
      </c>
      <c r="P1131" s="1" t="str">
        <f>"  آوارادين شرق"</f>
        <v xml:space="preserve">  آوارادين شرق</v>
      </c>
      <c r="Q1131" s="1">
        <v>19</v>
      </c>
      <c r="R11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31" s="1" t="str">
        <f t="shared" si="286"/>
        <v>قرارداد فروش</v>
      </c>
      <c r="T1131" s="1" t="str">
        <f t="shared" si="287"/>
        <v>ندارد</v>
      </c>
      <c r="U1131" s="1" t="str">
        <f>"كاردان اسپادان راه مصطفي  (1911100)"</f>
        <v>كاردان اسپادان راه مصطفي  (1911100)</v>
      </c>
      <c r="V1131" s="1">
        <v>951900151</v>
      </c>
      <c r="W1131" s="1">
        <v>951900151</v>
      </c>
      <c r="X1131" s="1" t="str">
        <f>"1395433639"</f>
        <v>1395433639</v>
      </c>
      <c r="Y1131" s="1" t="str">
        <f>"95/07/04"</f>
        <v>95/07/04</v>
      </c>
      <c r="Z1131" s="1" t="str">
        <f>"30936/510"</f>
        <v>30936/510</v>
      </c>
      <c r="AA1131" s="1" t="str">
        <f>"سازمان راهداري وحمل نقل جاده اي"</f>
        <v>سازمان راهداري وحمل نقل جاده اي</v>
      </c>
      <c r="AB1131" s="1" t="str">
        <f>"95/06/29"</f>
        <v>95/06/29</v>
      </c>
      <c r="AC1131" s="1" t="str">
        <f>"خراسان جنوبي"</f>
        <v>خراسان جنوبي</v>
      </c>
      <c r="AD1131" s="1" t="str">
        <f>"95/07/04"</f>
        <v>95/07/04</v>
      </c>
      <c r="AE1131" s="1" t="str">
        <f t="shared" si="292"/>
        <v>اختتام</v>
      </c>
      <c r="AF1131" s="1" t="str">
        <f>""</f>
        <v/>
      </c>
      <c r="AG1131" s="1" t="str">
        <f>""</f>
        <v/>
      </c>
      <c r="AH1131" s="1" t="str">
        <f>""</f>
        <v/>
      </c>
      <c r="AI1131" s="1" t="str">
        <f>""</f>
        <v/>
      </c>
      <c r="AJ1131" s="1" t="str">
        <f>""</f>
        <v/>
      </c>
      <c r="AK1131" s="1" t="str">
        <f>""</f>
        <v/>
      </c>
    </row>
    <row r="1132" spans="1:37" x14ac:dyDescent="0.2">
      <c r="A1132" s="1">
        <v>100000</v>
      </c>
      <c r="B1132" s="1">
        <v>951900126</v>
      </c>
      <c r="C1132" s="1" t="str">
        <f>"تخليه -اصفهان -كيلومتر30جاده اصفهان -تهران -جاده ضايعات سنگ بريها-كارگاه زرين سپاهان"</f>
        <v>تخليه -اصفهان -كيلومتر30جاده اصفهان -تهران -جاده ضايعات سنگ بريها-كارگاه زرين سپاهان</v>
      </c>
      <c r="D1132" s="1">
        <v>7026</v>
      </c>
      <c r="E1132" s="1">
        <v>98860</v>
      </c>
      <c r="F1132" s="1">
        <v>95</v>
      </c>
      <c r="G1132" s="1">
        <v>1140</v>
      </c>
      <c r="H1132" s="1" t="str">
        <f>"95/05/26"</f>
        <v>95/05/26</v>
      </c>
      <c r="I1132" s="1" t="str">
        <f t="shared" si="285"/>
        <v>كيلوگرم</v>
      </c>
      <c r="J1132" s="1" t="str">
        <f>"0000000094"</f>
        <v>0000000094</v>
      </c>
      <c r="K1132" s="1" t="str">
        <f>"قير  PG70-10"</f>
        <v>قير  PG70-10</v>
      </c>
      <c r="L1132" s="1">
        <v>100</v>
      </c>
      <c r="M1132" s="1" t="str">
        <f t="shared" si="291"/>
        <v>مخازن قير اصفهان</v>
      </c>
      <c r="N1132" s="1">
        <v>7140</v>
      </c>
      <c r="O1132" s="1">
        <v>50031560</v>
      </c>
      <c r="P1132" s="1" t="str">
        <f>"  زرين سپاهان"</f>
        <v xml:space="preserve">  زرين سپاهان</v>
      </c>
      <c r="Q1132" s="1">
        <v>19</v>
      </c>
      <c r="R113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32" s="1" t="str">
        <f t="shared" si="286"/>
        <v>قرارداد فروش</v>
      </c>
      <c r="T1132" s="1" t="str">
        <f t="shared" si="287"/>
        <v>ندارد</v>
      </c>
      <c r="U1132" s="1" t="str">
        <f>"مرادي نجاتعلي(1020ج89)"</f>
        <v>مرادي نجاتعلي(1020ج89)</v>
      </c>
      <c r="V1132" s="1">
        <v>951900126</v>
      </c>
      <c r="W1132" s="1">
        <v>951900126</v>
      </c>
      <c r="X1132" s="1" t="str">
        <f>"1395424222"</f>
        <v>1395424222</v>
      </c>
      <c r="Y1132" s="1" t="str">
        <f>"95/05/26"</f>
        <v>95/05/26</v>
      </c>
      <c r="Z1132" s="1" t="str">
        <f>"22703/510"</f>
        <v>22703/510</v>
      </c>
      <c r="AA1132" s="1" t="str">
        <f>"سازمان راهداري وحمل نقل جاده اي"</f>
        <v>سازمان راهداري وحمل نقل جاده اي</v>
      </c>
      <c r="AB1132" s="1" t="str">
        <f>"95/05/19"</f>
        <v>95/05/19</v>
      </c>
      <c r="AC1132" s="1" t="str">
        <f>"استان اصفهان"</f>
        <v>استان اصفهان</v>
      </c>
      <c r="AD1132" s="1" t="str">
        <f>"95/05/26"</f>
        <v>95/05/26</v>
      </c>
      <c r="AE1132" s="1" t="str">
        <f t="shared" si="292"/>
        <v>اختتام</v>
      </c>
      <c r="AF1132" s="1" t="str">
        <f>""</f>
        <v/>
      </c>
      <c r="AG1132" s="1" t="str">
        <f>""</f>
        <v/>
      </c>
      <c r="AH1132" s="1" t="str">
        <f>""</f>
        <v/>
      </c>
      <c r="AI1132" s="1" t="str">
        <f>""</f>
        <v/>
      </c>
      <c r="AJ1132" s="1" t="str">
        <f>""</f>
        <v/>
      </c>
      <c r="AK1132" s="1" t="str">
        <f>""</f>
        <v/>
      </c>
    </row>
    <row r="1133" spans="1:37" x14ac:dyDescent="0.2">
      <c r="A1133" s="1">
        <v>1000000</v>
      </c>
      <c r="B1133" s="1">
        <v>951800024</v>
      </c>
      <c r="C1133" s="1" t="str">
        <f>"تخليه-پروژه آزاد راه کنارگذر غربي اصفهان"</f>
        <v>تخليه-پروژه آزاد راه کنارگذر غربي اصفهان</v>
      </c>
      <c r="D1133" s="1">
        <v>6250</v>
      </c>
      <c r="E1133" s="1">
        <v>1000000</v>
      </c>
      <c r="F1133" s="1">
        <v>95</v>
      </c>
      <c r="G1133" s="1">
        <v>0</v>
      </c>
      <c r="H1133" s="1" t="str">
        <f>"95/04/09"</f>
        <v>95/04/09</v>
      </c>
      <c r="I1133" s="1" t="str">
        <f t="shared" si="285"/>
        <v>كيلوگرم</v>
      </c>
      <c r="J1133" s="1" t="str">
        <f>"0000000092"</f>
        <v>0000000092</v>
      </c>
      <c r="K1133" s="1" t="str">
        <f>"قير  PG64-16"</f>
        <v>قير  PG64-16</v>
      </c>
      <c r="L1133" s="1">
        <v>100</v>
      </c>
      <c r="M1133" s="1" t="str">
        <f t="shared" si="291"/>
        <v>مخازن قير اصفهان</v>
      </c>
      <c r="N1133" s="1">
        <v>7079</v>
      </c>
      <c r="O1133" s="1">
        <v>50031276</v>
      </c>
      <c r="P1133" s="1" t="str">
        <f>"  ساختماني سيمين سپاهان"</f>
        <v xml:space="preserve">  ساختماني سيمين سپاهان</v>
      </c>
      <c r="Q1133" s="1">
        <v>18</v>
      </c>
      <c r="R1133" s="1" t="str">
        <f>"فروش داخلي تهران - وزارت راه - شرکت ساخت و توسعه راهها"</f>
        <v>فروش داخلي تهران - وزارت راه - شرکت ساخت و توسعه راهها</v>
      </c>
      <c r="S1133" s="1" t="str">
        <f t="shared" si="286"/>
        <v>قرارداد فروش</v>
      </c>
      <c r="T1133" s="1" t="str">
        <f t="shared" si="287"/>
        <v>ندارد</v>
      </c>
      <c r="U1133" s="1" t="str">
        <f>"افناني اسفندآبادي سعيد(4844002)"</f>
        <v>افناني اسفندآبادي سعيد(4844002)</v>
      </c>
      <c r="V1133" s="1">
        <v>951800024</v>
      </c>
      <c r="W1133" s="1">
        <v>951800024</v>
      </c>
      <c r="X1133" s="1" t="str">
        <f>"1395412237"</f>
        <v>1395412237</v>
      </c>
      <c r="Y1133" s="1" t="str">
        <f>"95/04/09"</f>
        <v>95/04/09</v>
      </c>
      <c r="Z1133" s="1" t="str">
        <f>"14732/510"</f>
        <v>14732/510</v>
      </c>
      <c r="AA1133" s="1" t="str">
        <f>"شركت  ساخت وتوسعه راهها"</f>
        <v>شركت  ساخت وتوسعه راهها</v>
      </c>
      <c r="AB1133" s="1" t="str">
        <f>"95/04/08"</f>
        <v>95/04/08</v>
      </c>
      <c r="AC1133" s="1" t="str">
        <f>"استان اصفهان"</f>
        <v>استان اصفهان</v>
      </c>
      <c r="AD1133" s="1" t="str">
        <f>"95/04/09"</f>
        <v>95/04/09</v>
      </c>
      <c r="AE1133" s="1" t="str">
        <f t="shared" si="292"/>
        <v>اختتام</v>
      </c>
      <c r="AF1133" s="1" t="str">
        <f>""</f>
        <v/>
      </c>
      <c r="AG1133" s="1" t="str">
        <f>""</f>
        <v/>
      </c>
      <c r="AH1133" s="1" t="str">
        <f>""</f>
        <v/>
      </c>
      <c r="AI1133" s="1" t="str">
        <f>""</f>
        <v/>
      </c>
      <c r="AJ1133" s="1" t="str">
        <f>""</f>
        <v/>
      </c>
      <c r="AK1133" s="1" t="str">
        <f>""</f>
        <v/>
      </c>
    </row>
    <row r="1134" spans="1:37" x14ac:dyDescent="0.2">
      <c r="A1134" s="1">
        <v>1000000</v>
      </c>
      <c r="B1134" s="1">
        <v>951900062</v>
      </c>
      <c r="C1134" s="1" t="str">
        <f>"تخليه -خوربيابانك به سمت طبس -24كيلومتربعدازخوركارگاه شركت زرين سپاهان"</f>
        <v>تخليه -خوربيابانك به سمت طبس -24كيلومتربعدازخوركارگاه شركت زرين سپاهان</v>
      </c>
      <c r="D1134" s="1">
        <v>6726</v>
      </c>
      <c r="E1134" s="1">
        <v>999560</v>
      </c>
      <c r="F1134" s="1">
        <v>95</v>
      </c>
      <c r="G1134" s="1">
        <v>440</v>
      </c>
      <c r="H1134" s="1" t="str">
        <f>"95/05/04"</f>
        <v>95/05/04</v>
      </c>
      <c r="I1134" s="1" t="str">
        <f t="shared" si="285"/>
        <v>كيلوگرم</v>
      </c>
      <c r="J1134" s="1" t="str">
        <f>"0000000092"</f>
        <v>0000000092</v>
      </c>
      <c r="K1134" s="1" t="str">
        <f>"قير  PG64-16"</f>
        <v>قير  PG64-16</v>
      </c>
      <c r="L1134" s="1">
        <v>100</v>
      </c>
      <c r="M1134" s="1" t="str">
        <f t="shared" si="291"/>
        <v>مخازن قير اصفهان</v>
      </c>
      <c r="N1134" s="1">
        <v>7140</v>
      </c>
      <c r="O1134" s="1">
        <v>50031339</v>
      </c>
      <c r="P1134" s="1" t="str">
        <f>"  زرين سپاهان"</f>
        <v xml:space="preserve">  زرين سپاهان</v>
      </c>
      <c r="Q1134" s="1">
        <v>19</v>
      </c>
      <c r="R11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34" s="1" t="str">
        <f t="shared" si="286"/>
        <v>قرارداد فروش</v>
      </c>
      <c r="T1134" s="1" t="str">
        <f t="shared" si="287"/>
        <v>ندارد</v>
      </c>
      <c r="U1134" s="1" t="str">
        <f>"مرادي نجاتعلي(1020ج89)"</f>
        <v>مرادي نجاتعلي(1020ج89)</v>
      </c>
      <c r="V1134" s="1">
        <v>951900062</v>
      </c>
      <c r="W1134" s="1">
        <v>951900062</v>
      </c>
      <c r="X1134" s="1" t="str">
        <f>"1395417769"</f>
        <v>1395417769</v>
      </c>
      <c r="Y1134" s="1" t="str">
        <f>"95/05/04"</f>
        <v>95/05/04</v>
      </c>
      <c r="Z1134" s="1" t="str">
        <f>"18942/510"</f>
        <v>18942/510</v>
      </c>
      <c r="AA1134" s="1" t="str">
        <f>"سازمان راهداري وحمل نقل جاده اي"</f>
        <v>سازمان راهداري وحمل نقل جاده اي</v>
      </c>
      <c r="AB1134" s="1" t="str">
        <f>"95/04/30"</f>
        <v>95/04/30</v>
      </c>
      <c r="AC1134" s="1" t="str">
        <f>"خراسان جنوبي"</f>
        <v>خراسان جنوبي</v>
      </c>
      <c r="AD1134" s="1" t="str">
        <f>"95/05/04"</f>
        <v>95/05/04</v>
      </c>
      <c r="AE1134" s="1" t="str">
        <f t="shared" si="292"/>
        <v>اختتام</v>
      </c>
      <c r="AF1134" s="1" t="str">
        <f>""</f>
        <v/>
      </c>
      <c r="AG1134" s="1" t="str">
        <f>""</f>
        <v/>
      </c>
      <c r="AH1134" s="1" t="str">
        <f>""</f>
        <v/>
      </c>
      <c r="AI1134" s="1" t="str">
        <f>""</f>
        <v/>
      </c>
      <c r="AJ1134" s="1" t="str">
        <f>""</f>
        <v/>
      </c>
      <c r="AK1134" s="1" t="str">
        <f>""</f>
        <v/>
      </c>
    </row>
    <row r="1135" spans="1:37" x14ac:dyDescent="0.2">
      <c r="A1135" s="1">
        <v>140060</v>
      </c>
      <c r="B1135" s="1">
        <v>951900247</v>
      </c>
      <c r="C1135" s="1" t="str">
        <f>"تخليه اصفهان سه راهي پليس راه جندق كيلومتر 5خور وبيابانك"</f>
        <v>تخليه اصفهان سه راهي پليس راه جندق كيلومتر 5خور وبيابانك</v>
      </c>
      <c r="D1135" s="1">
        <v>9511</v>
      </c>
      <c r="E1135" s="1">
        <v>138840</v>
      </c>
      <c r="F1135" s="1">
        <v>95</v>
      </c>
      <c r="G1135" s="1">
        <v>1220</v>
      </c>
      <c r="H1135" s="1" t="str">
        <f>"95/11/03"</f>
        <v>95/11/03</v>
      </c>
      <c r="I1135" s="1" t="str">
        <f t="shared" si="285"/>
        <v>كيلوگرم</v>
      </c>
      <c r="J1135" s="1" t="str">
        <f>"0000000092"</f>
        <v>0000000092</v>
      </c>
      <c r="K1135" s="1" t="str">
        <f>"قير  PG64-16"</f>
        <v>قير  PG64-16</v>
      </c>
      <c r="L1135" s="1">
        <v>100</v>
      </c>
      <c r="M1135" s="1" t="str">
        <f t="shared" si="291"/>
        <v>مخازن قير اصفهان</v>
      </c>
      <c r="N1135" s="1">
        <v>7140</v>
      </c>
      <c r="O1135" s="1">
        <v>50033461</v>
      </c>
      <c r="P1135" s="1" t="str">
        <f>"  زرين سپاهان"</f>
        <v xml:space="preserve">  زرين سپاهان</v>
      </c>
      <c r="Q1135" s="1">
        <v>19</v>
      </c>
      <c r="R11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35" s="1" t="str">
        <f t="shared" si="286"/>
        <v>قرارداد فروش</v>
      </c>
      <c r="T1135" s="1" t="str">
        <f t="shared" si="287"/>
        <v>ندارد</v>
      </c>
      <c r="U1135" s="1" t="str">
        <f>"مرادي نجاتعلي(1020ج89)"</f>
        <v>مرادي نجاتعلي(1020ج89)</v>
      </c>
      <c r="V1135" s="1">
        <v>951900247</v>
      </c>
      <c r="W1135" s="1">
        <v>951900247</v>
      </c>
      <c r="X1135" s="1" t="str">
        <f>"1395445248"</f>
        <v>1395445248</v>
      </c>
      <c r="Y1135" s="1" t="str">
        <f>"95/11/03"</f>
        <v>95/11/03</v>
      </c>
      <c r="Z1135" s="1" t="str">
        <f>"39742/710"</f>
        <v>39742/710</v>
      </c>
      <c r="AA1135" s="1" t="str">
        <f>"سازمان راهداري وحمل نقل جاده اي"</f>
        <v>سازمان راهداري وحمل نقل جاده اي</v>
      </c>
      <c r="AB1135" s="1" t="str">
        <f>"95/08/15"</f>
        <v>95/08/15</v>
      </c>
      <c r="AC1135" s="1" t="str">
        <f>"خراسان جنوبي"</f>
        <v>خراسان جنوبي</v>
      </c>
      <c r="AD1135" s="1" t="str">
        <f>"95/08/25"</f>
        <v>95/08/25</v>
      </c>
      <c r="AE1135" s="1" t="str">
        <f t="shared" si="292"/>
        <v>اختتام</v>
      </c>
      <c r="AF1135" s="1" t="str">
        <f>""</f>
        <v/>
      </c>
      <c r="AG1135" s="1" t="str">
        <f>""</f>
        <v/>
      </c>
      <c r="AH1135" s="1" t="str">
        <f>""</f>
        <v/>
      </c>
      <c r="AI1135" s="1" t="str">
        <f>""</f>
        <v/>
      </c>
      <c r="AJ1135" s="1" t="str">
        <f>""</f>
        <v/>
      </c>
      <c r="AK1135" s="1" t="str">
        <f>""</f>
        <v/>
      </c>
    </row>
    <row r="1136" spans="1:37" x14ac:dyDescent="0.2">
      <c r="A1136" s="1">
        <v>500000</v>
      </c>
      <c r="B1136" s="1">
        <v>951800059</v>
      </c>
      <c r="C1136" s="1" t="str">
        <f>"تخليه - شيراز-کازرون -سه راهي راهدار -کارخانه آسفالت جلالي"</f>
        <v>تخليه - شيراز-کازرون -سه راهي راهدار -کارخانه آسفالت جلالي</v>
      </c>
      <c r="D1136" s="1">
        <v>7176</v>
      </c>
      <c r="E1136" s="1">
        <v>467540</v>
      </c>
      <c r="F1136" s="1">
        <v>95</v>
      </c>
      <c r="G1136" s="1">
        <v>32460</v>
      </c>
      <c r="H1136" s="1" t="str">
        <f>"95/06/06"</f>
        <v>95/06/06</v>
      </c>
      <c r="I1136" s="1" t="str">
        <f t="shared" si="285"/>
        <v>كيلوگرم</v>
      </c>
      <c r="J1136" s="1" t="str">
        <f>"0000000092"</f>
        <v>0000000092</v>
      </c>
      <c r="K1136" s="1" t="str">
        <f>"قير  PG64-16"</f>
        <v>قير  PG64-16</v>
      </c>
      <c r="L1136" s="1">
        <v>100</v>
      </c>
      <c r="M1136" s="1" t="str">
        <f t="shared" si="291"/>
        <v>مخازن قير اصفهان</v>
      </c>
      <c r="N1136" s="1">
        <v>8005</v>
      </c>
      <c r="O1136" s="1">
        <v>50031653</v>
      </c>
      <c r="P1136" s="1" t="str">
        <f>"  جهاد نصرخراسان(1841074)"</f>
        <v xml:space="preserve">  جهاد نصرخراسان(1841074)</v>
      </c>
      <c r="Q1136" s="1">
        <v>18</v>
      </c>
      <c r="R1136" s="1" t="str">
        <f>"فروش داخلي تهران - وزارت راه - شرکت ساخت و توسعه راهها"</f>
        <v>فروش داخلي تهران - وزارت راه - شرکت ساخت و توسعه راهها</v>
      </c>
      <c r="S1136" s="1" t="str">
        <f t="shared" si="286"/>
        <v>قرارداد فروش</v>
      </c>
      <c r="T1136" s="1" t="str">
        <f t="shared" si="287"/>
        <v>ندارد</v>
      </c>
      <c r="U1136" s="1" t="str">
        <f>"اژدري مسعود(4844011)"</f>
        <v>اژدري مسعود(4844011)</v>
      </c>
      <c r="V1136" s="1">
        <v>951800059</v>
      </c>
      <c r="W1136" s="1">
        <v>951800059</v>
      </c>
      <c r="X1136" s="1" t="str">
        <f>"1395426946"</f>
        <v>1395426946</v>
      </c>
      <c r="Y1136" s="1" t="str">
        <f>"95/06/06"</f>
        <v>95/06/06</v>
      </c>
      <c r="Z1136" s="1" t="str">
        <f>"24479/510"</f>
        <v>24479/510</v>
      </c>
      <c r="AA1136" s="1" t="str">
        <f>"شركت  ساخت وتوسعه راهها"</f>
        <v>شركت  ساخت وتوسعه راهها</v>
      </c>
      <c r="AB1136" s="1" t="str">
        <f>"95/05/30"</f>
        <v>95/05/30</v>
      </c>
      <c r="AC1136" s="1" t="str">
        <f>"استان فارس"</f>
        <v>استان فارس</v>
      </c>
      <c r="AD1136" s="1" t="str">
        <f>"95/06/06"</f>
        <v>95/06/06</v>
      </c>
      <c r="AE1136" s="1" t="str">
        <f t="shared" si="292"/>
        <v>اختتام</v>
      </c>
      <c r="AF1136" s="1" t="str">
        <f>""</f>
        <v/>
      </c>
      <c r="AG1136" s="1" t="str">
        <f>""</f>
        <v/>
      </c>
      <c r="AH1136" s="1" t="str">
        <f>""</f>
        <v/>
      </c>
      <c r="AI1136" s="1" t="str">
        <f>""</f>
        <v/>
      </c>
      <c r="AJ1136" s="1" t="str">
        <f>""</f>
        <v/>
      </c>
      <c r="AK1136" s="1" t="str">
        <f>""</f>
        <v/>
      </c>
    </row>
    <row r="1137" spans="1:37" x14ac:dyDescent="0.2">
      <c r="A1137" s="1">
        <v>500000</v>
      </c>
      <c r="B1137" s="1">
        <v>951800045</v>
      </c>
      <c r="C1137" s="1" t="str">
        <f>"تخليه - خراسان رضوي -کيلومتر90 جاده مشهد-سرخس-کارگاه شرکت جهاد نصر خراسان"</f>
        <v>تخليه - خراسان رضوي -کيلومتر90 جاده مشهد-سرخس-کارگاه شرکت جهاد نصر خراسان</v>
      </c>
      <c r="D1137" s="1">
        <v>6726</v>
      </c>
      <c r="E1137" s="1">
        <v>497840</v>
      </c>
      <c r="F1137" s="1">
        <v>95</v>
      </c>
      <c r="G1137" s="1">
        <v>2160</v>
      </c>
      <c r="H1137" s="1" t="str">
        <f>"95/05/18"</f>
        <v>95/05/18</v>
      </c>
      <c r="I1137" s="1" t="str">
        <f t="shared" si="285"/>
        <v>كيلوگرم</v>
      </c>
      <c r="J1137" s="1" t="str">
        <f>"0000000092"</f>
        <v>0000000092</v>
      </c>
      <c r="K1137" s="1" t="str">
        <f>"قير  PG64-16"</f>
        <v>قير  PG64-16</v>
      </c>
      <c r="L1137" s="1">
        <v>100</v>
      </c>
      <c r="M1137" s="1" t="str">
        <f t="shared" si="291"/>
        <v>مخازن قير اصفهان</v>
      </c>
      <c r="N1137" s="1">
        <v>8005</v>
      </c>
      <c r="O1137" s="1">
        <v>50031665</v>
      </c>
      <c r="P1137" s="1" t="str">
        <f>"  جهاد نصرخراسان(1841074)"</f>
        <v xml:space="preserve">  جهاد نصرخراسان(1841074)</v>
      </c>
      <c r="Q1137" s="1">
        <v>18</v>
      </c>
      <c r="R1137" s="1" t="str">
        <f>"فروش داخلي تهران - وزارت راه - شرکت ساخت و توسعه راهها"</f>
        <v>فروش داخلي تهران - وزارت راه - شرکت ساخت و توسعه راهها</v>
      </c>
      <c r="S1137" s="1" t="str">
        <f t="shared" si="286"/>
        <v>قرارداد فروش</v>
      </c>
      <c r="T1137" s="1" t="str">
        <f t="shared" si="287"/>
        <v>ندارد</v>
      </c>
      <c r="U1137" s="1" t="str">
        <f>"بابامحمدي عنايت اله(4844000)"</f>
        <v>بابامحمدي عنايت اله(4844000)</v>
      </c>
      <c r="V1137" s="1">
        <v>951800045</v>
      </c>
      <c r="W1137" s="1">
        <v>951800045</v>
      </c>
      <c r="X1137" s="1" t="str">
        <f>"1395421746"</f>
        <v>1395421746</v>
      </c>
      <c r="Y1137" s="1" t="str">
        <f>"95/05/18"</f>
        <v>95/05/18</v>
      </c>
      <c r="Z1137" s="1" t="str">
        <f>"20845/510"</f>
        <v>20845/510</v>
      </c>
      <c r="AA1137" s="1" t="str">
        <f>"شركت  ساخت وتوسعه راهها"</f>
        <v>شركت  ساخت وتوسعه راهها</v>
      </c>
      <c r="AB1137" s="1" t="str">
        <f>"95/05/11"</f>
        <v>95/05/11</v>
      </c>
      <c r="AC1137" s="1" t="str">
        <f>"خراسان رضوي"</f>
        <v>خراسان رضوي</v>
      </c>
      <c r="AD1137" s="1" t="str">
        <f>""</f>
        <v/>
      </c>
      <c r="AE1137" s="1" t="str">
        <f t="shared" si="292"/>
        <v>اختتام</v>
      </c>
      <c r="AF1137" s="1" t="str">
        <f>""</f>
        <v/>
      </c>
      <c r="AG1137" s="1" t="str">
        <f>""</f>
        <v/>
      </c>
      <c r="AH1137" s="1" t="str">
        <f>""</f>
        <v/>
      </c>
      <c r="AI1137" s="1" t="str">
        <f>""</f>
        <v/>
      </c>
      <c r="AJ1137" s="1" t="str">
        <f>""</f>
        <v/>
      </c>
      <c r="AK1137" s="1" t="str">
        <f>""</f>
        <v/>
      </c>
    </row>
    <row r="1138" spans="1:37" x14ac:dyDescent="0.2">
      <c r="A1138" s="1">
        <v>370000</v>
      </c>
      <c r="B1138" s="1">
        <v>951400023</v>
      </c>
      <c r="C1138" s="1" t="str">
        <f>"تخليه -خراسان جنوبي اسفدن -كارخانه توس راديه"</f>
        <v>تخليه -خراسان جنوبي اسفدن -كارخانه توس راديه</v>
      </c>
      <c r="D1138" s="1">
        <v>6050</v>
      </c>
      <c r="E1138" s="1">
        <v>369520</v>
      </c>
      <c r="F1138" s="1">
        <v>95</v>
      </c>
      <c r="G1138" s="1">
        <v>480</v>
      </c>
      <c r="H1138" s="1" t="str">
        <f>"95/03/30"</f>
        <v>95/03/30</v>
      </c>
      <c r="I1138" s="1" t="str">
        <f t="shared" si="285"/>
        <v>كيلوگرم</v>
      </c>
      <c r="J1138" s="1" t="str">
        <f t="shared" ref="J1138:J1148" si="293">"0000000091"</f>
        <v>0000000091</v>
      </c>
      <c r="K1138" s="1" t="str">
        <f t="shared" ref="K1138:K1148" si="294">"قير  PG64-22"</f>
        <v>قير  PG64-22</v>
      </c>
      <c r="L1138" s="1">
        <v>100</v>
      </c>
      <c r="M1138" s="1" t="str">
        <f t="shared" si="291"/>
        <v>مخازن قير اصفهان</v>
      </c>
      <c r="N1138" s="1">
        <v>11119</v>
      </c>
      <c r="O1138" s="1">
        <v>50031079</v>
      </c>
      <c r="P1138" s="1" t="str">
        <f>"  نويدگسترزهان"</f>
        <v xml:space="preserve">  نويدگسترزهان</v>
      </c>
      <c r="Q1138" s="1">
        <v>14</v>
      </c>
      <c r="R1138" s="1" t="str">
        <f>"فروش داخلي - وزارت راه - حوزه راه روستايي ساخت"</f>
        <v>فروش داخلي - وزارت راه - حوزه راه روستايي ساخت</v>
      </c>
      <c r="S1138" s="1" t="str">
        <f t="shared" si="286"/>
        <v>قرارداد فروش</v>
      </c>
      <c r="T1138" s="1" t="str">
        <f t="shared" si="287"/>
        <v>ندارد</v>
      </c>
      <c r="U1138" s="1" t="str">
        <f>"آقا علي منوچهر(1016ج89)"</f>
        <v>آقا علي منوچهر(1016ج89)</v>
      </c>
      <c r="V1138" s="1">
        <v>951400023</v>
      </c>
      <c r="W1138" s="1">
        <v>951400023</v>
      </c>
      <c r="X1138" s="1" t="str">
        <f>"1395410160"</f>
        <v>1395410160</v>
      </c>
      <c r="Y1138" s="1" t="str">
        <f>"95/03/30"</f>
        <v>95/03/30</v>
      </c>
      <c r="Z1138" s="1" t="str">
        <f>"12325/510"</f>
        <v>12325/510</v>
      </c>
      <c r="AA1138" s="1" t="str">
        <f>"راه وروستايي -ساخت"</f>
        <v>راه وروستايي -ساخت</v>
      </c>
      <c r="AB1138" s="1" t="str">
        <f>"95/03/25"</f>
        <v>95/03/25</v>
      </c>
      <c r="AC1138" s="1" t="str">
        <f>"خراسان جنوبي"</f>
        <v>خراسان جنوبي</v>
      </c>
      <c r="AD1138" s="1" t="str">
        <f>"95/03/30"</f>
        <v>95/03/30</v>
      </c>
      <c r="AE1138" s="1" t="str">
        <f t="shared" si="292"/>
        <v>اختتام</v>
      </c>
      <c r="AF1138" s="1" t="str">
        <f>""</f>
        <v/>
      </c>
      <c r="AG1138" s="1" t="str">
        <f>""</f>
        <v/>
      </c>
      <c r="AH1138" s="1" t="str">
        <f>""</f>
        <v/>
      </c>
      <c r="AI1138" s="1" t="str">
        <f>""</f>
        <v/>
      </c>
      <c r="AJ1138" s="1" t="str">
        <f>""</f>
        <v/>
      </c>
      <c r="AK1138" s="1" t="str">
        <f>""</f>
        <v/>
      </c>
    </row>
    <row r="1139" spans="1:37" x14ac:dyDescent="0.2">
      <c r="A1139" s="1">
        <v>500000</v>
      </c>
      <c r="B1139" s="1">
        <v>951900156</v>
      </c>
      <c r="C1139" s="1" t="str">
        <f>"تخليه كرمانشاه محوركرمانشاه -هرسين بعدازپليس راه كيلومتر9روبروي روستاي چهركارخانه آسفالت پل چهر"</f>
        <v>تخليه كرمانشاه محوركرمانشاه -هرسين بعدازپليس راه كيلومتر9روبروي روستاي چهركارخانه آسفالت پل چهر</v>
      </c>
      <c r="D1139" s="1">
        <v>7276</v>
      </c>
      <c r="E1139" s="1">
        <v>455180</v>
      </c>
      <c r="F1139" s="1">
        <v>95</v>
      </c>
      <c r="G1139" s="1">
        <v>44820</v>
      </c>
      <c r="H1139" s="1" t="str">
        <f>"95/07/06"</f>
        <v>95/07/06</v>
      </c>
      <c r="I1139" s="1" t="str">
        <f t="shared" si="285"/>
        <v>كيلوگرم</v>
      </c>
      <c r="J1139" s="1" t="str">
        <f t="shared" si="293"/>
        <v>0000000091</v>
      </c>
      <c r="K1139" s="1" t="str">
        <f t="shared" si="294"/>
        <v>قير  PG64-22</v>
      </c>
      <c r="L1139" s="1">
        <v>100</v>
      </c>
      <c r="M1139" s="1" t="str">
        <f t="shared" si="291"/>
        <v>مخازن قير اصفهان</v>
      </c>
      <c r="N1139" s="1">
        <v>11122</v>
      </c>
      <c r="O1139" s="1">
        <v>50031993</v>
      </c>
      <c r="P1139" s="1" t="str">
        <f>"  اسكان عمران بيستون"</f>
        <v xml:space="preserve">  اسكان عمران بيستون</v>
      </c>
      <c r="Q1139" s="1">
        <v>19</v>
      </c>
      <c r="R113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39" s="1" t="str">
        <f t="shared" si="286"/>
        <v>قرارداد فروش</v>
      </c>
      <c r="T1139" s="1" t="str">
        <f t="shared" si="287"/>
        <v>ندارد</v>
      </c>
      <c r="U1139" s="1" t="str">
        <f>"شمسيان پور حبيب اله(2842034)"</f>
        <v>شمسيان پور حبيب اله(2842034)</v>
      </c>
      <c r="V1139" s="1">
        <v>951900156</v>
      </c>
      <c r="W1139" s="1">
        <v>951900156</v>
      </c>
      <c r="X1139" s="1" t="str">
        <f>"1395434116"</f>
        <v>1395434116</v>
      </c>
      <c r="Y1139" s="1" t="str">
        <f>"95/07/06"</f>
        <v>95/07/06</v>
      </c>
      <c r="Z1139" s="1" t="str">
        <f>"31851/510"</f>
        <v>31851/510</v>
      </c>
      <c r="AA1139" s="1" t="str">
        <f>"سازمان راهداري وحمل نقل جاده اي"</f>
        <v>سازمان راهداري وحمل نقل جاده اي</v>
      </c>
      <c r="AB1139" s="1" t="str">
        <f>"95/07/04"</f>
        <v>95/07/04</v>
      </c>
      <c r="AC1139" s="1" t="str">
        <f>"استان كرمانشاه"</f>
        <v>استان كرمانشاه</v>
      </c>
      <c r="AD1139" s="1" t="str">
        <f>"95/07/06"</f>
        <v>95/07/06</v>
      </c>
      <c r="AE1139" s="1" t="str">
        <f t="shared" si="292"/>
        <v>اختتام</v>
      </c>
      <c r="AF1139" s="1" t="str">
        <f>""</f>
        <v/>
      </c>
      <c r="AG1139" s="1" t="str">
        <f>""</f>
        <v/>
      </c>
      <c r="AH1139" s="1" t="str">
        <f>""</f>
        <v/>
      </c>
      <c r="AI1139" s="1" t="str">
        <f>""</f>
        <v/>
      </c>
      <c r="AJ1139" s="1" t="str">
        <f>""</f>
        <v/>
      </c>
      <c r="AK1139" s="1" t="str">
        <f>""</f>
        <v/>
      </c>
    </row>
    <row r="1140" spans="1:37" x14ac:dyDescent="0.2">
      <c r="A1140" s="1">
        <v>44820</v>
      </c>
      <c r="B1140" s="1">
        <v>951900178</v>
      </c>
      <c r="C1140" s="1" t="str">
        <f>"تخليه كرمانشاه محوركرمانشاه -هرسين بعدازپليس راه كيلومتر9روبروي روستاي چهركارخانه آسفالت پل چهر"</f>
        <v>تخليه كرمانشاه محوركرمانشاه -هرسين بعدازپليس راه كيلومتر9روبروي روستاي چهركارخانه آسفالت پل چهر</v>
      </c>
      <c r="D1140" s="1">
        <v>8323</v>
      </c>
      <c r="E1140" s="1">
        <v>43620</v>
      </c>
      <c r="F1140" s="1">
        <v>95</v>
      </c>
      <c r="G1140" s="1">
        <v>1200</v>
      </c>
      <c r="H1140" s="1" t="str">
        <f>"95/08/06"</f>
        <v>95/08/06</v>
      </c>
      <c r="I1140" s="1" t="str">
        <f t="shared" si="285"/>
        <v>كيلوگرم</v>
      </c>
      <c r="J1140" s="1" t="str">
        <f t="shared" si="293"/>
        <v>0000000091</v>
      </c>
      <c r="K1140" s="1" t="str">
        <f t="shared" si="294"/>
        <v>قير  PG64-22</v>
      </c>
      <c r="L1140" s="1">
        <v>100</v>
      </c>
      <c r="M1140" s="1" t="str">
        <f t="shared" si="291"/>
        <v>مخازن قير اصفهان</v>
      </c>
      <c r="N1140" s="1">
        <v>11122</v>
      </c>
      <c r="O1140" s="1">
        <v>50032318</v>
      </c>
      <c r="P1140" s="1" t="str">
        <f>"  اسكان عمران بيستون"</f>
        <v xml:space="preserve">  اسكان عمران بيستون</v>
      </c>
      <c r="Q1140" s="1">
        <v>19</v>
      </c>
      <c r="R11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40" s="1" t="str">
        <f t="shared" si="286"/>
        <v>قرارداد فروش</v>
      </c>
      <c r="T1140" s="1" t="str">
        <f t="shared" si="287"/>
        <v>ندارد</v>
      </c>
      <c r="U1140" s="1" t="str">
        <f>"شمسيان پور حبيب اله(2842034)"</f>
        <v>شمسيان پور حبيب اله(2842034)</v>
      </c>
      <c r="V1140" s="1">
        <v>951900178</v>
      </c>
      <c r="W1140" s="1">
        <v>951900178</v>
      </c>
      <c r="X1140" s="1" t="str">
        <f>"1395434116"</f>
        <v>1395434116</v>
      </c>
      <c r="Y1140" s="1" t="str">
        <f>"95/08/06"</f>
        <v>95/08/06</v>
      </c>
      <c r="Z1140" s="1" t="str">
        <f>"31851/510"</f>
        <v>31851/510</v>
      </c>
      <c r="AA1140" s="1" t="str">
        <f>"سازمان راهداري وحمل نقل جاده اي"</f>
        <v>سازمان راهداري وحمل نقل جاده اي</v>
      </c>
      <c r="AB1140" s="1" t="str">
        <f>"95/07/04"</f>
        <v>95/07/04</v>
      </c>
      <c r="AC1140" s="1" t="str">
        <f>"استان كرمانشاه"</f>
        <v>استان كرمانشاه</v>
      </c>
      <c r="AD1140" s="1" t="str">
        <f>"95/07/06"</f>
        <v>95/07/06</v>
      </c>
      <c r="AE1140" s="1" t="str">
        <f t="shared" si="292"/>
        <v>اختتام</v>
      </c>
      <c r="AF1140" s="1" t="str">
        <f>""</f>
        <v/>
      </c>
      <c r="AG1140" s="1" t="str">
        <f>""</f>
        <v/>
      </c>
      <c r="AH1140" s="1" t="str">
        <f>""</f>
        <v/>
      </c>
      <c r="AI1140" s="1" t="str">
        <f>""</f>
        <v/>
      </c>
      <c r="AJ1140" s="1" t="str">
        <f>""</f>
        <v/>
      </c>
      <c r="AK1140" s="1" t="str">
        <f>""</f>
        <v/>
      </c>
    </row>
    <row r="1141" spans="1:37" x14ac:dyDescent="0.2">
      <c r="A1141" s="1">
        <v>300000</v>
      </c>
      <c r="B1141" s="1">
        <v>951900275</v>
      </c>
      <c r="C1141" s="1" t="str">
        <f>"تخليه يزد30كيلومتري محوربافق بعدازروستاي فهرج كارخانه آسفالت گسترنصريزد"</f>
        <v>تخليه يزد30كيلومتري محوربافق بعدازروستاي فهرج كارخانه آسفالت گسترنصريزد</v>
      </c>
      <c r="D1141" s="1">
        <v>8854</v>
      </c>
      <c r="E1141" s="1">
        <v>299260</v>
      </c>
      <c r="F1141" s="1">
        <v>95</v>
      </c>
      <c r="G1141" s="1">
        <v>740</v>
      </c>
      <c r="H1141" s="1" t="str">
        <f>"95/12/11"</f>
        <v>95/12/11</v>
      </c>
      <c r="I1141" s="1" t="str">
        <f t="shared" si="285"/>
        <v>كيلوگرم</v>
      </c>
      <c r="J1141" s="1" t="str">
        <f t="shared" si="293"/>
        <v>0000000091</v>
      </c>
      <c r="K1141" s="1" t="str">
        <f t="shared" si="294"/>
        <v>قير  PG64-22</v>
      </c>
      <c r="L1141" s="1">
        <v>100</v>
      </c>
      <c r="M1141" s="1" t="str">
        <f t="shared" si="291"/>
        <v>مخازن قير اصفهان</v>
      </c>
      <c r="N1141" s="1">
        <v>11130</v>
      </c>
      <c r="O1141" s="1">
        <v>50033975</v>
      </c>
      <c r="P1141" s="1" t="str">
        <f>"  داريون راه بنا"</f>
        <v xml:space="preserve">  داريون راه بنا</v>
      </c>
      <c r="Q1141" s="1">
        <v>19</v>
      </c>
      <c r="R11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41" s="1" t="str">
        <f t="shared" si="286"/>
        <v>قرارداد فروش</v>
      </c>
      <c r="T1141" s="1" t="str">
        <f t="shared" si="287"/>
        <v>ندارد</v>
      </c>
      <c r="U1141" s="1" t="str">
        <f>"قانعي محمدرضا(1011ج89)"</f>
        <v>قانعي محمدرضا(1011ج89)</v>
      </c>
      <c r="V1141" s="1">
        <v>951900275</v>
      </c>
      <c r="W1141" s="1">
        <v>951900275</v>
      </c>
      <c r="X1141" s="1" t="str">
        <f>"1395468781"</f>
        <v>1395468781</v>
      </c>
      <c r="Y1141" s="1" t="str">
        <f>"95/12/11"</f>
        <v>95/12/11</v>
      </c>
      <c r="Z1141" s="1" t="str">
        <f>"61957/710"</f>
        <v>61957/710</v>
      </c>
      <c r="AA1141" s="1" t="str">
        <f>"سازمان راهداري وحمل نقل جاده اي"</f>
        <v>سازمان راهداري وحمل نقل جاده اي</v>
      </c>
      <c r="AB1141" s="1" t="str">
        <f>"95/12/08"</f>
        <v>95/12/08</v>
      </c>
      <c r="AC1141" s="1" t="str">
        <f>"استان يزد"</f>
        <v>استان يزد</v>
      </c>
      <c r="AD1141" s="1" t="str">
        <f>"95/12/11"</f>
        <v>95/12/11</v>
      </c>
      <c r="AE1141" s="1" t="str">
        <f t="shared" si="292"/>
        <v>اختتام</v>
      </c>
      <c r="AF1141" s="1" t="str">
        <f>""</f>
        <v/>
      </c>
      <c r="AG1141" s="1" t="str">
        <f>""</f>
        <v/>
      </c>
      <c r="AH1141" s="1" t="str">
        <f>""</f>
        <v/>
      </c>
      <c r="AI1141" s="1" t="str">
        <f>""</f>
        <v/>
      </c>
      <c r="AJ1141" s="1" t="str">
        <f>""</f>
        <v/>
      </c>
      <c r="AK1141" s="1" t="str">
        <f>""</f>
        <v/>
      </c>
    </row>
    <row r="1142" spans="1:37" x14ac:dyDescent="0.2">
      <c r="A1142" s="1">
        <v>500000</v>
      </c>
      <c r="B1142" s="1">
        <v>951700115</v>
      </c>
      <c r="C1142" s="1" t="str">
        <f>"تخليه -كرمانشاه -اسلام آبادغرب كيلومتر14جاده اهوازكارخانه آسفالت قاضيوند"</f>
        <v>تخليه -كرمانشاه -اسلام آبادغرب كيلومتر14جاده اهوازكارخانه آسفالت قاضيوند</v>
      </c>
      <c r="D1142" s="1">
        <v>6726</v>
      </c>
      <c r="E1142" s="1">
        <v>499360</v>
      </c>
      <c r="F1142" s="1">
        <v>95</v>
      </c>
      <c r="G1142" s="1">
        <v>640</v>
      </c>
      <c r="H1142" s="1" t="str">
        <f>"95/05/05"</f>
        <v>95/05/05</v>
      </c>
      <c r="I1142" s="1" t="str">
        <f t="shared" si="285"/>
        <v>كيلوگرم</v>
      </c>
      <c r="J1142" s="1" t="str">
        <f t="shared" si="293"/>
        <v>0000000091</v>
      </c>
      <c r="K1142" s="1" t="str">
        <f t="shared" si="294"/>
        <v>قير  PG64-22</v>
      </c>
      <c r="L1142" s="1">
        <v>100</v>
      </c>
      <c r="M1142" s="1" t="str">
        <f t="shared" si="291"/>
        <v>مخازن قير اصفهان</v>
      </c>
      <c r="N1142" s="1">
        <v>11142</v>
      </c>
      <c r="O1142" s="1">
        <v>50031354</v>
      </c>
      <c r="P1142" s="1" t="str">
        <f>"  فني مهندسي عمران سپيدزاگرس"</f>
        <v xml:space="preserve">  فني مهندسي عمران سپيدزاگرس</v>
      </c>
      <c r="Q1142" s="1">
        <v>17</v>
      </c>
      <c r="R1142" s="1" t="str">
        <f>"فروش داخلي تهران - وزارت راه - راه روستايي - روکش"</f>
        <v>فروش داخلي تهران - وزارت راه - راه روستايي - روکش</v>
      </c>
      <c r="S1142" s="1" t="str">
        <f t="shared" si="286"/>
        <v>قرارداد فروش</v>
      </c>
      <c r="T1142" s="1" t="str">
        <f t="shared" si="287"/>
        <v>ندارد</v>
      </c>
      <c r="U1142" s="1" t="str">
        <f>"افراسيابي كيومرث(2842031)"</f>
        <v>افراسيابي كيومرث(2842031)</v>
      </c>
      <c r="V1142" s="1">
        <v>951700115</v>
      </c>
      <c r="W1142" s="1">
        <v>951700115</v>
      </c>
      <c r="X1142" s="1" t="str">
        <f>"1395418058"</f>
        <v>1395418058</v>
      </c>
      <c r="Y1142" s="1" t="str">
        <f>"95/05/05"</f>
        <v>95/05/05</v>
      </c>
      <c r="Z1142" s="1" t="str">
        <f>"17902/510"</f>
        <v>17902/510</v>
      </c>
      <c r="AA1142" s="1" t="str">
        <f>"راه روستائي -روكش"</f>
        <v>راه روستائي -روكش</v>
      </c>
      <c r="AB1142" s="1" t="str">
        <f>"95/04/26"</f>
        <v>95/04/26</v>
      </c>
      <c r="AC1142" s="1" t="str">
        <f>"استان كرمانشاه"</f>
        <v>استان كرمانشاه</v>
      </c>
      <c r="AD1142" s="1" t="str">
        <f>"95/05/05"</f>
        <v>95/05/05</v>
      </c>
      <c r="AE1142" s="1" t="str">
        <f t="shared" si="292"/>
        <v>اختتام</v>
      </c>
      <c r="AF1142" s="1" t="str">
        <f>""</f>
        <v/>
      </c>
      <c r="AG1142" s="1" t="str">
        <f>""</f>
        <v/>
      </c>
      <c r="AH1142" s="1" t="str">
        <f>""</f>
        <v/>
      </c>
      <c r="AI1142" s="1" t="str">
        <f>""</f>
        <v/>
      </c>
      <c r="AJ1142" s="1" t="str">
        <f>""</f>
        <v/>
      </c>
      <c r="AK1142" s="1" t="str">
        <f>""</f>
        <v/>
      </c>
    </row>
    <row r="1143" spans="1:37" x14ac:dyDescent="0.2">
      <c r="A1143" s="1">
        <v>250000</v>
      </c>
      <c r="B1143" s="1">
        <v>951900192</v>
      </c>
      <c r="C1143" s="1" t="str">
        <f>"تخليه-لرستان-الشتر-کيلومتر6جاده خرگوش ناب-دانه بندي سلسله"</f>
        <v>تخليه-لرستان-الشتر-کيلومتر6جاده خرگوش ناب-دانه بندي سلسله</v>
      </c>
      <c r="D1143" s="1">
        <v>8323</v>
      </c>
      <c r="E1143" s="1">
        <v>249340</v>
      </c>
      <c r="F1143" s="1">
        <v>95</v>
      </c>
      <c r="G1143" s="1">
        <v>660</v>
      </c>
      <c r="H1143" s="1" t="str">
        <f>"95/08/26"</f>
        <v>95/08/26</v>
      </c>
      <c r="I1143" s="1" t="str">
        <f t="shared" si="285"/>
        <v>كيلوگرم</v>
      </c>
      <c r="J1143" s="1" t="str">
        <f t="shared" si="293"/>
        <v>0000000091</v>
      </c>
      <c r="K1143" s="1" t="str">
        <f t="shared" si="294"/>
        <v>قير  PG64-22</v>
      </c>
      <c r="L1143" s="1">
        <v>100</v>
      </c>
      <c r="M1143" s="1" t="str">
        <f t="shared" si="291"/>
        <v>مخازن قير اصفهان</v>
      </c>
      <c r="N1143" s="1">
        <v>11148</v>
      </c>
      <c r="O1143" s="1">
        <v>50032612</v>
      </c>
      <c r="P1143" s="1" t="str">
        <f>"  شن و ماسه دانه بندي سلسله"</f>
        <v xml:space="preserve">  شن و ماسه دانه بندي سلسله</v>
      </c>
      <c r="Q1143" s="1">
        <v>19</v>
      </c>
      <c r="R11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43" s="1" t="str">
        <f t="shared" si="286"/>
        <v>قرارداد فروش</v>
      </c>
      <c r="T1143" s="1" t="str">
        <f t="shared" si="287"/>
        <v>ندارد</v>
      </c>
      <c r="U1143" s="1" t="str">
        <f>"رضائي كلهر حسن (1901099)"</f>
        <v>رضائي كلهر حسن (1901099)</v>
      </c>
      <c r="V1143" s="1">
        <v>951900192</v>
      </c>
      <c r="W1143" s="1">
        <v>951900192</v>
      </c>
      <c r="X1143" s="1" t="str">
        <f>"1395446078"</f>
        <v>1395446078</v>
      </c>
      <c r="Y1143" s="1" t="str">
        <f>"95/08/26"</f>
        <v>95/08/26</v>
      </c>
      <c r="Z1143" s="1" t="str">
        <f>"39766/710"</f>
        <v>39766/710</v>
      </c>
      <c r="AA1143" s="1" t="str">
        <f>"سازمان راهداري وحمل نقل جاده اي"</f>
        <v>سازمان راهداري وحمل نقل جاده اي</v>
      </c>
      <c r="AB1143" s="1" t="str">
        <f>"95/08/15"</f>
        <v>95/08/15</v>
      </c>
      <c r="AC1143" s="1" t="str">
        <f>"لرستان"</f>
        <v>لرستان</v>
      </c>
      <c r="AD1143" s="1" t="str">
        <f>"95/08/26"</f>
        <v>95/08/26</v>
      </c>
      <c r="AE1143" s="1" t="str">
        <f t="shared" si="292"/>
        <v>اختتام</v>
      </c>
      <c r="AF1143" s="1" t="str">
        <f>""</f>
        <v/>
      </c>
      <c r="AG1143" s="1" t="str">
        <f>""</f>
        <v/>
      </c>
      <c r="AH1143" s="1" t="str">
        <f>""</f>
        <v/>
      </c>
      <c r="AI1143" s="1" t="str">
        <f>""</f>
        <v/>
      </c>
      <c r="AJ1143" s="1" t="str">
        <f>""</f>
        <v/>
      </c>
      <c r="AK1143" s="1" t="str">
        <f>""</f>
        <v/>
      </c>
    </row>
    <row r="1144" spans="1:37" x14ac:dyDescent="0.2">
      <c r="A1144" s="1">
        <v>350000</v>
      </c>
      <c r="B1144" s="1">
        <v>951700150</v>
      </c>
      <c r="C1144" s="1" t="str">
        <f>"تخليه خراسان جنوبي فردوس بيرجندجنب شهرك هاشميه"</f>
        <v>تخليه خراسان جنوبي فردوس بيرجندجنب شهرك هاشميه</v>
      </c>
      <c r="D1144" s="1">
        <v>6726</v>
      </c>
      <c r="E1144" s="1">
        <v>346860</v>
      </c>
      <c r="F1144" s="1">
        <v>95</v>
      </c>
      <c r="G1144" s="1">
        <v>3140</v>
      </c>
      <c r="H1144" s="1" t="str">
        <f>"95/05/18"</f>
        <v>95/05/18</v>
      </c>
      <c r="I1144" s="1" t="str">
        <f t="shared" si="285"/>
        <v>كيلوگرم</v>
      </c>
      <c r="J1144" s="1" t="str">
        <f t="shared" si="293"/>
        <v>0000000091</v>
      </c>
      <c r="K1144" s="1" t="str">
        <f t="shared" si="294"/>
        <v>قير  PG64-22</v>
      </c>
      <c r="L1144" s="1">
        <v>100</v>
      </c>
      <c r="M1144" s="1" t="str">
        <f t="shared" si="291"/>
        <v>مخازن قير اصفهان</v>
      </c>
      <c r="N1144" s="1">
        <v>11150</v>
      </c>
      <c r="O1144" s="1">
        <v>50031474</v>
      </c>
      <c r="P1144" s="1" t="str">
        <f>"  ساختماني وراهسازي بي تاراه كوير"</f>
        <v xml:space="preserve">  ساختماني وراهسازي بي تاراه كوير</v>
      </c>
      <c r="Q1144" s="1">
        <v>17</v>
      </c>
      <c r="R1144" s="1" t="str">
        <f>"فروش داخلي تهران - وزارت راه - راه روستايي - روکش"</f>
        <v>فروش داخلي تهران - وزارت راه - راه روستايي - روکش</v>
      </c>
      <c r="S1144" s="1" t="str">
        <f t="shared" si="286"/>
        <v>قرارداد فروش</v>
      </c>
      <c r="T1144" s="1" t="str">
        <f t="shared" si="287"/>
        <v>ندارد</v>
      </c>
      <c r="U1144" s="1" t="str">
        <f>"بابامحمدي عنايت اله(4844000)"</f>
        <v>بابامحمدي عنايت اله(4844000)</v>
      </c>
      <c r="V1144" s="1">
        <v>951700150</v>
      </c>
      <c r="W1144" s="1">
        <v>951700150</v>
      </c>
      <c r="X1144" s="1" t="str">
        <f>"1395421996"</f>
        <v>1395421996</v>
      </c>
      <c r="Y1144" s="1" t="str">
        <f>"95/05/18"</f>
        <v>95/05/18</v>
      </c>
      <c r="Z1144" s="1" t="str">
        <f>"21495/510"</f>
        <v>21495/510</v>
      </c>
      <c r="AA1144" s="1" t="str">
        <f>"راه روستائي -روكش"</f>
        <v>راه روستائي -روكش</v>
      </c>
      <c r="AB1144" s="1" t="str">
        <f>"95/05/13"</f>
        <v>95/05/13</v>
      </c>
      <c r="AC1144" s="1" t="str">
        <f>"خراسان جنوبي"</f>
        <v>خراسان جنوبي</v>
      </c>
      <c r="AD1144" s="1" t="str">
        <f>"95/05/18"</f>
        <v>95/05/18</v>
      </c>
      <c r="AE1144" s="1" t="str">
        <f t="shared" si="292"/>
        <v>اختتام</v>
      </c>
      <c r="AF1144" s="1" t="str">
        <f>""</f>
        <v/>
      </c>
      <c r="AG1144" s="1" t="str">
        <f>""</f>
        <v/>
      </c>
      <c r="AH1144" s="1" t="str">
        <f>""</f>
        <v/>
      </c>
      <c r="AI1144" s="1" t="str">
        <f>""</f>
        <v/>
      </c>
      <c r="AJ1144" s="1" t="str">
        <f>""</f>
        <v/>
      </c>
      <c r="AK1144" s="1" t="str">
        <f>""</f>
        <v/>
      </c>
    </row>
    <row r="1145" spans="1:37" x14ac:dyDescent="0.2">
      <c r="A1145" s="1">
        <v>451580</v>
      </c>
      <c r="B1145" s="1">
        <v>951800084</v>
      </c>
      <c r="C1145" s="1" t="str">
        <f>"تخليه تهران كيلومتر78آزادراه حرم تاحرم شركت نفت و گازمحمديان"</f>
        <v>تخليه تهران كيلومتر78آزادراه حرم تاحرم شركت نفت و گازمحمديان</v>
      </c>
      <c r="D1145" s="1">
        <v>8323</v>
      </c>
      <c r="E1145" s="1">
        <v>304720</v>
      </c>
      <c r="F1145" s="1">
        <v>95</v>
      </c>
      <c r="G1145" s="1">
        <v>146860</v>
      </c>
      <c r="H1145" s="1" t="str">
        <f>"95/08/08"</f>
        <v>95/08/08</v>
      </c>
      <c r="I1145" s="1" t="str">
        <f t="shared" si="285"/>
        <v>كيلوگرم</v>
      </c>
      <c r="J1145" s="1" t="str">
        <f t="shared" si="293"/>
        <v>0000000091</v>
      </c>
      <c r="K1145" s="1" t="str">
        <f t="shared" si="294"/>
        <v>قير  PG64-22</v>
      </c>
      <c r="L1145" s="1">
        <v>100</v>
      </c>
      <c r="M1145" s="1" t="str">
        <f t="shared" si="291"/>
        <v>مخازن قير اصفهان</v>
      </c>
      <c r="N1145" s="1">
        <v>11164</v>
      </c>
      <c r="O1145" s="1">
        <v>50032328</v>
      </c>
      <c r="P1145" s="1" t="str">
        <f>"  قرارگاه سازندگي خاتم الانبياء(ص )"</f>
        <v xml:space="preserve">  قرارگاه سازندگي خاتم الانبياء(ص )</v>
      </c>
      <c r="Q1145" s="1">
        <v>18</v>
      </c>
      <c r="R1145" s="1" t="str">
        <f>"فروش داخلي تهران - وزارت راه - شرکت ساخت و توسعه راهها"</f>
        <v>فروش داخلي تهران - وزارت راه - شرکت ساخت و توسعه راهها</v>
      </c>
      <c r="S1145" s="1" t="str">
        <f t="shared" si="286"/>
        <v>قرارداد فروش</v>
      </c>
      <c r="T1145" s="1" t="str">
        <f t="shared" si="287"/>
        <v>ندارد</v>
      </c>
      <c r="U1145" s="1" t="str">
        <f>"شيشه بر كريم(1841016)"</f>
        <v>شيشه بر كريم(1841016)</v>
      </c>
      <c r="V1145" s="1">
        <v>951800084</v>
      </c>
      <c r="W1145" s="1">
        <v>951800084</v>
      </c>
      <c r="X1145" s="1" t="str">
        <f>"1395426731"</f>
        <v>1395426731</v>
      </c>
      <c r="Y1145" s="1" t="str">
        <f>"95/08/08"</f>
        <v>95/08/08</v>
      </c>
      <c r="Z1145" s="1" t="str">
        <f>"23826/510"</f>
        <v>23826/510</v>
      </c>
      <c r="AA1145" s="1" t="str">
        <f>"شركت  ساخت وتوسعه راهها"</f>
        <v>شركت  ساخت وتوسعه راهها</v>
      </c>
      <c r="AB1145" s="1" t="str">
        <f>"95/05/26"</f>
        <v>95/05/26</v>
      </c>
      <c r="AC1145" s="1" t="str">
        <f>"استان تهران"</f>
        <v>استان تهران</v>
      </c>
      <c r="AD1145" s="1" t="str">
        <f>"95/06/03"</f>
        <v>95/06/03</v>
      </c>
      <c r="AE1145" s="1" t="str">
        <f t="shared" si="292"/>
        <v>اختتام</v>
      </c>
      <c r="AF1145" s="1" t="str">
        <f>""</f>
        <v/>
      </c>
      <c r="AG1145" s="1" t="str">
        <f>""</f>
        <v/>
      </c>
      <c r="AH1145" s="1" t="str">
        <f>""</f>
        <v/>
      </c>
      <c r="AI1145" s="1" t="str">
        <f>""</f>
        <v/>
      </c>
      <c r="AJ1145" s="1" t="str">
        <f>""</f>
        <v/>
      </c>
      <c r="AK1145" s="1" t="str">
        <f>""</f>
        <v/>
      </c>
    </row>
    <row r="1146" spans="1:37" x14ac:dyDescent="0.2">
      <c r="A1146" s="1">
        <v>146860</v>
      </c>
      <c r="B1146" s="1">
        <v>951800108</v>
      </c>
      <c r="C1146" s="1" t="str">
        <f>"تخليه تهران كيلومتر78آزادراه حرم تاحرم شركت نفت و گازمحمديان"</f>
        <v>تخليه تهران كيلومتر78آزادراه حرم تاحرم شركت نفت و گازمحمديان</v>
      </c>
      <c r="D1146" s="1">
        <v>9061</v>
      </c>
      <c r="E1146" s="1">
        <v>115540</v>
      </c>
      <c r="F1146" s="1">
        <v>95</v>
      </c>
      <c r="G1146" s="1">
        <v>31320</v>
      </c>
      <c r="H1146" s="1" t="str">
        <f>"95/10/05"</f>
        <v>95/10/05</v>
      </c>
      <c r="I1146" s="1" t="str">
        <f t="shared" si="285"/>
        <v>كيلوگرم</v>
      </c>
      <c r="J1146" s="1" t="str">
        <f t="shared" si="293"/>
        <v>0000000091</v>
      </c>
      <c r="K1146" s="1" t="str">
        <f t="shared" si="294"/>
        <v>قير  PG64-22</v>
      </c>
      <c r="L1146" s="1">
        <v>100</v>
      </c>
      <c r="M1146" s="1" t="str">
        <f t="shared" si="291"/>
        <v>مخازن قير اصفهان</v>
      </c>
      <c r="N1146" s="1">
        <v>11164</v>
      </c>
      <c r="O1146" s="1">
        <v>50033143</v>
      </c>
      <c r="P1146" s="1" t="str">
        <f>"  قرارگاه سازندگي خاتم الانبياء(ص )"</f>
        <v xml:space="preserve">  قرارگاه سازندگي خاتم الانبياء(ص )</v>
      </c>
      <c r="Q1146" s="1">
        <v>18</v>
      </c>
      <c r="R1146" s="1" t="str">
        <f>"فروش داخلي تهران - وزارت راه - شرکت ساخت و توسعه راهها"</f>
        <v>فروش داخلي تهران - وزارت راه - شرکت ساخت و توسعه راهها</v>
      </c>
      <c r="S1146" s="1" t="str">
        <f t="shared" si="286"/>
        <v>قرارداد فروش</v>
      </c>
      <c r="T1146" s="1" t="str">
        <f t="shared" si="287"/>
        <v>ندارد</v>
      </c>
      <c r="U1146" s="1" t="str">
        <f>"شيشه بر كريم(1841016)"</f>
        <v>شيشه بر كريم(1841016)</v>
      </c>
      <c r="V1146" s="1">
        <v>951800108</v>
      </c>
      <c r="W1146" s="1">
        <v>951800108</v>
      </c>
      <c r="X1146" s="1" t="str">
        <f>"1395426731"</f>
        <v>1395426731</v>
      </c>
      <c r="Y1146" s="1" t="str">
        <f>"95/10/05"</f>
        <v>95/10/05</v>
      </c>
      <c r="Z1146" s="1" t="str">
        <f>"23826/510"</f>
        <v>23826/510</v>
      </c>
      <c r="AA1146" s="1" t="str">
        <f>"شركت  ساخت وتوسعه راهها"</f>
        <v>شركت  ساخت وتوسعه راهها</v>
      </c>
      <c r="AB1146" s="1" t="str">
        <f>"95/05/26"</f>
        <v>95/05/26</v>
      </c>
      <c r="AC1146" s="1" t="str">
        <f>"استان تهران"</f>
        <v>استان تهران</v>
      </c>
      <c r="AD1146" s="1" t="str">
        <f>"95/06/03"</f>
        <v>95/06/03</v>
      </c>
      <c r="AE1146" s="1" t="str">
        <f t="shared" ref="AE1146:AE1177" si="295">"اختتام"</f>
        <v>اختتام</v>
      </c>
      <c r="AF1146" s="1" t="str">
        <f>""</f>
        <v/>
      </c>
      <c r="AG1146" s="1" t="str">
        <f>""</f>
        <v/>
      </c>
      <c r="AH1146" s="1" t="str">
        <f>""</f>
        <v/>
      </c>
      <c r="AI1146" s="1" t="str">
        <f>""</f>
        <v/>
      </c>
      <c r="AJ1146" s="1" t="str">
        <f>""</f>
        <v/>
      </c>
      <c r="AK1146" s="1" t="str">
        <f>""</f>
        <v/>
      </c>
    </row>
    <row r="1147" spans="1:37" x14ac:dyDescent="0.2">
      <c r="A1147" s="1">
        <v>229440</v>
      </c>
      <c r="B1147" s="1">
        <v>956100020</v>
      </c>
      <c r="C1147" s="1" t="str">
        <f>"تخليه قم جاده قديم قم كاشان جاده كهك صرم كارخانه شركت گستراميدصرم"</f>
        <v>تخليه قم جاده قديم قم كاشان جاده كهك صرم كارخانه شركت گستراميدصرم</v>
      </c>
      <c r="D1147" s="1">
        <v>8323</v>
      </c>
      <c r="E1147" s="1">
        <v>228060</v>
      </c>
      <c r="F1147" s="1">
        <v>95</v>
      </c>
      <c r="G1147" s="1">
        <v>1380</v>
      </c>
      <c r="H1147" s="1" t="str">
        <f>"95/08/08"</f>
        <v>95/08/08</v>
      </c>
      <c r="I1147" s="1" t="str">
        <f t="shared" si="285"/>
        <v>كيلوگرم</v>
      </c>
      <c r="J1147" s="1" t="str">
        <f t="shared" si="293"/>
        <v>0000000091</v>
      </c>
      <c r="K1147" s="1" t="str">
        <f t="shared" si="294"/>
        <v>قير  PG64-22</v>
      </c>
      <c r="L1147" s="1">
        <v>100</v>
      </c>
      <c r="M1147" s="1" t="str">
        <f t="shared" si="291"/>
        <v>مخازن قير اصفهان</v>
      </c>
      <c r="N1147" s="1">
        <v>11166</v>
      </c>
      <c r="O1147" s="1">
        <v>50032341</v>
      </c>
      <c r="P1147" s="1" t="str">
        <f>"  دي"</f>
        <v xml:space="preserve">  دي</v>
      </c>
      <c r="Q1147" s="1">
        <v>61</v>
      </c>
      <c r="R1147" s="1" t="str">
        <f>"فروش داخلي - وزارت راه - مسكن مهر"</f>
        <v>فروش داخلي - وزارت راه - مسكن مهر</v>
      </c>
      <c r="S1147" s="1" t="str">
        <f t="shared" si="286"/>
        <v>قرارداد فروش</v>
      </c>
      <c r="T1147" s="1" t="str">
        <f t="shared" si="287"/>
        <v>ندارد</v>
      </c>
      <c r="U1147" s="1" t="str">
        <f>"اميري علي(2842011)"</f>
        <v>اميري علي(2842011)</v>
      </c>
      <c r="V1147" s="1">
        <v>956100020</v>
      </c>
      <c r="W1147" s="1">
        <v>956100020</v>
      </c>
      <c r="X1147" s="1" t="str">
        <f>"1395427791"</f>
        <v>1395427791</v>
      </c>
      <c r="Y1147" s="1" t="str">
        <f>"95/08/08"</f>
        <v>95/08/08</v>
      </c>
      <c r="Z1147" s="1" t="str">
        <f>"23749/510"</f>
        <v>23749/510</v>
      </c>
      <c r="AA1147" s="1" t="str">
        <f>"مسكن مهر-وزارت راه"</f>
        <v>مسكن مهر-وزارت راه</v>
      </c>
      <c r="AB1147" s="1" t="str">
        <f>"95/05/25"</f>
        <v>95/05/25</v>
      </c>
      <c r="AC1147" s="1" t="str">
        <f>"قم"</f>
        <v>قم</v>
      </c>
      <c r="AD1147" s="1" t="str">
        <f>"95/06/09"</f>
        <v>95/06/09</v>
      </c>
      <c r="AE1147" s="1" t="str">
        <f t="shared" si="295"/>
        <v>اختتام</v>
      </c>
      <c r="AF1147" s="1" t="str">
        <f>""</f>
        <v/>
      </c>
      <c r="AG1147" s="1" t="str">
        <f>""</f>
        <v/>
      </c>
      <c r="AH1147" s="1" t="str">
        <f>""</f>
        <v/>
      </c>
      <c r="AI1147" s="1" t="str">
        <f>""</f>
        <v/>
      </c>
      <c r="AJ1147" s="1" t="str">
        <f>""</f>
        <v/>
      </c>
      <c r="AK1147" s="1" t="str">
        <f>""</f>
        <v/>
      </c>
    </row>
    <row r="1148" spans="1:37" x14ac:dyDescent="0.2">
      <c r="A1148" s="1">
        <v>220000</v>
      </c>
      <c r="B1148" s="1">
        <v>951400139</v>
      </c>
      <c r="C1148" s="1" t="str">
        <f>"تخليه خراسان جنوبي بيرجندكيلومتر5جاده خوسف جنب كارخانه كويرتايركارخانه آسفالت كريم پور"</f>
        <v>تخليه خراسان جنوبي بيرجندكيلومتر5جاده خوسف جنب كارخانه كويرتايركارخانه آسفالت كريم پور</v>
      </c>
      <c r="D1148" s="1">
        <v>8998</v>
      </c>
      <c r="E1148" s="1">
        <v>218520</v>
      </c>
      <c r="F1148" s="1">
        <v>95</v>
      </c>
      <c r="G1148" s="1">
        <v>1480</v>
      </c>
      <c r="H1148" s="1" t="str">
        <f>"95/11/03"</f>
        <v>95/11/03</v>
      </c>
      <c r="I1148" s="1" t="str">
        <f t="shared" si="285"/>
        <v>كيلوگرم</v>
      </c>
      <c r="J1148" s="1" t="str">
        <f t="shared" si="293"/>
        <v>0000000091</v>
      </c>
      <c r="K1148" s="1" t="str">
        <f t="shared" si="294"/>
        <v>قير  PG64-22</v>
      </c>
      <c r="L1148" s="1">
        <v>100</v>
      </c>
      <c r="M1148" s="1" t="str">
        <f t="shared" si="291"/>
        <v>مخازن قير اصفهان</v>
      </c>
      <c r="N1148" s="1">
        <v>11230</v>
      </c>
      <c r="O1148" s="1">
        <v>50033483</v>
      </c>
      <c r="P1148" s="1" t="str">
        <f>"  ساختماني وراهسازي كيهان سازه قهستان"</f>
        <v xml:space="preserve">  ساختماني وراهسازي كيهان سازه قهستان</v>
      </c>
      <c r="Q1148" s="1">
        <v>14</v>
      </c>
      <c r="R1148" s="1" t="str">
        <f>"فروش داخلي - وزارت راه - حوزه راه روستايي ساخت"</f>
        <v>فروش داخلي - وزارت راه - حوزه راه روستايي ساخت</v>
      </c>
      <c r="S1148" s="1" t="str">
        <f t="shared" si="286"/>
        <v>قرارداد فروش</v>
      </c>
      <c r="T1148" s="1" t="str">
        <f t="shared" si="287"/>
        <v>ندارد</v>
      </c>
      <c r="U1148" s="1" t="str">
        <f>"بابامحمدي عنايت اله(4844000)"</f>
        <v>بابامحمدي عنايت اله(4844000)</v>
      </c>
      <c r="V1148" s="1">
        <v>951400139</v>
      </c>
      <c r="W1148" s="1">
        <v>951400139</v>
      </c>
      <c r="X1148" s="1" t="str">
        <f>"1395456603"</f>
        <v>1395456603</v>
      </c>
      <c r="Y1148" s="1" t="str">
        <f>"95/11/03"</f>
        <v>95/11/03</v>
      </c>
      <c r="Z1148" s="1" t="str">
        <f>"49203/710"</f>
        <v>49203/710</v>
      </c>
      <c r="AA1148" s="1" t="str">
        <f>"راه وروستايي -ساخت"</f>
        <v>راه وروستايي -ساخت</v>
      </c>
      <c r="AB1148" s="1" t="str">
        <f>"95/10/07"</f>
        <v>95/10/07</v>
      </c>
      <c r="AC1148" s="1" t="str">
        <f>"خراسان جنوبي"</f>
        <v>خراسان جنوبي</v>
      </c>
      <c r="AD1148" s="1" t="str">
        <f>"95/10/14"</f>
        <v>95/10/14</v>
      </c>
      <c r="AE1148" s="1" t="str">
        <f t="shared" si="295"/>
        <v>اختتام</v>
      </c>
      <c r="AF1148" s="1" t="str">
        <f>""</f>
        <v/>
      </c>
      <c r="AG1148" s="1" t="str">
        <f>""</f>
        <v/>
      </c>
      <c r="AH1148" s="1" t="str">
        <f>""</f>
        <v/>
      </c>
      <c r="AI1148" s="1" t="str">
        <f>""</f>
        <v/>
      </c>
      <c r="AJ1148" s="1" t="str">
        <f>""</f>
        <v/>
      </c>
      <c r="AK1148" s="1" t="str">
        <f>""</f>
        <v/>
      </c>
    </row>
    <row r="1149" spans="1:37" x14ac:dyDescent="0.2">
      <c r="A1149" s="1">
        <v>129000</v>
      </c>
      <c r="B1149" s="1">
        <v>951700346</v>
      </c>
      <c r="C1149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149" s="1">
        <v>8998</v>
      </c>
      <c r="E1149" s="1">
        <v>127180</v>
      </c>
      <c r="F1149" s="1">
        <v>95</v>
      </c>
      <c r="G1149" s="1">
        <v>1820</v>
      </c>
      <c r="H1149" s="1" t="str">
        <f>"95/12/09"</f>
        <v>95/12/09</v>
      </c>
      <c r="I1149" s="1" t="str">
        <f t="shared" si="285"/>
        <v>كيلوگرم</v>
      </c>
      <c r="J1149" s="1" t="str">
        <f t="shared" ref="J1149:J1154" si="296">"0000000092"</f>
        <v>0000000092</v>
      </c>
      <c r="K1149" s="1" t="str">
        <f t="shared" ref="K1149:K1154" si="297">"قير  PG64-16"</f>
        <v>قير  PG64-16</v>
      </c>
      <c r="L1149" s="1">
        <v>100</v>
      </c>
      <c r="M1149" s="1" t="str">
        <f t="shared" si="291"/>
        <v>مخازن قير اصفهان</v>
      </c>
      <c r="N1149" s="1">
        <v>10693</v>
      </c>
      <c r="O1149" s="1">
        <v>50033921</v>
      </c>
      <c r="P1149" s="1" t="str">
        <f>"  شناشيل سازان آبدانان"</f>
        <v xml:space="preserve">  شناشيل سازان آبدانان</v>
      </c>
      <c r="Q1149" s="1">
        <v>17</v>
      </c>
      <c r="R1149" s="1" t="str">
        <f>"فروش داخلي تهران - وزارت راه - راه روستايي - روکش"</f>
        <v>فروش داخلي تهران - وزارت راه - راه روستايي - روکش</v>
      </c>
      <c r="S1149" s="1" t="str">
        <f t="shared" si="286"/>
        <v>قرارداد فروش</v>
      </c>
      <c r="T1149" s="1" t="str">
        <f t="shared" si="287"/>
        <v>ندارد</v>
      </c>
      <c r="U1149" s="1" t="str">
        <f>"عظيمي محمد(2842015)"</f>
        <v>عظيمي محمد(2842015)</v>
      </c>
      <c r="V1149" s="1">
        <v>951700346</v>
      </c>
      <c r="W1149" s="1">
        <v>951700346</v>
      </c>
      <c r="X1149" s="1" t="str">
        <f>"1395467969"</f>
        <v>1395467969</v>
      </c>
      <c r="Y1149" s="1" t="str">
        <f>"95/12/09"</f>
        <v>95/12/09</v>
      </c>
      <c r="Z1149" s="1" t="str">
        <f>"61905/710"</f>
        <v>61905/710</v>
      </c>
      <c r="AA1149" s="1" t="str">
        <f>"راه روستائي -روكش"</f>
        <v>راه روستائي -روكش</v>
      </c>
      <c r="AB1149" s="1" t="str">
        <f>"95/12/08"</f>
        <v>95/12/08</v>
      </c>
      <c r="AC1149" s="1" t="str">
        <f>"استان ايلام"</f>
        <v>استان ايلام</v>
      </c>
      <c r="AD1149" s="1" t="str">
        <f>"95/12/09"</f>
        <v>95/12/09</v>
      </c>
      <c r="AE1149" s="1" t="str">
        <f t="shared" si="295"/>
        <v>اختتام</v>
      </c>
      <c r="AF1149" s="1" t="str">
        <f>""</f>
        <v/>
      </c>
      <c r="AG1149" s="1" t="str">
        <f>""</f>
        <v/>
      </c>
      <c r="AH1149" s="1" t="str">
        <f>""</f>
        <v/>
      </c>
      <c r="AI1149" s="1" t="str">
        <f>""</f>
        <v/>
      </c>
      <c r="AJ1149" s="1" t="str">
        <f>""</f>
        <v/>
      </c>
      <c r="AK1149" s="1" t="str">
        <f>""</f>
        <v/>
      </c>
    </row>
    <row r="1150" spans="1:37" x14ac:dyDescent="0.2">
      <c r="A1150" s="1">
        <v>178000</v>
      </c>
      <c r="B1150" s="1">
        <v>951400129</v>
      </c>
      <c r="C1150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150" s="1">
        <v>9511</v>
      </c>
      <c r="E1150" s="1">
        <v>178000</v>
      </c>
      <c r="F1150" s="1">
        <v>95</v>
      </c>
      <c r="G1150" s="1">
        <v>0</v>
      </c>
      <c r="H1150" s="1" t="str">
        <f>"95/11/03"</f>
        <v>95/11/03</v>
      </c>
      <c r="I1150" s="1" t="str">
        <f t="shared" si="285"/>
        <v>كيلوگرم</v>
      </c>
      <c r="J1150" s="1" t="str">
        <f t="shared" si="296"/>
        <v>0000000092</v>
      </c>
      <c r="K1150" s="1" t="str">
        <f t="shared" si="297"/>
        <v>قير  PG64-16</v>
      </c>
      <c r="L1150" s="1">
        <v>100</v>
      </c>
      <c r="M1150" s="1" t="str">
        <f t="shared" si="291"/>
        <v>مخازن قير اصفهان</v>
      </c>
      <c r="N1150" s="1">
        <v>10717</v>
      </c>
      <c r="O1150" s="1">
        <v>50033473</v>
      </c>
      <c r="P1150" s="1" t="str">
        <f>"  تعاوني نگين صحت جيرفت"</f>
        <v xml:space="preserve">  تعاوني نگين صحت جيرفت</v>
      </c>
      <c r="Q1150" s="1">
        <v>14</v>
      </c>
      <c r="R1150" s="1" t="str">
        <f>"فروش داخلي - وزارت راه - حوزه راه روستايي ساخت"</f>
        <v>فروش داخلي - وزارت راه - حوزه راه روستايي ساخت</v>
      </c>
      <c r="S1150" s="1" t="str">
        <f t="shared" si="286"/>
        <v>قرارداد فروش</v>
      </c>
      <c r="T1150" s="1" t="str">
        <f t="shared" si="287"/>
        <v>ندارد</v>
      </c>
      <c r="U1150" s="1" t="str">
        <f>"دشت بشي پودنگ وبرادران رضا(4844014)"</f>
        <v>دشت بشي پودنگ وبرادران رضا(4844014)</v>
      </c>
      <c r="V1150" s="1">
        <v>951400129</v>
      </c>
      <c r="W1150" s="1">
        <v>951400129</v>
      </c>
      <c r="X1150" s="1" t="str">
        <f>"1395456109"</f>
        <v>1395456109</v>
      </c>
      <c r="Y1150" s="1" t="str">
        <f>"95/11/03"</f>
        <v>95/11/03</v>
      </c>
      <c r="Z1150" s="1" t="str">
        <f>"47057/710"</f>
        <v>47057/710</v>
      </c>
      <c r="AA1150" s="1" t="str">
        <f>"راه وروستايي -ساخت"</f>
        <v>راه وروستايي -ساخت</v>
      </c>
      <c r="AB1150" s="1" t="str">
        <f>"95/09/28"</f>
        <v>95/09/28</v>
      </c>
      <c r="AC1150" s="1" t="str">
        <f>"جنوب کرمان"</f>
        <v>جنوب کرمان</v>
      </c>
      <c r="AD1150" s="1" t="str">
        <f>"95/10/11"</f>
        <v>95/10/11</v>
      </c>
      <c r="AE1150" s="1" t="str">
        <f t="shared" si="295"/>
        <v>اختتام</v>
      </c>
      <c r="AF1150" s="1" t="str">
        <f>""</f>
        <v/>
      </c>
      <c r="AG1150" s="1" t="str">
        <f>""</f>
        <v/>
      </c>
      <c r="AH1150" s="1" t="str">
        <f>""</f>
        <v/>
      </c>
      <c r="AI1150" s="1" t="str">
        <f>""</f>
        <v/>
      </c>
      <c r="AJ1150" s="1" t="str">
        <f>""</f>
        <v/>
      </c>
      <c r="AK1150" s="1" t="str">
        <f>""</f>
        <v/>
      </c>
    </row>
    <row r="1151" spans="1:37" x14ac:dyDescent="0.2">
      <c r="A1151" s="1">
        <v>176000</v>
      </c>
      <c r="B1151" s="1">
        <v>951300017</v>
      </c>
      <c r="C1151" s="1" t="str">
        <f>"تخليه -سمنان -شاهرود-ميامي -شركت راه سازان كويرشاهرود"</f>
        <v>تخليه -سمنان -شاهرود-ميامي -شركت راه سازان كويرشاهرود</v>
      </c>
      <c r="D1151" s="1">
        <v>6726</v>
      </c>
      <c r="E1151" s="1">
        <v>172800</v>
      </c>
      <c r="F1151" s="1">
        <v>95</v>
      </c>
      <c r="G1151" s="1">
        <v>3200</v>
      </c>
      <c r="H1151" s="1" t="str">
        <f>"95/05/30"</f>
        <v>95/05/30</v>
      </c>
      <c r="I1151" s="1" t="str">
        <f t="shared" si="285"/>
        <v>كيلوگرم</v>
      </c>
      <c r="J1151" s="1" t="str">
        <f t="shared" si="296"/>
        <v>0000000092</v>
      </c>
      <c r="K1151" s="1" t="str">
        <f t="shared" si="297"/>
        <v>قير  PG64-16</v>
      </c>
      <c r="L1151" s="1">
        <v>100</v>
      </c>
      <c r="M1151" s="1" t="str">
        <f t="shared" si="291"/>
        <v>مخازن قير اصفهان</v>
      </c>
      <c r="N1151" s="1">
        <v>10792</v>
      </c>
      <c r="O1151" s="1">
        <v>50031589</v>
      </c>
      <c r="P1151" s="1" t="str">
        <f>"  شهرداري ميامي"</f>
        <v xml:space="preserve">  شهرداري ميامي</v>
      </c>
      <c r="Q1151" s="1">
        <v>13</v>
      </c>
      <c r="R1151" s="1" t="str">
        <f>"فروش داخلي - وزارت راه - حوزه بنياد مسكن"</f>
        <v>فروش داخلي - وزارت راه - حوزه بنياد مسكن</v>
      </c>
      <c r="S1151" s="1" t="str">
        <f t="shared" si="286"/>
        <v>قرارداد فروش</v>
      </c>
      <c r="T1151" s="1" t="str">
        <f t="shared" si="287"/>
        <v>ندارد</v>
      </c>
      <c r="U1151" s="1" t="str">
        <f>"نظام دوست امين (1911102)"</f>
        <v>نظام دوست امين (1911102)</v>
      </c>
      <c r="V1151" s="1">
        <v>951300017</v>
      </c>
      <c r="W1151" s="1">
        <v>951300017</v>
      </c>
      <c r="X1151" s="1" t="str">
        <f>"1395425009"</f>
        <v>1395425009</v>
      </c>
      <c r="Y1151" s="1" t="str">
        <f>"95/05/30"</f>
        <v>95/05/30</v>
      </c>
      <c r="Z1151" s="1" t="str">
        <f>"42709/510"</f>
        <v>42709/510</v>
      </c>
      <c r="AA1151" s="1" t="str">
        <f>"بنياد مسكن -مسكن مهر"</f>
        <v>بنياد مسكن -مسكن مهر</v>
      </c>
      <c r="AB1151" s="1" t="str">
        <f>"94/08/04"</f>
        <v>94/08/04</v>
      </c>
      <c r="AC1151" s="1" t="str">
        <f>"استان سمنان"</f>
        <v>استان سمنان</v>
      </c>
      <c r="AD1151" s="1" t="str">
        <f>"95/05/27"</f>
        <v>95/05/27</v>
      </c>
      <c r="AE1151" s="1" t="str">
        <f t="shared" si="295"/>
        <v>اختتام</v>
      </c>
      <c r="AF1151" s="1" t="str">
        <f>""</f>
        <v/>
      </c>
      <c r="AG1151" s="1" t="str">
        <f>""</f>
        <v/>
      </c>
      <c r="AH1151" s="1" t="str">
        <f>""</f>
        <v/>
      </c>
      <c r="AI1151" s="1" t="str">
        <f>""</f>
        <v/>
      </c>
      <c r="AJ1151" s="1" t="str">
        <f>""</f>
        <v/>
      </c>
      <c r="AK1151" s="1" t="str">
        <f>""</f>
        <v/>
      </c>
    </row>
    <row r="1152" spans="1:37" x14ac:dyDescent="0.2">
      <c r="A1152" s="1">
        <v>400000</v>
      </c>
      <c r="B1152" s="1">
        <v>951900143</v>
      </c>
      <c r="C1152" s="1" t="str">
        <f>"تخليه ايلام ملكشاهي مخازن قيركارخانه آسفالت شهرداري ملكشاهي"</f>
        <v>تخليه ايلام ملكشاهي مخازن قيركارخانه آسفالت شهرداري ملكشاهي</v>
      </c>
      <c r="D1152" s="1">
        <v>7176</v>
      </c>
      <c r="E1152" s="1">
        <v>397260</v>
      </c>
      <c r="F1152" s="1">
        <v>95</v>
      </c>
      <c r="G1152" s="1">
        <v>2740</v>
      </c>
      <c r="H1152" s="1" t="str">
        <f>"95/06/14"</f>
        <v>95/06/14</v>
      </c>
      <c r="I1152" s="1" t="str">
        <f t="shared" si="285"/>
        <v>كيلوگرم</v>
      </c>
      <c r="J1152" s="1" t="str">
        <f t="shared" si="296"/>
        <v>0000000092</v>
      </c>
      <c r="K1152" s="1" t="str">
        <f t="shared" si="297"/>
        <v>قير  PG64-16</v>
      </c>
      <c r="L1152" s="1">
        <v>100</v>
      </c>
      <c r="M1152" s="1" t="str">
        <f t="shared" si="291"/>
        <v>مخازن قير اصفهان</v>
      </c>
      <c r="N1152" s="1">
        <v>10924</v>
      </c>
      <c r="O1152" s="1">
        <v>50031770</v>
      </c>
      <c r="P1152" s="1" t="str">
        <f>"  پرتو افشان خرم"</f>
        <v xml:space="preserve">  پرتو افشان خرم</v>
      </c>
      <c r="Q1152" s="1">
        <v>19</v>
      </c>
      <c r="R115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52" s="1" t="str">
        <f t="shared" si="286"/>
        <v>قرارداد فروش</v>
      </c>
      <c r="T1152" s="1" t="str">
        <f t="shared" si="287"/>
        <v>ندارد</v>
      </c>
      <c r="U1152" s="1" t="str">
        <f>"عظيمي محمد(2842015)"</f>
        <v>عظيمي محمد(2842015)</v>
      </c>
      <c r="V1152" s="1">
        <v>951900143</v>
      </c>
      <c r="W1152" s="1">
        <v>951900143</v>
      </c>
      <c r="X1152" s="1" t="str">
        <f>"1395428837"</f>
        <v>1395428837</v>
      </c>
      <c r="Y1152" s="1" t="str">
        <f>"95/06/14"</f>
        <v>95/06/14</v>
      </c>
      <c r="Z1152" s="1" t="str">
        <f>"27002/510"</f>
        <v>27002/510</v>
      </c>
      <c r="AA1152" s="1" t="str">
        <f>"سازمان راهداري وحمل نقل جاده اي"</f>
        <v>سازمان راهداري وحمل نقل جاده اي</v>
      </c>
      <c r="AB1152" s="1" t="str">
        <f>"95/06/09"</f>
        <v>95/06/09</v>
      </c>
      <c r="AC1152" s="1" t="str">
        <f>"استان ايلام"</f>
        <v>استان ايلام</v>
      </c>
      <c r="AD1152" s="1" t="str">
        <f>"95/06/13"</f>
        <v>95/06/13</v>
      </c>
      <c r="AE1152" s="1" t="str">
        <f t="shared" si="295"/>
        <v>اختتام</v>
      </c>
      <c r="AF1152" s="1" t="str">
        <f>""</f>
        <v/>
      </c>
      <c r="AG1152" s="1" t="str">
        <f>""</f>
        <v/>
      </c>
      <c r="AH1152" s="1" t="str">
        <f>""</f>
        <v/>
      </c>
      <c r="AI1152" s="1" t="str">
        <f>""</f>
        <v/>
      </c>
      <c r="AJ1152" s="1" t="str">
        <f>""</f>
        <v/>
      </c>
      <c r="AK1152" s="1" t="str">
        <f>""</f>
        <v/>
      </c>
    </row>
    <row r="1153" spans="1:37" x14ac:dyDescent="0.2">
      <c r="A1153" s="1">
        <v>1000000</v>
      </c>
      <c r="B1153" s="1">
        <v>951400147</v>
      </c>
      <c r="C1153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153" s="1">
        <v>8998</v>
      </c>
      <c r="E1153" s="1">
        <v>998080</v>
      </c>
      <c r="F1153" s="1">
        <v>95</v>
      </c>
      <c r="G1153" s="1">
        <v>1920</v>
      </c>
      <c r="H1153" s="1" t="str">
        <f>"95/11/24"</f>
        <v>95/11/24</v>
      </c>
      <c r="I1153" s="1" t="str">
        <f t="shared" si="285"/>
        <v>كيلوگرم</v>
      </c>
      <c r="J1153" s="1" t="str">
        <f t="shared" si="296"/>
        <v>0000000092</v>
      </c>
      <c r="K1153" s="1" t="str">
        <f t="shared" si="297"/>
        <v>قير  PG64-16</v>
      </c>
      <c r="L1153" s="1">
        <v>100</v>
      </c>
      <c r="M1153" s="1" t="str">
        <f t="shared" si="291"/>
        <v>مخازن قير اصفهان</v>
      </c>
      <c r="N1153" s="1">
        <v>11038</v>
      </c>
      <c r="O1153" s="1">
        <v>50033692</v>
      </c>
      <c r="P1153" s="1" t="str">
        <f>"  پل پي ساحل"</f>
        <v xml:space="preserve">  پل پي ساحل</v>
      </c>
      <c r="Q1153" s="1">
        <v>14</v>
      </c>
      <c r="R1153" s="1" t="str">
        <f>"فروش داخلي - وزارت راه - حوزه راه روستايي ساخت"</f>
        <v>فروش داخلي - وزارت راه - حوزه راه روستايي ساخت</v>
      </c>
      <c r="S1153" s="1" t="str">
        <f t="shared" si="286"/>
        <v>قرارداد فروش</v>
      </c>
      <c r="T1153" s="1" t="str">
        <f t="shared" si="287"/>
        <v>ندارد</v>
      </c>
      <c r="U1153" s="1" t="str">
        <f>"قره باغي مجيد(1871065)"</f>
        <v>قره باغي مجيد(1871065)</v>
      </c>
      <c r="V1153" s="1">
        <v>951400147</v>
      </c>
      <c r="W1153" s="1">
        <v>951400147</v>
      </c>
      <c r="X1153" s="1" t="str">
        <f>"1395464415"</f>
        <v>1395464415</v>
      </c>
      <c r="Y1153" s="1" t="str">
        <f>"95/11/24"</f>
        <v>95/11/24</v>
      </c>
      <c r="Z1153" s="1" t="str">
        <f>"57457/710"</f>
        <v>57457/710</v>
      </c>
      <c r="AA1153" s="1" t="str">
        <f>"راه وروستايي -ساخت"</f>
        <v>راه وروستايي -ساخت</v>
      </c>
      <c r="AB1153" s="1" t="str">
        <f>"95/11/17"</f>
        <v>95/11/17</v>
      </c>
      <c r="AC1153" s="1" t="str">
        <f>"استان هرمزگان"</f>
        <v>استان هرمزگان</v>
      </c>
      <c r="AD1153" s="1" t="str">
        <f>"95/11/23"</f>
        <v>95/11/23</v>
      </c>
      <c r="AE1153" s="1" t="str">
        <f t="shared" si="295"/>
        <v>اختتام</v>
      </c>
      <c r="AF1153" s="1" t="str">
        <f>""</f>
        <v/>
      </c>
      <c r="AG1153" s="1" t="str">
        <f>""</f>
        <v/>
      </c>
      <c r="AH1153" s="1" t="str">
        <f>""</f>
        <v/>
      </c>
      <c r="AI1153" s="1" t="str">
        <f>""</f>
        <v/>
      </c>
      <c r="AJ1153" s="1" t="str">
        <f>""</f>
        <v/>
      </c>
      <c r="AK1153" s="1" t="str">
        <f>""</f>
        <v/>
      </c>
    </row>
    <row r="1154" spans="1:37" x14ac:dyDescent="0.2">
      <c r="A1154" s="1">
        <v>200000</v>
      </c>
      <c r="B1154" s="1">
        <v>951900063</v>
      </c>
      <c r="C1154" s="1" t="str">
        <f>"تخليه -اصفهان -نايين انارك 5كيلومتري انارك كارخانه آسفالت شركت فردسازه سپاهان"</f>
        <v>تخليه -اصفهان -نايين انارك 5كيلومتري انارك كارخانه آسفالت شركت فردسازه سپاهان</v>
      </c>
      <c r="D1154" s="1">
        <v>6726</v>
      </c>
      <c r="E1154" s="1">
        <v>200000</v>
      </c>
      <c r="F1154" s="1">
        <v>95</v>
      </c>
      <c r="G1154" s="1">
        <v>0</v>
      </c>
      <c r="H1154" s="1" t="str">
        <f>"95/05/04"</f>
        <v>95/05/04</v>
      </c>
      <c r="I1154" s="1" t="str">
        <f t="shared" ref="I1154:I1217" si="298">"كيلوگرم"</f>
        <v>كيلوگرم</v>
      </c>
      <c r="J1154" s="1" t="str">
        <f t="shared" si="296"/>
        <v>0000000092</v>
      </c>
      <c r="K1154" s="1" t="str">
        <f t="shared" si="297"/>
        <v>قير  PG64-16</v>
      </c>
      <c r="L1154" s="1">
        <v>100</v>
      </c>
      <c r="M1154" s="1" t="str">
        <f t="shared" si="291"/>
        <v>مخازن قير اصفهان</v>
      </c>
      <c r="N1154" s="1">
        <v>11068</v>
      </c>
      <c r="O1154" s="1">
        <v>50031340</v>
      </c>
      <c r="P1154" s="1" t="str">
        <f>"  بتن گسترسبزسپاهان"</f>
        <v xml:space="preserve">  بتن گسترسبزسپاهان</v>
      </c>
      <c r="Q1154" s="1">
        <v>19</v>
      </c>
      <c r="R11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54" s="1" t="str">
        <f t="shared" ref="S1154:S1217" si="299">"قرارداد فروش"</f>
        <v>قرارداد فروش</v>
      </c>
      <c r="T1154" s="1" t="str">
        <f t="shared" ref="T1154:T1217" si="300">"ندارد"</f>
        <v>ندارد</v>
      </c>
      <c r="U1154" s="1" t="str">
        <f>"علي عابدي ابوالقاسم(1003ج89)"</f>
        <v>علي عابدي ابوالقاسم(1003ج89)</v>
      </c>
      <c r="V1154" s="1">
        <v>951900063</v>
      </c>
      <c r="W1154" s="1">
        <v>951900063</v>
      </c>
      <c r="X1154" s="1" t="str">
        <f>"1395417773"</f>
        <v>1395417773</v>
      </c>
      <c r="Y1154" s="1" t="str">
        <f>"95/05/04"</f>
        <v>95/05/04</v>
      </c>
      <c r="Z1154" s="1" t="str">
        <f>"18466/510"</f>
        <v>18466/510</v>
      </c>
      <c r="AA1154" s="1" t="str">
        <f>"سازمان راهداري وحمل نقل جاده اي"</f>
        <v>سازمان راهداري وحمل نقل جاده اي</v>
      </c>
      <c r="AB1154" s="1" t="str">
        <f>"95/04/28"</f>
        <v>95/04/28</v>
      </c>
      <c r="AC1154" s="1" t="str">
        <f>"كهكيلويه و بوير احمد"</f>
        <v>كهكيلويه و بوير احمد</v>
      </c>
      <c r="AD1154" s="1" t="str">
        <f>"95/05/04"</f>
        <v>95/05/04</v>
      </c>
      <c r="AE1154" s="1" t="str">
        <f t="shared" si="295"/>
        <v>اختتام</v>
      </c>
      <c r="AF1154" s="1" t="str">
        <f>""</f>
        <v/>
      </c>
      <c r="AG1154" s="1" t="str">
        <f>""</f>
        <v/>
      </c>
      <c r="AH1154" s="1" t="str">
        <f>""</f>
        <v/>
      </c>
      <c r="AI1154" s="1" t="str">
        <f>""</f>
        <v/>
      </c>
      <c r="AJ1154" s="1" t="str">
        <f>""</f>
        <v/>
      </c>
      <c r="AK1154" s="1" t="str">
        <f>""</f>
        <v/>
      </c>
    </row>
    <row r="1155" spans="1:37" x14ac:dyDescent="0.2">
      <c r="A1155" s="1">
        <v>120000</v>
      </c>
      <c r="B1155" s="1">
        <v>951100152</v>
      </c>
      <c r="C1155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155" s="1">
        <v>7026</v>
      </c>
      <c r="E1155" s="1">
        <v>119980</v>
      </c>
      <c r="F1155" s="1">
        <v>95</v>
      </c>
      <c r="G1155" s="1">
        <v>20</v>
      </c>
      <c r="H1155" s="1" t="str">
        <f>"95/09/15"</f>
        <v>95/09/15</v>
      </c>
      <c r="I1155" s="1" t="str">
        <f t="shared" si="298"/>
        <v>كيلوگرم</v>
      </c>
      <c r="J1155" s="1" t="str">
        <f>"0000000076"</f>
        <v>0000000076</v>
      </c>
      <c r="K1155" s="1" t="str">
        <f>"قير 60/70 - فله"</f>
        <v>قير 60/70 - فله</v>
      </c>
      <c r="L1155" s="1">
        <v>100</v>
      </c>
      <c r="M1155" s="1" t="str">
        <f t="shared" si="291"/>
        <v>مخازن قير اصفهان</v>
      </c>
      <c r="N1155" s="1">
        <v>9345</v>
      </c>
      <c r="O1155" s="1">
        <v>50032856</v>
      </c>
      <c r="P1155" s="1" t="str">
        <f>"  ثمين راه صفاهان"</f>
        <v xml:space="preserve">  ثمين راه صفاهان</v>
      </c>
      <c r="Q1155" s="1">
        <v>11</v>
      </c>
      <c r="R1155" s="1" t="str">
        <f>"فروش داخلي تهران - بورس"</f>
        <v>فروش داخلي تهران - بورس</v>
      </c>
      <c r="S1155" s="1" t="str">
        <f t="shared" si="299"/>
        <v>قرارداد فروش</v>
      </c>
      <c r="T1155" s="1" t="str">
        <f t="shared" si="300"/>
        <v>ندارد</v>
      </c>
      <c r="U1155" s="1" t="str">
        <f>"تعاوني جم گستر (1001 ج 89)"</f>
        <v>تعاوني جم گستر (1001 ج 89)</v>
      </c>
      <c r="V1155" s="1">
        <v>951100152</v>
      </c>
      <c r="W1155" s="1">
        <v>951100152</v>
      </c>
      <c r="X1155" s="1" t="str">
        <f>"1395447797"</f>
        <v>1395447797</v>
      </c>
      <c r="Y1155" s="1" t="str">
        <f>"95/09/14"</f>
        <v>95/09/14</v>
      </c>
      <c r="Z1155" s="1" t="str">
        <f>"95-34868"</f>
        <v>95-34868</v>
      </c>
      <c r="AA1155" s="1" t="str">
        <f>"راه سازي"</f>
        <v>راه سازي</v>
      </c>
      <c r="AB1155" s="1" t="str">
        <f>"95/09/14"</f>
        <v>95/09/14</v>
      </c>
      <c r="AC1155" s="1" t="str">
        <f>"استان اصفهان"</f>
        <v>استان اصفهان</v>
      </c>
      <c r="AD1155" s="1" t="str">
        <f>"95/09/07"</f>
        <v>95/09/07</v>
      </c>
      <c r="AE1155" s="1" t="str">
        <f t="shared" si="295"/>
        <v>اختتام</v>
      </c>
      <c r="AF1155" s="1" t="str">
        <f>""</f>
        <v/>
      </c>
      <c r="AG1155" s="1" t="str">
        <f>""</f>
        <v/>
      </c>
      <c r="AH1155" s="1" t="str">
        <f>""</f>
        <v/>
      </c>
      <c r="AI1155" s="1" t="str">
        <f>""</f>
        <v/>
      </c>
      <c r="AJ1155" s="1" t="str">
        <f>""</f>
        <v/>
      </c>
      <c r="AK1155" s="1" t="str">
        <f>""</f>
        <v/>
      </c>
    </row>
    <row r="1156" spans="1:37" x14ac:dyDescent="0.2">
      <c r="A1156" s="1">
        <v>151000</v>
      </c>
      <c r="B1156" s="1">
        <v>952000292</v>
      </c>
      <c r="C1156" s="1" t="str">
        <f>"تخليه -كيلومتر15جاده نائين -اصفهان -شهرداري نائين"</f>
        <v>تخليه -كيلومتر15جاده نائين -اصفهان -شهرداري نائين</v>
      </c>
      <c r="D1156" s="1">
        <v>7026</v>
      </c>
      <c r="E1156" s="1">
        <v>149760</v>
      </c>
      <c r="F1156" s="1">
        <v>95</v>
      </c>
      <c r="G1156" s="1">
        <v>1240</v>
      </c>
      <c r="H1156" s="1" t="str">
        <f>"95/09/09"</f>
        <v>95/09/09</v>
      </c>
      <c r="I1156" s="1" t="str">
        <f t="shared" si="298"/>
        <v>كيلوگرم</v>
      </c>
      <c r="J1156" s="1" t="str">
        <f>"0000000076"</f>
        <v>0000000076</v>
      </c>
      <c r="K1156" s="1" t="str">
        <f>"قير 60/70 - فله"</f>
        <v>قير 60/70 - فله</v>
      </c>
      <c r="L1156" s="1">
        <v>100</v>
      </c>
      <c r="M1156" s="1" t="str">
        <f t="shared" si="291"/>
        <v>مخازن قير اصفهان</v>
      </c>
      <c r="N1156" s="1">
        <v>9363</v>
      </c>
      <c r="O1156" s="1">
        <v>50032773</v>
      </c>
      <c r="P1156" s="1" t="str">
        <f>"  شهرداري نائين"</f>
        <v xml:space="preserve">  شهرداري نائين</v>
      </c>
      <c r="Q1156" s="1">
        <v>20</v>
      </c>
      <c r="R1156" s="1" t="str">
        <f>"فروش داخلي - سازمان شهرداري ها و دهياري هاي كشور"</f>
        <v>فروش داخلي - سازمان شهرداري ها و دهياري هاي كشور</v>
      </c>
      <c r="S1156" s="1" t="str">
        <f t="shared" si="299"/>
        <v>قرارداد فروش</v>
      </c>
      <c r="T1156" s="1" t="str">
        <f t="shared" si="300"/>
        <v>ندارد</v>
      </c>
      <c r="U1156" s="1" t="str">
        <f>"ريسماني حسن(1007ج89)"</f>
        <v>ريسماني حسن(1007ج89)</v>
      </c>
      <c r="V1156" s="1">
        <v>952000292</v>
      </c>
      <c r="W1156" s="1">
        <v>952000292</v>
      </c>
      <c r="X1156" s="1" t="str">
        <f>"1395447798"</f>
        <v>1395447798</v>
      </c>
      <c r="Y1156" s="1" t="str">
        <f>"95/09/09"</f>
        <v>95/09/09</v>
      </c>
      <c r="Z1156" s="1" t="str">
        <f>"43281"</f>
        <v>43281</v>
      </c>
      <c r="AA1156" s="1" t="str">
        <f>"شهرداريها"</f>
        <v>شهرداريها</v>
      </c>
      <c r="AB1156" s="1" t="str">
        <f>"95/09/02"</f>
        <v>95/09/02</v>
      </c>
      <c r="AC1156" s="1" t="str">
        <f>"استان اصفهان"</f>
        <v>استان اصفهان</v>
      </c>
      <c r="AD1156" s="1" t="str">
        <f>"95/09/07"</f>
        <v>95/09/07</v>
      </c>
      <c r="AE1156" s="1" t="str">
        <f t="shared" si="295"/>
        <v>اختتام</v>
      </c>
      <c r="AF1156" s="1" t="str">
        <f>""</f>
        <v/>
      </c>
      <c r="AG1156" s="1" t="str">
        <f>""</f>
        <v/>
      </c>
      <c r="AH1156" s="1" t="str">
        <f>""</f>
        <v/>
      </c>
      <c r="AI1156" s="1" t="str">
        <f>""</f>
        <v/>
      </c>
      <c r="AJ1156" s="1" t="str">
        <f>""</f>
        <v/>
      </c>
      <c r="AK1156" s="1" t="str">
        <f>""</f>
        <v/>
      </c>
    </row>
    <row r="1157" spans="1:37" x14ac:dyDescent="0.2">
      <c r="A1157" s="1">
        <v>500000</v>
      </c>
      <c r="B1157" s="1">
        <v>951900290</v>
      </c>
      <c r="C1157" s="1" t="str">
        <f>"تخليه لرستان كيلومتر12دورودازناشركت راه شكاف زاگرس"</f>
        <v>تخليه لرستان كيلومتر12دورودازناشركت راه شكاف زاگرس</v>
      </c>
      <c r="D1157" s="1">
        <v>9068</v>
      </c>
      <c r="E1157" s="1">
        <v>499740</v>
      </c>
      <c r="F1157" s="1">
        <v>95</v>
      </c>
      <c r="G1157" s="1">
        <v>260</v>
      </c>
      <c r="H1157" s="1" t="str">
        <f>"95/12/19"</f>
        <v>95/12/19</v>
      </c>
      <c r="I1157" s="1" t="str">
        <f t="shared" si="298"/>
        <v>كيلوگرم</v>
      </c>
      <c r="J1157" s="1" t="str">
        <f>"0000000091"</f>
        <v>0000000091</v>
      </c>
      <c r="K1157" s="1" t="str">
        <f>"قير  PG64-22"</f>
        <v>قير  PG64-22</v>
      </c>
      <c r="L1157" s="1">
        <v>100</v>
      </c>
      <c r="M1157" s="1" t="str">
        <f t="shared" si="291"/>
        <v>مخازن قير اصفهان</v>
      </c>
      <c r="N1157" s="1">
        <v>11295</v>
      </c>
      <c r="O1157" s="1">
        <v>50034109</v>
      </c>
      <c r="P1157" s="1" t="str">
        <f>"  اداره كل راهداري وحمل ونقل جاده اي لرستان"</f>
        <v xml:space="preserve">  اداره كل راهداري وحمل ونقل جاده اي لرستان</v>
      </c>
      <c r="Q1157" s="1">
        <v>19</v>
      </c>
      <c r="R11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57" s="1" t="str">
        <f t="shared" si="299"/>
        <v>قرارداد فروش</v>
      </c>
      <c r="T1157" s="1" t="str">
        <f t="shared" si="300"/>
        <v>ندارد</v>
      </c>
      <c r="U1157" s="1" t="str">
        <f>"ريسماني حسن(1007ج89)"</f>
        <v>ريسماني حسن(1007ج89)</v>
      </c>
      <c r="V1157" s="1">
        <v>951900290</v>
      </c>
      <c r="W1157" s="1">
        <v>951900290</v>
      </c>
      <c r="X1157" s="1" t="str">
        <f>"1395470074"</f>
        <v>1395470074</v>
      </c>
      <c r="Y1157" s="1" t="str">
        <f>"95/12/19"</f>
        <v>95/12/19</v>
      </c>
      <c r="Z1157" s="1" t="str">
        <f>"64866/710"</f>
        <v>64866/710</v>
      </c>
      <c r="AA1157" s="1" t="str">
        <f>"سازمان راهداري وحمل نقل جاده اي"</f>
        <v>سازمان راهداري وحمل نقل جاده اي</v>
      </c>
      <c r="AB1157" s="1" t="str">
        <f>"95/12/17"</f>
        <v>95/12/17</v>
      </c>
      <c r="AC1157" s="1" t="str">
        <f>"لرستان"</f>
        <v>لرستان</v>
      </c>
      <c r="AD1157" s="1" t="str">
        <f>"95/12/18"</f>
        <v>95/12/18</v>
      </c>
      <c r="AE1157" s="1" t="str">
        <f t="shared" si="295"/>
        <v>اختتام</v>
      </c>
      <c r="AF1157" s="1" t="str">
        <f>""</f>
        <v/>
      </c>
      <c r="AG1157" s="1" t="str">
        <f>""</f>
        <v/>
      </c>
      <c r="AH1157" s="1" t="str">
        <f>""</f>
        <v/>
      </c>
      <c r="AI1157" s="1" t="str">
        <f>""</f>
        <v/>
      </c>
      <c r="AJ1157" s="1" t="str">
        <f>""</f>
        <v/>
      </c>
      <c r="AK1157" s="1" t="str">
        <f>""</f>
        <v/>
      </c>
    </row>
    <row r="1158" spans="1:37" x14ac:dyDescent="0.2">
      <c r="A1158" s="1">
        <v>350000</v>
      </c>
      <c r="B1158" s="1">
        <v>951800036</v>
      </c>
      <c r="C1158" s="1" t="str">
        <f>"تخليه يزدشهرستان قائم كيلومتر5جاده هرات شهربانك كارگاه شركت مكران"</f>
        <v>تخليه يزدشهرستان قائم كيلومتر5جاده هرات شهربانك كارگاه شركت مكران</v>
      </c>
      <c r="D1158" s="1">
        <v>6726</v>
      </c>
      <c r="E1158" s="1">
        <v>325180</v>
      </c>
      <c r="F1158" s="1">
        <v>95</v>
      </c>
      <c r="G1158" s="1">
        <v>24820</v>
      </c>
      <c r="H1158" s="1" t="str">
        <f>"95/05/05"</f>
        <v>95/05/05</v>
      </c>
      <c r="I1158" s="1" t="str">
        <f t="shared" si="298"/>
        <v>كيلوگرم</v>
      </c>
      <c r="J1158" s="1" t="str">
        <f>"0000000092"</f>
        <v>0000000092</v>
      </c>
      <c r="K1158" s="1" t="str">
        <f>"قير  PG64-16"</f>
        <v>قير  PG64-16</v>
      </c>
      <c r="L1158" s="1">
        <v>100</v>
      </c>
      <c r="M1158" s="1" t="str">
        <f t="shared" si="291"/>
        <v>مخازن قير اصفهان</v>
      </c>
      <c r="N1158" s="1">
        <v>11141</v>
      </c>
      <c r="O1158" s="1">
        <v>50031352</v>
      </c>
      <c r="P1158" s="1" t="str">
        <f>"  راه وساختمان مكران"</f>
        <v xml:space="preserve">  راه وساختمان مكران</v>
      </c>
      <c r="Q1158" s="1">
        <v>18</v>
      </c>
      <c r="R1158" s="1" t="str">
        <f>"فروش داخلي تهران - وزارت راه - شرکت ساخت و توسعه راهها"</f>
        <v>فروش داخلي تهران - وزارت راه - شرکت ساخت و توسعه راهها</v>
      </c>
      <c r="S1158" s="1" t="str">
        <f t="shared" si="299"/>
        <v>قرارداد فروش</v>
      </c>
      <c r="T1158" s="1" t="str">
        <f t="shared" si="300"/>
        <v>ندارد</v>
      </c>
      <c r="U1158" s="1" t="str">
        <f>"پورباقري ترابر (4914036)"</f>
        <v>پورباقري ترابر (4914036)</v>
      </c>
      <c r="V1158" s="1">
        <v>951800036</v>
      </c>
      <c r="W1158" s="1">
        <v>951800036</v>
      </c>
      <c r="X1158" s="1" t="str">
        <f>"1395417777"</f>
        <v>1395417777</v>
      </c>
      <c r="Y1158" s="1" t="str">
        <f>"95/05/05"</f>
        <v>95/05/05</v>
      </c>
      <c r="Z1158" s="1" t="str">
        <f>"18146/510"</f>
        <v>18146/510</v>
      </c>
      <c r="AA1158" s="1" t="str">
        <f>"شركت  ساخت وتوسعه راهها"</f>
        <v>شركت  ساخت وتوسعه راهها</v>
      </c>
      <c r="AB1158" s="1" t="str">
        <f>"95/04/27"</f>
        <v>95/04/27</v>
      </c>
      <c r="AC1158" s="1" t="str">
        <f>"استان يزد"</f>
        <v>استان يزد</v>
      </c>
      <c r="AD1158" s="1" t="str">
        <f>"95/05/04"</f>
        <v>95/05/04</v>
      </c>
      <c r="AE1158" s="1" t="str">
        <f t="shared" si="295"/>
        <v>اختتام</v>
      </c>
      <c r="AF1158" s="1" t="str">
        <f>""</f>
        <v/>
      </c>
      <c r="AG1158" s="1" t="str">
        <f>""</f>
        <v/>
      </c>
      <c r="AH1158" s="1" t="str">
        <f>""</f>
        <v/>
      </c>
      <c r="AI1158" s="1" t="str">
        <f>""</f>
        <v/>
      </c>
      <c r="AJ1158" s="1" t="str">
        <f>""</f>
        <v/>
      </c>
      <c r="AK1158" s="1" t="str">
        <f>""</f>
        <v/>
      </c>
    </row>
    <row r="1159" spans="1:37" x14ac:dyDescent="0.2">
      <c r="A1159" s="1">
        <v>225000</v>
      </c>
      <c r="B1159" s="1">
        <v>951400113</v>
      </c>
      <c r="C1159" s="1" t="str">
        <f>"تخليه كرمان جنوب جاده رودان كهنوج بعدازدوراهي منوجان كارخانه آسفالت شركت پي و پل جنوب"</f>
        <v>تخليه كرمان جنوب جاده رودان كهنوج بعدازدوراهي منوجان كارخانه آسفالت شركت پي و پل جنوب</v>
      </c>
      <c r="D1159" s="1">
        <v>9061</v>
      </c>
      <c r="E1159" s="1">
        <v>223720</v>
      </c>
      <c r="F1159" s="1">
        <v>95</v>
      </c>
      <c r="G1159" s="1">
        <v>1280</v>
      </c>
      <c r="H1159" s="1" t="str">
        <f>"95/10/13"</f>
        <v>95/10/13</v>
      </c>
      <c r="I1159" s="1" t="str">
        <f t="shared" si="298"/>
        <v>كيلوگرم</v>
      </c>
      <c r="J1159" s="1" t="str">
        <f>"0000000092"</f>
        <v>0000000092</v>
      </c>
      <c r="K1159" s="1" t="str">
        <f>"قير  PG64-16"</f>
        <v>قير  PG64-16</v>
      </c>
      <c r="L1159" s="1">
        <v>100</v>
      </c>
      <c r="M1159" s="1" t="str">
        <f t="shared" si="291"/>
        <v>مخازن قير اصفهان</v>
      </c>
      <c r="N1159" s="1">
        <v>11229</v>
      </c>
      <c r="O1159" s="1">
        <v>50033257</v>
      </c>
      <c r="P1159" s="1" t="str">
        <f>"  راهسازان فرازپي پايتخت"</f>
        <v xml:space="preserve">  راهسازان فرازپي پايتخت</v>
      </c>
      <c r="Q1159" s="1">
        <v>14</v>
      </c>
      <c r="R1159" s="1" t="str">
        <f>"فروش داخلي - وزارت راه - حوزه راه روستايي ساخت"</f>
        <v>فروش داخلي - وزارت راه - حوزه راه روستايي ساخت</v>
      </c>
      <c r="S1159" s="1" t="str">
        <f t="shared" si="299"/>
        <v>قرارداد فروش</v>
      </c>
      <c r="T1159" s="1" t="str">
        <f t="shared" si="300"/>
        <v>ندارد</v>
      </c>
      <c r="U1159" s="1" t="str">
        <f>"قره باغي مجيد(1871065)"</f>
        <v>قره باغي مجيد(1871065)</v>
      </c>
      <c r="V1159" s="1">
        <v>951400113</v>
      </c>
      <c r="W1159" s="1">
        <v>951400113</v>
      </c>
      <c r="X1159" s="1" t="str">
        <f>"1395456222"</f>
        <v>1395456222</v>
      </c>
      <c r="Y1159" s="1" t="str">
        <f>"95/10/12"</f>
        <v>95/10/12</v>
      </c>
      <c r="Z1159" s="1" t="str">
        <f>"48980/710"</f>
        <v>48980/710</v>
      </c>
      <c r="AA1159" s="1" t="str">
        <f>"راه وروستايي -ساخت"</f>
        <v>راه وروستايي -ساخت</v>
      </c>
      <c r="AB1159" s="1" t="str">
        <f>"95/10/06"</f>
        <v>95/10/06</v>
      </c>
      <c r="AC1159" s="1" t="str">
        <f>"جنوب کرمان"</f>
        <v>جنوب کرمان</v>
      </c>
      <c r="AD1159" s="1" t="str">
        <f>"95/10/12"</f>
        <v>95/10/12</v>
      </c>
      <c r="AE1159" s="1" t="str">
        <f t="shared" si="295"/>
        <v>اختتام</v>
      </c>
      <c r="AF1159" s="1" t="str">
        <f>""</f>
        <v/>
      </c>
      <c r="AG1159" s="1" t="str">
        <f>""</f>
        <v/>
      </c>
      <c r="AH1159" s="1" t="str">
        <f>""</f>
        <v/>
      </c>
      <c r="AI1159" s="1" t="str">
        <f>""</f>
        <v/>
      </c>
      <c r="AJ1159" s="1" t="str">
        <f>""</f>
        <v/>
      </c>
      <c r="AK1159" s="1" t="str">
        <f>""</f>
        <v/>
      </c>
    </row>
    <row r="1160" spans="1:37" x14ac:dyDescent="0.2">
      <c r="A1160" s="1">
        <v>303000</v>
      </c>
      <c r="B1160" s="1">
        <v>951400115</v>
      </c>
      <c r="C1160" s="1" t="str">
        <f>"تخليه كرمان جنوب جاده رودان كهنوج بعدازدوراهي منوجان كارخانه آسفالت شركت پي و پل جنوب"</f>
        <v>تخليه كرمان جنوب جاده رودان كهنوج بعدازدوراهي منوجان كارخانه آسفالت شركت پي و پل جنوب</v>
      </c>
      <c r="D1160" s="1">
        <v>9061</v>
      </c>
      <c r="E1160" s="1">
        <v>302280</v>
      </c>
      <c r="F1160" s="1">
        <v>95</v>
      </c>
      <c r="G1160" s="1">
        <v>720</v>
      </c>
      <c r="H1160" s="1" t="str">
        <f>"95/10/13"</f>
        <v>95/10/13</v>
      </c>
      <c r="I1160" s="1" t="str">
        <f t="shared" si="298"/>
        <v>كيلوگرم</v>
      </c>
      <c r="J1160" s="1" t="str">
        <f>"0000000092"</f>
        <v>0000000092</v>
      </c>
      <c r="K1160" s="1" t="str">
        <f>"قير  PG64-16"</f>
        <v>قير  PG64-16</v>
      </c>
      <c r="L1160" s="1">
        <v>100</v>
      </c>
      <c r="M1160" s="1" t="str">
        <f t="shared" ref="M1160:M1223" si="301">"مخازن قير اصفهان"</f>
        <v>مخازن قير اصفهان</v>
      </c>
      <c r="N1160" s="1">
        <v>11229</v>
      </c>
      <c r="O1160" s="1">
        <v>50033259</v>
      </c>
      <c r="P1160" s="1" t="str">
        <f>"  راهسازان فرازپي پايتخت"</f>
        <v xml:space="preserve">  راهسازان فرازپي پايتخت</v>
      </c>
      <c r="Q1160" s="1">
        <v>14</v>
      </c>
      <c r="R1160" s="1" t="str">
        <f>"فروش داخلي - وزارت راه - حوزه راه روستايي ساخت"</f>
        <v>فروش داخلي - وزارت راه - حوزه راه روستايي ساخت</v>
      </c>
      <c r="S1160" s="1" t="str">
        <f t="shared" si="299"/>
        <v>قرارداد فروش</v>
      </c>
      <c r="T1160" s="1" t="str">
        <f t="shared" si="300"/>
        <v>ندارد</v>
      </c>
      <c r="U1160" s="1" t="str">
        <f>"قره باغي مجيد(1871065)"</f>
        <v>قره باغي مجيد(1871065)</v>
      </c>
      <c r="V1160" s="1">
        <v>951400115</v>
      </c>
      <c r="W1160" s="1">
        <v>951400115</v>
      </c>
      <c r="X1160" s="1" t="str">
        <f>"1395456222"</f>
        <v>1395456222</v>
      </c>
      <c r="Y1160" s="1" t="str">
        <f>"95/10/12"</f>
        <v>95/10/12</v>
      </c>
      <c r="Z1160" s="1" t="str">
        <f>"48997/710"</f>
        <v>48997/710</v>
      </c>
      <c r="AA1160" s="1" t="str">
        <f>"راه وروستايي -ساخت"</f>
        <v>راه وروستايي -ساخت</v>
      </c>
      <c r="AB1160" s="1" t="str">
        <f>"95/10/06"</f>
        <v>95/10/06</v>
      </c>
      <c r="AC1160" s="1" t="str">
        <f>"جنوب کرمان"</f>
        <v>جنوب کرمان</v>
      </c>
      <c r="AD1160" s="1" t="str">
        <f>"95/10/12"</f>
        <v>95/10/12</v>
      </c>
      <c r="AE1160" s="1" t="str">
        <f t="shared" si="295"/>
        <v>اختتام</v>
      </c>
      <c r="AF1160" s="1" t="str">
        <f>""</f>
        <v/>
      </c>
      <c r="AG1160" s="1" t="str">
        <f>""</f>
        <v/>
      </c>
      <c r="AH1160" s="1" t="str">
        <f>""</f>
        <v/>
      </c>
      <c r="AI1160" s="1" t="str">
        <f>""</f>
        <v/>
      </c>
      <c r="AJ1160" s="1" t="str">
        <f>""</f>
        <v/>
      </c>
      <c r="AK1160" s="1" t="str">
        <f>""</f>
        <v/>
      </c>
    </row>
    <row r="1161" spans="1:37" x14ac:dyDescent="0.2">
      <c r="A1161" s="1">
        <v>32460</v>
      </c>
      <c r="B1161" s="1">
        <v>951800086</v>
      </c>
      <c r="C1161" s="1" t="str">
        <f>"تخليه - شيراز-کازرون -سه راهي راهدار -کارخانه آسفالت جلالي"</f>
        <v>تخليه - شيراز-کازرون -سه راهي راهدار -کارخانه آسفالت جلالي</v>
      </c>
      <c r="D1161" s="1">
        <v>8323</v>
      </c>
      <c r="E1161" s="1">
        <v>29860</v>
      </c>
      <c r="F1161" s="1">
        <v>95</v>
      </c>
      <c r="G1161" s="1">
        <v>2600</v>
      </c>
      <c r="H1161" s="1" t="str">
        <f>"95/08/08"</f>
        <v>95/08/08</v>
      </c>
      <c r="I1161" s="1" t="str">
        <f t="shared" si="298"/>
        <v>كيلوگرم</v>
      </c>
      <c r="J1161" s="1" t="str">
        <f>"0000000092"</f>
        <v>0000000092</v>
      </c>
      <c r="K1161" s="1" t="str">
        <f>"قير  PG64-16"</f>
        <v>قير  PG64-16</v>
      </c>
      <c r="L1161" s="1">
        <v>100</v>
      </c>
      <c r="M1161" s="1" t="str">
        <f t="shared" si="301"/>
        <v>مخازن قير اصفهان</v>
      </c>
      <c r="N1161" s="1">
        <v>8005</v>
      </c>
      <c r="O1161" s="1">
        <v>50032330</v>
      </c>
      <c r="P1161" s="1" t="str">
        <f>"  جهاد نصرخراسان(1841074)"</f>
        <v xml:space="preserve">  جهاد نصرخراسان(1841074)</v>
      </c>
      <c r="Q1161" s="1">
        <v>18</v>
      </c>
      <c r="R1161" s="1" t="str">
        <f>"فروش داخلي تهران - وزارت راه - شرکت ساخت و توسعه راهها"</f>
        <v>فروش داخلي تهران - وزارت راه - شرکت ساخت و توسعه راهها</v>
      </c>
      <c r="S1161" s="1" t="str">
        <f t="shared" si="299"/>
        <v>قرارداد فروش</v>
      </c>
      <c r="T1161" s="1" t="str">
        <f t="shared" si="300"/>
        <v>ندارد</v>
      </c>
      <c r="U1161" s="1" t="str">
        <f>"اژدري مسعود(4844011)"</f>
        <v>اژدري مسعود(4844011)</v>
      </c>
      <c r="V1161" s="1">
        <v>951800086</v>
      </c>
      <c r="W1161" s="1">
        <v>951800086</v>
      </c>
      <c r="X1161" s="1" t="str">
        <f>"1395426946"</f>
        <v>1395426946</v>
      </c>
      <c r="Y1161" s="1" t="str">
        <f>"95/08/08"</f>
        <v>95/08/08</v>
      </c>
      <c r="Z1161" s="1" t="str">
        <f>"24479/510"</f>
        <v>24479/510</v>
      </c>
      <c r="AA1161" s="1" t="str">
        <f>"شركت  ساخت وتوسعه راهها"</f>
        <v>شركت  ساخت وتوسعه راهها</v>
      </c>
      <c r="AB1161" s="1" t="str">
        <f>"95/05/30"</f>
        <v>95/05/30</v>
      </c>
      <c r="AC1161" s="1" t="str">
        <f>"استان فارس"</f>
        <v>استان فارس</v>
      </c>
      <c r="AD1161" s="1" t="str">
        <f>"95/06/06"</f>
        <v>95/06/06</v>
      </c>
      <c r="AE1161" s="1" t="str">
        <f t="shared" si="295"/>
        <v>اختتام</v>
      </c>
      <c r="AF1161" s="1" t="str">
        <f>""</f>
        <v/>
      </c>
      <c r="AG1161" s="1" t="str">
        <f>""</f>
        <v/>
      </c>
      <c r="AH1161" s="1" t="str">
        <f>""</f>
        <v/>
      </c>
      <c r="AI1161" s="1" t="str">
        <f>""</f>
        <v/>
      </c>
      <c r="AJ1161" s="1" t="str">
        <f>""</f>
        <v/>
      </c>
      <c r="AK1161" s="1" t="str">
        <f>""</f>
        <v/>
      </c>
    </row>
    <row r="1162" spans="1:37" x14ac:dyDescent="0.2">
      <c r="A1162" s="1">
        <v>400000</v>
      </c>
      <c r="B1162" s="1">
        <v>951800019</v>
      </c>
      <c r="C1162" s="1" t="str">
        <f>"تخليه يزدكيلومتر70محورتفت ابركوه -سورمق -ناوديس راه"</f>
        <v>تخليه يزدكيلومتر70محورتفت ابركوه -سورمق -ناوديس راه</v>
      </c>
      <c r="D1162" s="1">
        <v>6050</v>
      </c>
      <c r="E1162" s="1">
        <v>399820</v>
      </c>
      <c r="F1162" s="1">
        <v>95</v>
      </c>
      <c r="G1162" s="1">
        <v>180</v>
      </c>
      <c r="H1162" s="1" t="str">
        <f>"95/03/26"</f>
        <v>95/03/26</v>
      </c>
      <c r="I1162" s="1" t="str">
        <f t="shared" si="298"/>
        <v>كيلوگرم</v>
      </c>
      <c r="J1162" s="1" t="str">
        <f>"0000000092"</f>
        <v>0000000092</v>
      </c>
      <c r="K1162" s="1" t="str">
        <f>"قير  PG64-16"</f>
        <v>قير  PG64-16</v>
      </c>
      <c r="L1162" s="1">
        <v>100</v>
      </c>
      <c r="M1162" s="1" t="str">
        <f t="shared" si="301"/>
        <v>مخازن قير اصفهان</v>
      </c>
      <c r="N1162" s="1">
        <v>8083</v>
      </c>
      <c r="O1162" s="1">
        <v>50031061</v>
      </c>
      <c r="P1162" s="1" t="str">
        <f>"  ناوديس راه"</f>
        <v xml:space="preserve">  ناوديس راه</v>
      </c>
      <c r="Q1162" s="1">
        <v>18</v>
      </c>
      <c r="R1162" s="1" t="str">
        <f>"فروش داخلي تهران - وزارت راه - شرکت ساخت و توسعه راهها"</f>
        <v>فروش داخلي تهران - وزارت راه - شرکت ساخت و توسعه راهها</v>
      </c>
      <c r="S1162" s="1" t="str">
        <f t="shared" si="299"/>
        <v>قرارداد فروش</v>
      </c>
      <c r="T1162" s="1" t="str">
        <f t="shared" si="300"/>
        <v>ندارد</v>
      </c>
      <c r="U1162" s="1" t="str">
        <f>"عابدي محمود(1018ج89)"</f>
        <v>عابدي محمود(1018ج89)</v>
      </c>
      <c r="V1162" s="1">
        <v>951800019</v>
      </c>
      <c r="W1162" s="1">
        <v>951800019</v>
      </c>
      <c r="X1162" s="1" t="str">
        <f>"1395409795"</f>
        <v>1395409795</v>
      </c>
      <c r="Y1162" s="1" t="str">
        <f>"95/03/26"</f>
        <v>95/03/26</v>
      </c>
      <c r="Z1162" s="1" t="str">
        <f>"11612/510"</f>
        <v>11612/510</v>
      </c>
      <c r="AA1162" s="1" t="str">
        <f>"شركت  ساخت وتوسعه راهها"</f>
        <v>شركت  ساخت وتوسعه راهها</v>
      </c>
      <c r="AB1162" s="1" t="str">
        <f>"95/03/22"</f>
        <v>95/03/22</v>
      </c>
      <c r="AC1162" s="1" t="str">
        <f>"استان يزد"</f>
        <v>استان يزد</v>
      </c>
      <c r="AD1162" s="1" t="str">
        <f>"95/03/26"</f>
        <v>95/03/26</v>
      </c>
      <c r="AE1162" s="1" t="str">
        <f t="shared" si="295"/>
        <v>اختتام</v>
      </c>
      <c r="AF1162" s="1" t="str">
        <f>""</f>
        <v/>
      </c>
      <c r="AG1162" s="1" t="str">
        <f>""</f>
        <v/>
      </c>
      <c r="AH1162" s="1" t="str">
        <f>""</f>
        <v/>
      </c>
      <c r="AI1162" s="1" t="str">
        <f>""</f>
        <v/>
      </c>
      <c r="AJ1162" s="1" t="str">
        <f>""</f>
        <v/>
      </c>
      <c r="AK1162" s="1" t="str">
        <f>""</f>
        <v/>
      </c>
    </row>
    <row r="1163" spans="1:37" x14ac:dyDescent="0.2">
      <c r="A1163" s="1">
        <v>1000000</v>
      </c>
      <c r="B1163" s="1">
        <v>951900265</v>
      </c>
      <c r="C1163" s="1" t="str">
        <f>"تخليه -يزد-كيلومتر15محوريزد-كرمان -حريتاش"</f>
        <v>تخليه -يزد-كيلومتر15محوريزد-كرمان -حريتاش</v>
      </c>
      <c r="D1163" s="1">
        <v>8998</v>
      </c>
      <c r="E1163" s="1">
        <v>998500</v>
      </c>
      <c r="F1163" s="1">
        <v>95</v>
      </c>
      <c r="G1163" s="1">
        <v>1500</v>
      </c>
      <c r="H1163" s="1" t="str">
        <f>"95/12/04"</f>
        <v>95/12/04</v>
      </c>
      <c r="I1163" s="1" t="str">
        <f t="shared" si="298"/>
        <v>كيلوگرم</v>
      </c>
      <c r="J1163" s="1" t="str">
        <f>"0000000093"</f>
        <v>0000000093</v>
      </c>
      <c r="K1163" s="1" t="str">
        <f>"قير  PG64-10"</f>
        <v>قير  PG64-10</v>
      </c>
      <c r="L1163" s="1">
        <v>100</v>
      </c>
      <c r="M1163" s="1" t="str">
        <f t="shared" si="301"/>
        <v>مخازن قير اصفهان</v>
      </c>
      <c r="N1163" s="1">
        <v>1728</v>
      </c>
      <c r="O1163" s="1">
        <v>50033843</v>
      </c>
      <c r="P1163" s="1" t="str">
        <f>"  حريتاش"</f>
        <v xml:space="preserve">  حريتاش</v>
      </c>
      <c r="Q1163" s="1">
        <v>19</v>
      </c>
      <c r="R116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63" s="1" t="str">
        <f t="shared" si="299"/>
        <v>قرارداد فروش</v>
      </c>
      <c r="T1163" s="1" t="str">
        <f t="shared" si="300"/>
        <v>ندارد</v>
      </c>
      <c r="U1163" s="1" t="str">
        <f>"عزيزي صفر(1006ج 89)"</f>
        <v>عزيزي صفر(1006ج 89)</v>
      </c>
      <c r="V1163" s="1">
        <v>951900265</v>
      </c>
      <c r="W1163" s="1">
        <v>951900265</v>
      </c>
      <c r="X1163" s="1" t="str">
        <f>"1395466576"</f>
        <v>1395466576</v>
      </c>
      <c r="Y1163" s="1" t="str">
        <f>"95/12/04"</f>
        <v>95/12/04</v>
      </c>
      <c r="Z1163" s="1" t="str">
        <f>"60001/710"</f>
        <v>60001/710</v>
      </c>
      <c r="AA1163" s="1" t="str">
        <f>"سازمان راهداري وحمل نقل جاده اي"</f>
        <v>سازمان راهداري وحمل نقل جاده اي</v>
      </c>
      <c r="AB1163" s="1" t="str">
        <f>"95/11/30"</f>
        <v>95/11/30</v>
      </c>
      <c r="AC1163" s="1" t="str">
        <f>"استان يزد"</f>
        <v>استان يزد</v>
      </c>
      <c r="AD1163" s="1" t="str">
        <f>"95/12/03"</f>
        <v>95/12/03</v>
      </c>
      <c r="AE1163" s="1" t="str">
        <f t="shared" si="295"/>
        <v>اختتام</v>
      </c>
      <c r="AF1163" s="1" t="str">
        <f>""</f>
        <v/>
      </c>
      <c r="AG1163" s="1" t="str">
        <f>""</f>
        <v/>
      </c>
      <c r="AH1163" s="1" t="str">
        <f>""</f>
        <v/>
      </c>
      <c r="AI1163" s="1" t="str">
        <f>""</f>
        <v/>
      </c>
      <c r="AJ1163" s="1" t="str">
        <f>""</f>
        <v/>
      </c>
      <c r="AK1163" s="1" t="str">
        <f>""</f>
        <v/>
      </c>
    </row>
    <row r="1164" spans="1:37" x14ac:dyDescent="0.2">
      <c r="A1164" s="1">
        <v>167000</v>
      </c>
      <c r="B1164" s="1">
        <v>951700039</v>
      </c>
      <c r="C1164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1164" s="1">
        <v>6050</v>
      </c>
      <c r="E1164" s="1">
        <v>166800</v>
      </c>
      <c r="F1164" s="1">
        <v>95</v>
      </c>
      <c r="G1164" s="1">
        <v>200</v>
      </c>
      <c r="H1164" s="1" t="str">
        <f>"95/03/23"</f>
        <v>95/03/23</v>
      </c>
      <c r="I1164" s="1" t="str">
        <f t="shared" si="298"/>
        <v>كيلوگرم</v>
      </c>
      <c r="J1164" s="1" t="str">
        <f t="shared" ref="J1164:J1175" si="302">"0000000092"</f>
        <v>0000000092</v>
      </c>
      <c r="K1164" s="1" t="str">
        <f t="shared" ref="K1164:K1175" si="303">"قير  PG64-16"</f>
        <v>قير  PG64-16</v>
      </c>
      <c r="L1164" s="1">
        <v>100</v>
      </c>
      <c r="M1164" s="1" t="str">
        <f t="shared" si="301"/>
        <v>مخازن قير اصفهان</v>
      </c>
      <c r="N1164" s="1">
        <v>8091</v>
      </c>
      <c r="O1164" s="1">
        <v>50031014</v>
      </c>
      <c r="P1164" s="1" t="str">
        <f>"  اداره كل راه وشهرسازي اصفهان"</f>
        <v xml:space="preserve">  اداره كل راه وشهرسازي اصفهان</v>
      </c>
      <c r="Q1164" s="1">
        <v>17</v>
      </c>
      <c r="R1164" s="1" t="str">
        <f>"فروش داخلي تهران - وزارت راه - راه روستايي - روکش"</f>
        <v>فروش داخلي تهران - وزارت راه - راه روستايي - روکش</v>
      </c>
      <c r="S1164" s="1" t="str">
        <f t="shared" si="299"/>
        <v>قرارداد فروش</v>
      </c>
      <c r="T1164" s="1" t="str">
        <f t="shared" si="300"/>
        <v>ندارد</v>
      </c>
      <c r="U1164" s="1" t="str">
        <f>"معماريان حميد(1032ج89)"</f>
        <v>معماريان حميد(1032ج89)</v>
      </c>
      <c r="V1164" s="1">
        <v>951700039</v>
      </c>
      <c r="W1164" s="1">
        <v>951700039</v>
      </c>
      <c r="X1164" s="1" t="str">
        <f>"1395406643"</f>
        <v>1395406643</v>
      </c>
      <c r="Y1164" s="1" t="str">
        <f>"95/03/23"</f>
        <v>95/03/23</v>
      </c>
      <c r="Z1164" s="1" t="str">
        <f>"9575/510"</f>
        <v>9575/510</v>
      </c>
      <c r="AA1164" s="1" t="str">
        <f>"راه روستائي -روكش"</f>
        <v>راه روستائي -روكش</v>
      </c>
      <c r="AB1164" s="1" t="str">
        <f>"95/03/08"</f>
        <v>95/03/08</v>
      </c>
      <c r="AC1164" s="1" t="str">
        <f>"استان اصفهان"</f>
        <v>استان اصفهان</v>
      </c>
      <c r="AD1164" s="1" t="str">
        <f>"95/03/11"</f>
        <v>95/03/11</v>
      </c>
      <c r="AE1164" s="1" t="str">
        <f t="shared" si="295"/>
        <v>اختتام</v>
      </c>
      <c r="AF1164" s="1" t="str">
        <f>""</f>
        <v/>
      </c>
      <c r="AG1164" s="1" t="str">
        <f>""</f>
        <v/>
      </c>
      <c r="AH1164" s="1" t="str">
        <f>""</f>
        <v/>
      </c>
      <c r="AI1164" s="1" t="str">
        <f>""</f>
        <v/>
      </c>
      <c r="AJ1164" s="1" t="str">
        <f>""</f>
        <v/>
      </c>
      <c r="AK1164" s="1" t="str">
        <f>""</f>
        <v/>
      </c>
    </row>
    <row r="1165" spans="1:37" x14ac:dyDescent="0.2">
      <c r="A1165" s="1">
        <v>125000</v>
      </c>
      <c r="B1165" s="1">
        <v>951700206</v>
      </c>
      <c r="C1165" s="1" t="str">
        <f>"تخليه -اصفهان ارغوانيه گردنه زينل بعدازكودآلي سمت راست كارخانه آسفالت كاشمر"</f>
        <v>تخليه -اصفهان ارغوانيه گردنه زينل بعدازكودآلي سمت راست كارخانه آسفالت كاشمر</v>
      </c>
      <c r="D1165" s="1">
        <v>7176</v>
      </c>
      <c r="E1165" s="1">
        <v>124240</v>
      </c>
      <c r="F1165" s="1">
        <v>95</v>
      </c>
      <c r="G1165" s="1">
        <v>760</v>
      </c>
      <c r="H1165" s="1" t="str">
        <f>"95/06/17"</f>
        <v>95/06/17</v>
      </c>
      <c r="I1165" s="1" t="str">
        <f t="shared" si="298"/>
        <v>كيلوگرم</v>
      </c>
      <c r="J1165" s="1" t="str">
        <f t="shared" si="302"/>
        <v>0000000092</v>
      </c>
      <c r="K1165" s="1" t="str">
        <f t="shared" si="303"/>
        <v>قير  PG64-16</v>
      </c>
      <c r="L1165" s="1">
        <v>100</v>
      </c>
      <c r="M1165" s="1" t="str">
        <f t="shared" si="301"/>
        <v>مخازن قير اصفهان</v>
      </c>
      <c r="N1165" s="1">
        <v>8091</v>
      </c>
      <c r="O1165" s="1">
        <v>50031830</v>
      </c>
      <c r="P1165" s="1" t="str">
        <f>"  اداره كل راه وشهرسازي اصفهان"</f>
        <v xml:space="preserve">  اداره كل راه وشهرسازي اصفهان</v>
      </c>
      <c r="Q1165" s="1">
        <v>17</v>
      </c>
      <c r="R1165" s="1" t="str">
        <f>"فروش داخلي تهران - وزارت راه - راه روستايي - روکش"</f>
        <v>فروش داخلي تهران - وزارت راه - راه روستايي - روکش</v>
      </c>
      <c r="S1165" s="1" t="str">
        <f t="shared" si="299"/>
        <v>قرارداد فروش</v>
      </c>
      <c r="T1165" s="1" t="str">
        <f t="shared" si="300"/>
        <v>ندارد</v>
      </c>
      <c r="U1165" s="1" t="str">
        <f>"شهبازي محمدرضا(1029ج89)"</f>
        <v>شهبازي محمدرضا(1029ج89)</v>
      </c>
      <c r="V1165" s="1">
        <v>951700206</v>
      </c>
      <c r="W1165" s="1">
        <v>951700206</v>
      </c>
      <c r="X1165" s="1" t="str">
        <f>"1395430316"</f>
        <v>1395430316</v>
      </c>
      <c r="Y1165" s="1" t="str">
        <f>"95/06/17"</f>
        <v>95/06/17</v>
      </c>
      <c r="Z1165" s="1" t="str">
        <f>"28716/510"</f>
        <v>28716/510</v>
      </c>
      <c r="AA1165" s="1" t="str">
        <f>"راه روستائي -روكش"</f>
        <v>راه روستائي -روكش</v>
      </c>
      <c r="AB1165" s="1" t="str">
        <f>"95/06/16"</f>
        <v>95/06/16</v>
      </c>
      <c r="AC1165" s="1" t="str">
        <f>"استان اصفهان"</f>
        <v>استان اصفهان</v>
      </c>
      <c r="AD1165" s="1" t="str">
        <f>"95/06/17"</f>
        <v>95/06/17</v>
      </c>
      <c r="AE1165" s="1" t="str">
        <f t="shared" si="295"/>
        <v>اختتام</v>
      </c>
      <c r="AF1165" s="1" t="str">
        <f>""</f>
        <v/>
      </c>
      <c r="AG1165" s="1" t="str">
        <f>""</f>
        <v/>
      </c>
      <c r="AH1165" s="1" t="str">
        <f>""</f>
        <v/>
      </c>
      <c r="AI1165" s="1" t="str">
        <f>""</f>
        <v/>
      </c>
      <c r="AJ1165" s="1" t="str">
        <f>""</f>
        <v/>
      </c>
      <c r="AK1165" s="1" t="str">
        <f>""</f>
        <v/>
      </c>
    </row>
    <row r="1166" spans="1:37" x14ac:dyDescent="0.2">
      <c r="A1166" s="1">
        <v>750000</v>
      </c>
      <c r="B1166" s="1">
        <v>951800022</v>
      </c>
      <c r="C1166" s="1" t="str">
        <f>"يزد-تفت -كيلومتر5-شركت ناورود"</f>
        <v>يزد-تفت -كيلومتر5-شركت ناورود</v>
      </c>
      <c r="D1166" s="1">
        <v>6250</v>
      </c>
      <c r="E1166" s="1">
        <v>749240</v>
      </c>
      <c r="F1166" s="1">
        <v>95</v>
      </c>
      <c r="G1166" s="1">
        <v>760</v>
      </c>
      <c r="H1166" s="1" t="str">
        <f>"95/04/08"</f>
        <v>95/04/08</v>
      </c>
      <c r="I1166" s="1" t="str">
        <f t="shared" si="298"/>
        <v>كيلوگرم</v>
      </c>
      <c r="J1166" s="1" t="str">
        <f t="shared" si="302"/>
        <v>0000000092</v>
      </c>
      <c r="K1166" s="1" t="str">
        <f t="shared" si="303"/>
        <v>قير  PG64-16</v>
      </c>
      <c r="L1166" s="1">
        <v>100</v>
      </c>
      <c r="M1166" s="1" t="str">
        <f t="shared" si="301"/>
        <v>مخازن قير اصفهان</v>
      </c>
      <c r="N1166" s="1">
        <v>4062</v>
      </c>
      <c r="O1166" s="1">
        <v>50031160</v>
      </c>
      <c r="P1166" s="1" t="str">
        <f>"  ناورود"</f>
        <v xml:space="preserve">  ناورود</v>
      </c>
      <c r="Q1166" s="1">
        <v>18</v>
      </c>
      <c r="R1166" s="1" t="str">
        <f>"فروش داخلي تهران - وزارت راه - شرکت ساخت و توسعه راهها"</f>
        <v>فروش داخلي تهران - وزارت راه - شرکت ساخت و توسعه راهها</v>
      </c>
      <c r="S1166" s="1" t="str">
        <f t="shared" si="299"/>
        <v>قرارداد فروش</v>
      </c>
      <c r="T1166" s="1" t="str">
        <f t="shared" si="300"/>
        <v>ندارد</v>
      </c>
      <c r="U1166" s="1" t="str">
        <f>"فتاح زاده سيداحمد(3843011)"</f>
        <v>فتاح زاده سيداحمد(3843011)</v>
      </c>
      <c r="V1166" s="1">
        <v>951800022</v>
      </c>
      <c r="W1166" s="1">
        <v>951800022</v>
      </c>
      <c r="X1166" s="1" t="str">
        <f>"1395411199"</f>
        <v>1395411199</v>
      </c>
      <c r="Y1166" s="1" t="str">
        <f>"95/04/08"</f>
        <v>95/04/08</v>
      </c>
      <c r="Z1166" s="1" t="str">
        <f>"13016/510"</f>
        <v>13016/510</v>
      </c>
      <c r="AA1166" s="1" t="str">
        <f>"شركت  ساخت وتوسعه راهها"</f>
        <v>شركت  ساخت وتوسعه راهها</v>
      </c>
      <c r="AB1166" s="1" t="str">
        <f>"95/03/29"</f>
        <v>95/03/29</v>
      </c>
      <c r="AC1166" s="1" t="str">
        <f>"استان يزد"</f>
        <v>استان يزد</v>
      </c>
      <c r="AD1166" s="1" t="str">
        <f>"95/04/05"</f>
        <v>95/04/05</v>
      </c>
      <c r="AE1166" s="1" t="str">
        <f t="shared" si="295"/>
        <v>اختتام</v>
      </c>
      <c r="AF1166" s="1" t="str">
        <f>""</f>
        <v/>
      </c>
      <c r="AG1166" s="1" t="str">
        <f>""</f>
        <v/>
      </c>
      <c r="AH1166" s="1" t="str">
        <f>""</f>
        <v/>
      </c>
      <c r="AI1166" s="1" t="str">
        <f>""</f>
        <v/>
      </c>
      <c r="AJ1166" s="1" t="str">
        <f>""</f>
        <v/>
      </c>
      <c r="AK1166" s="1" t="str">
        <f>""</f>
        <v/>
      </c>
    </row>
    <row r="1167" spans="1:37" x14ac:dyDescent="0.2">
      <c r="A1167" s="1">
        <v>500000</v>
      </c>
      <c r="B1167" s="1">
        <v>951800098</v>
      </c>
      <c r="C1167" s="1" t="str">
        <f>"تخليه -ساوه بعدازپليس راه ساوه -همدان كارخانه آسفالت ايران اپرون"</f>
        <v>تخليه -ساوه بعدازپليس راه ساوه -همدان كارخانه آسفالت ايران اپرون</v>
      </c>
      <c r="D1167" s="1">
        <v>8323</v>
      </c>
      <c r="E1167" s="1">
        <v>499220</v>
      </c>
      <c r="F1167" s="1">
        <v>95</v>
      </c>
      <c r="G1167" s="1">
        <v>780</v>
      </c>
      <c r="H1167" s="1" t="str">
        <f>"95/08/27"</f>
        <v>95/08/27</v>
      </c>
      <c r="I1167" s="1" t="str">
        <f t="shared" si="298"/>
        <v>كيلوگرم</v>
      </c>
      <c r="J1167" s="1" t="str">
        <f t="shared" si="302"/>
        <v>0000000092</v>
      </c>
      <c r="K1167" s="1" t="str">
        <f t="shared" si="303"/>
        <v>قير  PG64-16</v>
      </c>
      <c r="L1167" s="1">
        <v>100</v>
      </c>
      <c r="M1167" s="1" t="str">
        <f t="shared" si="301"/>
        <v>مخازن قير اصفهان</v>
      </c>
      <c r="N1167" s="1">
        <v>8102</v>
      </c>
      <c r="O1167" s="1">
        <v>50032631</v>
      </c>
      <c r="P1167" s="1" t="str">
        <f>"  ايران اپرون"</f>
        <v xml:space="preserve">  ايران اپرون</v>
      </c>
      <c r="Q1167" s="1">
        <v>18</v>
      </c>
      <c r="R1167" s="1" t="str">
        <f>"فروش داخلي تهران - وزارت راه - شرکت ساخت و توسعه راهها"</f>
        <v>فروش داخلي تهران - وزارت راه - شرکت ساخت و توسعه راهها</v>
      </c>
      <c r="S1167" s="1" t="str">
        <f t="shared" si="299"/>
        <v>قرارداد فروش</v>
      </c>
      <c r="T1167" s="1" t="str">
        <f t="shared" si="300"/>
        <v>ندارد</v>
      </c>
      <c r="U1167" s="1" t="str">
        <f>"معماريان سعيد(1004ج89)"</f>
        <v>معماريان سعيد(1004ج89)</v>
      </c>
      <c r="V1167" s="1">
        <v>951800098</v>
      </c>
      <c r="W1167" s="1">
        <v>951800098</v>
      </c>
      <c r="X1167" s="1" t="str">
        <f>"1395446077"</f>
        <v>1395446077</v>
      </c>
      <c r="Y1167" s="1" t="str">
        <f>"95/08/27"</f>
        <v>95/08/27</v>
      </c>
      <c r="Z1167" s="1" t="str">
        <f>"40590/710"</f>
        <v>40590/710</v>
      </c>
      <c r="AA1167" s="1" t="str">
        <f>"شركت  ساخت وتوسعه راهها"</f>
        <v>شركت  ساخت وتوسعه راهها</v>
      </c>
      <c r="AB1167" s="1" t="str">
        <f>"95/08/19"</f>
        <v>95/08/19</v>
      </c>
      <c r="AC1167" s="1" t="str">
        <f>"استان مركزي"</f>
        <v>استان مركزي</v>
      </c>
      <c r="AD1167" s="1" t="str">
        <f>"95/08/26"</f>
        <v>95/08/26</v>
      </c>
      <c r="AE1167" s="1" t="str">
        <f t="shared" si="295"/>
        <v>اختتام</v>
      </c>
      <c r="AF1167" s="1" t="str">
        <f>""</f>
        <v/>
      </c>
      <c r="AG1167" s="1" t="str">
        <f>""</f>
        <v/>
      </c>
      <c r="AH1167" s="1" t="str">
        <f>""</f>
        <v/>
      </c>
      <c r="AI1167" s="1" t="str">
        <f>""</f>
        <v/>
      </c>
      <c r="AJ1167" s="1" t="str">
        <f>""</f>
        <v/>
      </c>
      <c r="AK1167" s="1" t="str">
        <f>""</f>
        <v/>
      </c>
    </row>
    <row r="1168" spans="1:37" x14ac:dyDescent="0.2">
      <c r="A1168" s="1">
        <v>500000</v>
      </c>
      <c r="B1168" s="1">
        <v>951900304</v>
      </c>
      <c r="C1168" s="1" t="str">
        <f>"تخليه - ايلام -روکش آسفالت محور شاهبداغ-پل سيمره حاج نوري"</f>
        <v>تخليه - ايلام -روکش آسفالت محور شاهبداغ-پل سيمره حاج نوري</v>
      </c>
      <c r="D1168" s="1">
        <v>8998</v>
      </c>
      <c r="E1168" s="1">
        <v>498340</v>
      </c>
      <c r="F1168" s="1">
        <v>95</v>
      </c>
      <c r="G1168" s="1">
        <v>1660</v>
      </c>
      <c r="H1168" s="1" t="str">
        <f>"95/12/22"</f>
        <v>95/12/22</v>
      </c>
      <c r="I1168" s="1" t="str">
        <f t="shared" si="298"/>
        <v>كيلوگرم</v>
      </c>
      <c r="J1168" s="1" t="str">
        <f t="shared" si="302"/>
        <v>0000000092</v>
      </c>
      <c r="K1168" s="1" t="str">
        <f t="shared" si="303"/>
        <v>قير  PG64-16</v>
      </c>
      <c r="L1168" s="1">
        <v>100</v>
      </c>
      <c r="M1168" s="1" t="str">
        <f t="shared" si="301"/>
        <v>مخازن قير اصفهان</v>
      </c>
      <c r="N1168" s="1">
        <v>8293</v>
      </c>
      <c r="O1168" s="1">
        <v>50034108</v>
      </c>
      <c r="P1168" s="1" t="str">
        <f>"  آج راه غرب"</f>
        <v xml:space="preserve">  آج راه غرب</v>
      </c>
      <c r="Q1168" s="1">
        <v>19</v>
      </c>
      <c r="R116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68" s="1" t="str">
        <f t="shared" si="299"/>
        <v>قرارداد فروش</v>
      </c>
      <c r="T1168" s="1" t="str">
        <f t="shared" si="300"/>
        <v>ندارد</v>
      </c>
      <c r="U1168" s="1" t="str">
        <f>"قره باغي مجيد(1871065)"</f>
        <v>قره باغي مجيد(1871065)</v>
      </c>
      <c r="V1168" s="1">
        <v>951900304</v>
      </c>
      <c r="W1168" s="1">
        <v>951900304</v>
      </c>
      <c r="X1168" s="1" t="str">
        <f>"1395470281"</f>
        <v>1395470281</v>
      </c>
      <c r="Y1168" s="1" t="str">
        <f>"95/12/22"</f>
        <v>95/12/22</v>
      </c>
      <c r="Z1168" s="1" t="str">
        <f>"64886/710"</f>
        <v>64886/710</v>
      </c>
      <c r="AA1168" s="1" t="str">
        <f>"سازمان راهداري وحمل نقل جاده اي"</f>
        <v>سازمان راهداري وحمل نقل جاده اي</v>
      </c>
      <c r="AB1168" s="1" t="str">
        <f>"95/12/17"</f>
        <v>95/12/17</v>
      </c>
      <c r="AC1168" s="1" t="str">
        <f>"استان ايلام"</f>
        <v>استان ايلام</v>
      </c>
      <c r="AD1168" s="1" t="str">
        <f>"95/12/21"</f>
        <v>95/12/21</v>
      </c>
      <c r="AE1168" s="1" t="str">
        <f t="shared" si="295"/>
        <v>اختتام</v>
      </c>
      <c r="AF1168" s="1" t="str">
        <f>""</f>
        <v/>
      </c>
      <c r="AG1168" s="1" t="str">
        <f>""</f>
        <v/>
      </c>
      <c r="AH1168" s="1" t="str">
        <f>""</f>
        <v/>
      </c>
      <c r="AI1168" s="1" t="str">
        <f>""</f>
        <v/>
      </c>
      <c r="AJ1168" s="1" t="str">
        <f>""</f>
        <v/>
      </c>
      <c r="AK1168" s="1" t="str">
        <f>""</f>
        <v/>
      </c>
    </row>
    <row r="1169" spans="1:37" x14ac:dyDescent="0.2">
      <c r="A1169" s="1">
        <v>700000</v>
      </c>
      <c r="B1169" s="1">
        <v>951800038</v>
      </c>
      <c r="C1169" s="1" t="str">
        <f>"تخليه - کرمان -شهربابک-کيلومتر45 جاده شهربابک-سيرجان-کارخانه آسفالت شرکت سپهر بستر"</f>
        <v>تخليه - کرمان -شهربابک-کيلومتر45 جاده شهربابک-سيرجان-کارخانه آسفالت شرکت سپهر بستر</v>
      </c>
      <c r="D1169" s="1">
        <v>6726</v>
      </c>
      <c r="E1169" s="1">
        <v>699520</v>
      </c>
      <c r="F1169" s="1">
        <v>95</v>
      </c>
      <c r="G1169" s="1">
        <v>480</v>
      </c>
      <c r="H1169" s="1" t="str">
        <f>"95/05/13"</f>
        <v>95/05/13</v>
      </c>
      <c r="I1169" s="1" t="str">
        <f t="shared" si="298"/>
        <v>كيلوگرم</v>
      </c>
      <c r="J1169" s="1" t="str">
        <f t="shared" si="302"/>
        <v>0000000092</v>
      </c>
      <c r="K1169" s="1" t="str">
        <f t="shared" si="303"/>
        <v>قير  PG64-16</v>
      </c>
      <c r="L1169" s="1">
        <v>100</v>
      </c>
      <c r="M1169" s="1" t="str">
        <f t="shared" si="301"/>
        <v>مخازن قير اصفهان</v>
      </c>
      <c r="N1169" s="1">
        <v>8305</v>
      </c>
      <c r="O1169" s="1">
        <v>50031418</v>
      </c>
      <c r="P1169" s="1" t="str">
        <f>"  سپهربستر"</f>
        <v xml:space="preserve">  سپهربستر</v>
      </c>
      <c r="Q1169" s="1">
        <v>18</v>
      </c>
      <c r="R1169" s="1" t="str">
        <f>"فروش داخلي تهران - وزارت راه - شرکت ساخت و توسعه راهها"</f>
        <v>فروش داخلي تهران - وزارت راه - شرکت ساخت و توسعه راهها</v>
      </c>
      <c r="S1169" s="1" t="str">
        <f t="shared" si="299"/>
        <v>قرارداد فروش</v>
      </c>
      <c r="T1169" s="1" t="str">
        <f t="shared" si="300"/>
        <v>ندارد</v>
      </c>
      <c r="U1169" s="1" t="str">
        <f>"حاصليان ترابرجنوب مرتضي حاصلي (4844006)"</f>
        <v>حاصليان ترابرجنوب مرتضي حاصلي (4844006)</v>
      </c>
      <c r="V1169" s="1">
        <v>951800038</v>
      </c>
      <c r="W1169" s="1">
        <v>951800038</v>
      </c>
      <c r="X1169" s="1" t="str">
        <f>"1395421143"</f>
        <v>1395421143</v>
      </c>
      <c r="Y1169" s="1" t="str">
        <f>"95/05/13"</f>
        <v>95/05/13</v>
      </c>
      <c r="Z1169" s="1" t="str">
        <f>"21017/510"</f>
        <v>21017/510</v>
      </c>
      <c r="AA1169" s="1" t="str">
        <f>"شركت  ساخت وتوسعه راهها"</f>
        <v>شركت  ساخت وتوسعه راهها</v>
      </c>
      <c r="AB1169" s="1" t="str">
        <f>"95/05/11"</f>
        <v>95/05/11</v>
      </c>
      <c r="AC1169" s="1" t="str">
        <f>"استان كرمان"</f>
        <v>استان كرمان</v>
      </c>
      <c r="AD1169" s="1" t="str">
        <f>"95/05/13"</f>
        <v>95/05/13</v>
      </c>
      <c r="AE1169" s="1" t="str">
        <f t="shared" si="295"/>
        <v>اختتام</v>
      </c>
      <c r="AF1169" s="1" t="str">
        <f>""</f>
        <v/>
      </c>
      <c r="AG1169" s="1" t="str">
        <f>""</f>
        <v/>
      </c>
      <c r="AH1169" s="1" t="str">
        <f>""</f>
        <v/>
      </c>
      <c r="AI1169" s="1" t="str">
        <f>""</f>
        <v/>
      </c>
      <c r="AJ1169" s="1" t="str">
        <f>""</f>
        <v/>
      </c>
      <c r="AK1169" s="1" t="str">
        <f>""</f>
        <v/>
      </c>
    </row>
    <row r="1170" spans="1:37" x14ac:dyDescent="0.2">
      <c r="A1170" s="1">
        <v>51720</v>
      </c>
      <c r="B1170" s="1">
        <v>951800122</v>
      </c>
      <c r="C1170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1170" s="1">
        <v>9511</v>
      </c>
      <c r="E1170" s="1">
        <v>51100</v>
      </c>
      <c r="F1170" s="1">
        <v>95</v>
      </c>
      <c r="G1170" s="1">
        <v>620</v>
      </c>
      <c r="H1170" s="1" t="str">
        <f>"95/11/03"</f>
        <v>95/11/03</v>
      </c>
      <c r="I1170" s="1" t="str">
        <f t="shared" si="298"/>
        <v>كيلوگرم</v>
      </c>
      <c r="J1170" s="1" t="str">
        <f t="shared" si="302"/>
        <v>0000000092</v>
      </c>
      <c r="K1170" s="1" t="str">
        <f t="shared" si="303"/>
        <v>قير  PG64-16</v>
      </c>
      <c r="L1170" s="1">
        <v>100</v>
      </c>
      <c r="M1170" s="1" t="str">
        <f t="shared" si="301"/>
        <v>مخازن قير اصفهان</v>
      </c>
      <c r="N1170" s="1">
        <v>4089</v>
      </c>
      <c r="O1170" s="1">
        <v>50033436</v>
      </c>
      <c r="P1170" s="1" t="str">
        <f>"  تعاوني خدمات زيربنائي رفسنجان"</f>
        <v xml:space="preserve">  تعاوني خدمات زيربنائي رفسنجان</v>
      </c>
      <c r="Q1170" s="1">
        <v>18</v>
      </c>
      <c r="R1170" s="1" t="str">
        <f>"فروش داخلي تهران - وزارت راه - شرکت ساخت و توسعه راهها"</f>
        <v>فروش داخلي تهران - وزارت راه - شرکت ساخت و توسعه راهها</v>
      </c>
      <c r="S1170" s="1" t="str">
        <f t="shared" si="299"/>
        <v>قرارداد فروش</v>
      </c>
      <c r="T1170" s="1" t="str">
        <f t="shared" si="300"/>
        <v>ندارد</v>
      </c>
      <c r="U1170" s="1" t="str">
        <f>"بابامحمدي عنايت اله(4844000)"</f>
        <v>بابامحمدي عنايت اله(4844000)</v>
      </c>
      <c r="V1170" s="1">
        <v>951800122</v>
      </c>
      <c r="W1170" s="1">
        <v>951800122</v>
      </c>
      <c r="X1170" s="1" t="str">
        <f>"1395447891"</f>
        <v>1395447891</v>
      </c>
      <c r="Y1170" s="1" t="str">
        <f>"95/11/03"</f>
        <v>95/11/03</v>
      </c>
      <c r="Z1170" s="1" t="str">
        <f>"42088/710"</f>
        <v>42088/710</v>
      </c>
      <c r="AA1170" s="1" t="str">
        <f>"شركت  ساخت وتوسعه راهها"</f>
        <v>شركت  ساخت وتوسعه راهها</v>
      </c>
      <c r="AB1170" s="1" t="str">
        <f>"95/08/29"</f>
        <v>95/08/29</v>
      </c>
      <c r="AC1170" s="1" t="str">
        <f>"استان كرمان"</f>
        <v>استان كرمان</v>
      </c>
      <c r="AD1170" s="1" t="str">
        <f>"95/09/09"</f>
        <v>95/09/09</v>
      </c>
      <c r="AE1170" s="1" t="str">
        <f t="shared" si="295"/>
        <v>اختتام</v>
      </c>
      <c r="AF1170" s="1" t="str">
        <f>""</f>
        <v/>
      </c>
      <c r="AG1170" s="1" t="str">
        <f>""</f>
        <v/>
      </c>
      <c r="AH1170" s="1" t="str">
        <f>""</f>
        <v/>
      </c>
      <c r="AI1170" s="1" t="str">
        <f>""</f>
        <v/>
      </c>
      <c r="AJ1170" s="1" t="str">
        <f>""</f>
        <v/>
      </c>
      <c r="AK1170" s="1" t="str">
        <f>""</f>
        <v/>
      </c>
    </row>
    <row r="1171" spans="1:37" x14ac:dyDescent="0.2">
      <c r="A1171" s="1">
        <v>400000</v>
      </c>
      <c r="B1171" s="1">
        <v>951800015</v>
      </c>
      <c r="C1171" s="1" t="str">
        <f>"تخليه -ديهوك -اسفنديار-كيلومتر5جاده زنوغان -شركت پوشش راه مشهد"</f>
        <v>تخليه -ديهوك -اسفنديار-كيلومتر5جاده زنوغان -شركت پوشش راه مشهد</v>
      </c>
      <c r="D1171" s="1">
        <v>6050</v>
      </c>
      <c r="E1171" s="1">
        <v>400000</v>
      </c>
      <c r="F1171" s="1">
        <v>95</v>
      </c>
      <c r="G1171" s="1">
        <v>0</v>
      </c>
      <c r="H1171" s="1" t="str">
        <f>"95/03/24"</f>
        <v>95/03/24</v>
      </c>
      <c r="I1171" s="1" t="str">
        <f t="shared" si="298"/>
        <v>كيلوگرم</v>
      </c>
      <c r="J1171" s="1" t="str">
        <f t="shared" si="302"/>
        <v>0000000092</v>
      </c>
      <c r="K1171" s="1" t="str">
        <f t="shared" si="303"/>
        <v>قير  PG64-16</v>
      </c>
      <c r="L1171" s="1">
        <v>100</v>
      </c>
      <c r="M1171" s="1" t="str">
        <f t="shared" si="301"/>
        <v>مخازن قير اصفهان</v>
      </c>
      <c r="N1171" s="1">
        <v>4177</v>
      </c>
      <c r="O1171" s="1">
        <v>50031024</v>
      </c>
      <c r="P1171" s="1" t="str">
        <f>"  ساختماني و راهسازي پوشش راه مشهد"</f>
        <v xml:space="preserve">  ساختماني و راهسازي پوشش راه مشهد</v>
      </c>
      <c r="Q1171" s="1">
        <v>18</v>
      </c>
      <c r="R1171" s="1" t="str">
        <f>"فروش داخلي تهران - وزارت راه - شرکت ساخت و توسعه راهها"</f>
        <v>فروش داخلي تهران - وزارت راه - شرکت ساخت و توسعه راهها</v>
      </c>
      <c r="S1171" s="1" t="str">
        <f t="shared" si="299"/>
        <v>قرارداد فروش</v>
      </c>
      <c r="T1171" s="1" t="str">
        <f t="shared" si="300"/>
        <v>ندارد</v>
      </c>
      <c r="U1171" s="1" t="str">
        <f>"حسيني سيدجواد(1841076)"</f>
        <v>حسيني سيدجواد(1841076)</v>
      </c>
      <c r="V1171" s="1">
        <v>951800015</v>
      </c>
      <c r="W1171" s="1">
        <v>951800015</v>
      </c>
      <c r="X1171" s="1" t="str">
        <f>"1395409035"</f>
        <v>1395409035</v>
      </c>
      <c r="Y1171" s="1" t="str">
        <f>"95/03/24"</f>
        <v>95/03/24</v>
      </c>
      <c r="Z1171" s="1" t="str">
        <f>"11618/510"</f>
        <v>11618/510</v>
      </c>
      <c r="AA1171" s="1" t="str">
        <f>"شركت  ساخت وتوسعه راهها"</f>
        <v>شركت  ساخت وتوسعه راهها</v>
      </c>
      <c r="AB1171" s="1" t="str">
        <f>"95/03/22"</f>
        <v>95/03/22</v>
      </c>
      <c r="AC1171" s="1" t="str">
        <f>"خراسان جنوبي"</f>
        <v>خراسان جنوبي</v>
      </c>
      <c r="AD1171" s="1" t="str">
        <f>"95/03/24"</f>
        <v>95/03/24</v>
      </c>
      <c r="AE1171" s="1" t="str">
        <f t="shared" si="295"/>
        <v>اختتام</v>
      </c>
      <c r="AF1171" s="1" t="str">
        <f>""</f>
        <v/>
      </c>
      <c r="AG1171" s="1" t="str">
        <f>""</f>
        <v/>
      </c>
      <c r="AH1171" s="1" t="str">
        <f>""</f>
        <v/>
      </c>
      <c r="AI1171" s="1" t="str">
        <f>""</f>
        <v/>
      </c>
      <c r="AJ1171" s="1" t="str">
        <f>""</f>
        <v/>
      </c>
      <c r="AK1171" s="1" t="str">
        <f>""</f>
        <v/>
      </c>
    </row>
    <row r="1172" spans="1:37" x14ac:dyDescent="0.2">
      <c r="A1172" s="1">
        <v>360000</v>
      </c>
      <c r="B1172" s="1">
        <v>951700023</v>
      </c>
      <c r="C1172" s="1" t="str">
        <f>"تخليه -كرمان محوررفسنجان -يزدشركت پ بل"</f>
        <v>تخليه -كرمان محوررفسنجان -يزدشركت پ بل</v>
      </c>
      <c r="D1172" s="1">
        <v>5650</v>
      </c>
      <c r="E1172" s="1">
        <v>355680</v>
      </c>
      <c r="F1172" s="1">
        <v>95</v>
      </c>
      <c r="G1172" s="1">
        <v>4320</v>
      </c>
      <c r="H1172" s="1" t="str">
        <f>"95/02/15"</f>
        <v>95/02/15</v>
      </c>
      <c r="I1172" s="1" t="str">
        <f t="shared" si="298"/>
        <v>كيلوگرم</v>
      </c>
      <c r="J1172" s="1" t="str">
        <f t="shared" si="302"/>
        <v>0000000092</v>
      </c>
      <c r="K1172" s="1" t="str">
        <f t="shared" si="303"/>
        <v>قير  PG64-16</v>
      </c>
      <c r="L1172" s="1">
        <v>100</v>
      </c>
      <c r="M1172" s="1" t="str">
        <f t="shared" si="301"/>
        <v>مخازن قير اصفهان</v>
      </c>
      <c r="N1172" s="1">
        <v>7034</v>
      </c>
      <c r="O1172" s="1">
        <v>50030772</v>
      </c>
      <c r="P1172" s="1" t="str">
        <f>"  اداره كل راه وشهرسازي كرمان"</f>
        <v xml:space="preserve">  اداره كل راه وشهرسازي كرمان</v>
      </c>
      <c r="Q1172" s="1">
        <v>17</v>
      </c>
      <c r="R1172" s="1" t="str">
        <f>"فروش داخلي تهران - وزارت راه - راه روستايي - روکش"</f>
        <v>فروش داخلي تهران - وزارت راه - راه روستايي - روکش</v>
      </c>
      <c r="S1172" s="1" t="str">
        <f t="shared" si="299"/>
        <v>قرارداد فروش</v>
      </c>
      <c r="T1172" s="1" t="str">
        <f t="shared" si="300"/>
        <v>ندارد</v>
      </c>
      <c r="U1172" s="1" t="str">
        <f>"خضرائي فريدون(4844003)"</f>
        <v>خضرائي فريدون(4844003)</v>
      </c>
      <c r="V1172" s="1">
        <v>951700023</v>
      </c>
      <c r="W1172" s="1">
        <v>951700023</v>
      </c>
      <c r="X1172" s="1" t="str">
        <f>"1395401991"</f>
        <v>1395401991</v>
      </c>
      <c r="Y1172" s="1" t="str">
        <f>"95/02/15"</f>
        <v>95/02/15</v>
      </c>
      <c r="Z1172" s="1" t="str">
        <f>"66251/510"</f>
        <v>66251/510</v>
      </c>
      <c r="AA1172" s="1" t="str">
        <f>"راه روستائي -روكش"</f>
        <v>راه روستائي -روكش</v>
      </c>
      <c r="AB1172" s="1" t="str">
        <f>"94/12/02"</f>
        <v>94/12/02</v>
      </c>
      <c r="AC1172" s="1" t="str">
        <f>"استان كرمان"</f>
        <v>استان كرمان</v>
      </c>
      <c r="AD1172" s="1" t="str">
        <f>"95/02/11"</f>
        <v>95/02/11</v>
      </c>
      <c r="AE1172" s="1" t="str">
        <f t="shared" si="295"/>
        <v>اختتام</v>
      </c>
      <c r="AF1172" s="1" t="str">
        <f>""</f>
        <v/>
      </c>
      <c r="AG1172" s="1" t="str">
        <f>""</f>
        <v/>
      </c>
      <c r="AH1172" s="1" t="str">
        <f>""</f>
        <v/>
      </c>
      <c r="AI1172" s="1" t="str">
        <f>""</f>
        <v/>
      </c>
      <c r="AJ1172" s="1" t="str">
        <f>""</f>
        <v/>
      </c>
      <c r="AK1172" s="1" t="str">
        <f>""</f>
        <v/>
      </c>
    </row>
    <row r="1173" spans="1:37" x14ac:dyDescent="0.2">
      <c r="A1173" s="1">
        <v>200000</v>
      </c>
      <c r="B1173" s="1">
        <v>951700065</v>
      </c>
      <c r="C1173" s="1" t="str">
        <f>"تخليه- کيلومتر 15 جاده زرند -کارخانه نژاد حسيني"</f>
        <v>تخليه- کيلومتر 15 جاده زرند -کارخانه نژاد حسيني</v>
      </c>
      <c r="D1173" s="1">
        <v>6250</v>
      </c>
      <c r="E1173" s="1">
        <v>199920</v>
      </c>
      <c r="F1173" s="1">
        <v>95</v>
      </c>
      <c r="G1173" s="1">
        <v>80</v>
      </c>
      <c r="H1173" s="1" t="str">
        <f>"95/04/06"</f>
        <v>95/04/06</v>
      </c>
      <c r="I1173" s="1" t="str">
        <f t="shared" si="298"/>
        <v>كيلوگرم</v>
      </c>
      <c r="J1173" s="1" t="str">
        <f t="shared" si="302"/>
        <v>0000000092</v>
      </c>
      <c r="K1173" s="1" t="str">
        <f t="shared" si="303"/>
        <v>قير  PG64-16</v>
      </c>
      <c r="L1173" s="1">
        <v>100</v>
      </c>
      <c r="M1173" s="1" t="str">
        <f t="shared" si="301"/>
        <v>مخازن قير اصفهان</v>
      </c>
      <c r="N1173" s="1">
        <v>7034</v>
      </c>
      <c r="O1173" s="1">
        <v>50031133</v>
      </c>
      <c r="P1173" s="1" t="str">
        <f>"  اداره كل راه وشهرسازي كرمان"</f>
        <v xml:space="preserve">  اداره كل راه وشهرسازي كرمان</v>
      </c>
      <c r="Q1173" s="1">
        <v>17</v>
      </c>
      <c r="R1173" s="1" t="str">
        <f>"فروش داخلي تهران - وزارت راه - راه روستايي - روکش"</f>
        <v>فروش داخلي تهران - وزارت راه - راه روستايي - روکش</v>
      </c>
      <c r="S1173" s="1" t="str">
        <f t="shared" si="299"/>
        <v>قرارداد فروش</v>
      </c>
      <c r="T1173" s="1" t="str">
        <f t="shared" si="300"/>
        <v>ندارد</v>
      </c>
      <c r="U1173" s="1" t="str">
        <f>"دهقانيان بهرام(4844012)"</f>
        <v>دهقانيان بهرام(4844012)</v>
      </c>
      <c r="V1173" s="1">
        <v>951700065</v>
      </c>
      <c r="W1173" s="1">
        <v>951700065</v>
      </c>
      <c r="X1173" s="1" t="str">
        <f>"1395411230"</f>
        <v>1395411230</v>
      </c>
      <c r="Y1173" s="1" t="str">
        <f>"95/04/06"</f>
        <v>95/04/06</v>
      </c>
      <c r="Z1173" s="1" t="str">
        <f>"12824/510"</f>
        <v>12824/510</v>
      </c>
      <c r="AA1173" s="1" t="str">
        <f>"راه روستائي -روكش"</f>
        <v>راه روستائي -روكش</v>
      </c>
      <c r="AB1173" s="1" t="str">
        <f>"95/03/29"</f>
        <v>95/03/29</v>
      </c>
      <c r="AC1173" s="1" t="str">
        <f>"استان كرمان"</f>
        <v>استان كرمان</v>
      </c>
      <c r="AD1173" s="1" t="str">
        <f>"95/04/05"</f>
        <v>95/04/05</v>
      </c>
      <c r="AE1173" s="1" t="str">
        <f t="shared" si="295"/>
        <v>اختتام</v>
      </c>
      <c r="AF1173" s="1" t="str">
        <f>""</f>
        <v/>
      </c>
      <c r="AG1173" s="1" t="str">
        <f>""</f>
        <v/>
      </c>
      <c r="AH1173" s="1" t="str">
        <f>""</f>
        <v/>
      </c>
      <c r="AI1173" s="1" t="str">
        <f>""</f>
        <v/>
      </c>
      <c r="AJ1173" s="1" t="str">
        <f>""</f>
        <v/>
      </c>
      <c r="AK1173" s="1" t="str">
        <f>""</f>
        <v/>
      </c>
    </row>
    <row r="1174" spans="1:37" x14ac:dyDescent="0.2">
      <c r="A1174" s="1">
        <v>1000000</v>
      </c>
      <c r="B1174" s="1">
        <v>951900286</v>
      </c>
      <c r="C1174" s="1" t="str">
        <f>"تخليه ايرانشهركيلومتر10جاده خاش كارخانه آسفالت آبخيزراه ايرانشهر"</f>
        <v>تخليه ايرانشهركيلومتر10جاده خاش كارخانه آسفالت آبخيزراه ايرانشهر</v>
      </c>
      <c r="D1174" s="1">
        <v>9354</v>
      </c>
      <c r="E1174" s="1">
        <v>1000000</v>
      </c>
      <c r="F1174" s="1">
        <v>95</v>
      </c>
      <c r="G1174" s="1">
        <v>0</v>
      </c>
      <c r="H1174" s="1" t="str">
        <f>"95/12/17"</f>
        <v>95/12/17</v>
      </c>
      <c r="I1174" s="1" t="str">
        <f t="shared" si="298"/>
        <v>كيلوگرم</v>
      </c>
      <c r="J1174" s="1" t="str">
        <f t="shared" si="302"/>
        <v>0000000092</v>
      </c>
      <c r="K1174" s="1" t="str">
        <f t="shared" si="303"/>
        <v>قير  PG64-16</v>
      </c>
      <c r="L1174" s="1">
        <v>100</v>
      </c>
      <c r="M1174" s="1" t="str">
        <f t="shared" si="301"/>
        <v>مخازن قير اصفهان</v>
      </c>
      <c r="N1174" s="1">
        <v>8366</v>
      </c>
      <c r="O1174" s="1">
        <v>50034025</v>
      </c>
      <c r="P1174" s="1" t="str">
        <f>"  آبخيزراه ايرانشهر"</f>
        <v xml:space="preserve">  آبخيزراه ايرانشهر</v>
      </c>
      <c r="Q1174" s="1">
        <v>19</v>
      </c>
      <c r="R117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74" s="1" t="str">
        <f t="shared" si="299"/>
        <v>قرارداد فروش</v>
      </c>
      <c r="T1174" s="1" t="str">
        <f t="shared" si="300"/>
        <v>ندارد</v>
      </c>
      <c r="U1174" s="1" t="str">
        <f>"پورباقري ترابر (4914036)"</f>
        <v>پورباقري ترابر (4914036)</v>
      </c>
      <c r="V1174" s="1">
        <v>951900286</v>
      </c>
      <c r="W1174" s="1">
        <v>951900286</v>
      </c>
      <c r="X1174" s="1" t="str">
        <f>"1395469191"</f>
        <v>1395469191</v>
      </c>
      <c r="Y1174" s="1" t="str">
        <f>"95/12/17"</f>
        <v>95/12/17</v>
      </c>
      <c r="Z1174" s="1" t="str">
        <f>"62386/710"</f>
        <v>62386/710</v>
      </c>
      <c r="AA1174" s="1" t="str">
        <f>"سازمان راهداري وحمل نقل جاده اي"</f>
        <v>سازمان راهداري وحمل نقل جاده اي</v>
      </c>
      <c r="AB1174" s="1" t="str">
        <f>"95/12/09"</f>
        <v>95/12/09</v>
      </c>
      <c r="AC1174" s="1" t="str">
        <f>"ايرانشهر"</f>
        <v>ايرانشهر</v>
      </c>
      <c r="AD1174" s="1" t="str">
        <f>"95/12/16"</f>
        <v>95/12/16</v>
      </c>
      <c r="AE1174" s="1" t="str">
        <f t="shared" si="295"/>
        <v>اختتام</v>
      </c>
      <c r="AF1174" s="1" t="str">
        <f>""</f>
        <v/>
      </c>
      <c r="AG1174" s="1" t="str">
        <f>""</f>
        <v/>
      </c>
      <c r="AH1174" s="1" t="str">
        <f>""</f>
        <v/>
      </c>
      <c r="AI1174" s="1" t="str">
        <f>""</f>
        <v/>
      </c>
      <c r="AJ1174" s="1" t="str">
        <f>""</f>
        <v/>
      </c>
      <c r="AK1174" s="1" t="str">
        <f>""</f>
        <v/>
      </c>
    </row>
    <row r="1175" spans="1:37" x14ac:dyDescent="0.2">
      <c r="A1175" s="1">
        <v>500000</v>
      </c>
      <c r="B1175" s="1">
        <v>951900036</v>
      </c>
      <c r="C1175" s="1" t="str">
        <f>"تخليه -اصفهان -قم كيلومتر10جاده كوه سفيدجنب پل آبنماكارخانه آرين پي سهند"</f>
        <v>تخليه -اصفهان -قم كيلومتر10جاده كوه سفيدجنب پل آبنماكارخانه آرين پي سهند</v>
      </c>
      <c r="D1175" s="1">
        <v>6250</v>
      </c>
      <c r="E1175" s="1">
        <v>500000</v>
      </c>
      <c r="F1175" s="1">
        <v>95</v>
      </c>
      <c r="G1175" s="1">
        <v>0</v>
      </c>
      <c r="H1175" s="1" t="str">
        <f>"95/04/15"</f>
        <v>95/04/15</v>
      </c>
      <c r="I1175" s="1" t="str">
        <f t="shared" si="298"/>
        <v>كيلوگرم</v>
      </c>
      <c r="J1175" s="1" t="str">
        <f t="shared" si="302"/>
        <v>0000000092</v>
      </c>
      <c r="K1175" s="1" t="str">
        <f t="shared" si="303"/>
        <v>قير  PG64-16</v>
      </c>
      <c r="L1175" s="1">
        <v>100</v>
      </c>
      <c r="M1175" s="1" t="str">
        <f t="shared" si="301"/>
        <v>مخازن قير اصفهان</v>
      </c>
      <c r="N1175" s="1">
        <v>8508</v>
      </c>
      <c r="O1175" s="1">
        <v>50031247</v>
      </c>
      <c r="P1175" s="1" t="str">
        <f>"  آزادراه اميركبير"</f>
        <v xml:space="preserve">  آزادراه اميركبير</v>
      </c>
      <c r="Q1175" s="1">
        <v>19</v>
      </c>
      <c r="R117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75" s="1" t="str">
        <f t="shared" si="299"/>
        <v>قرارداد فروش</v>
      </c>
      <c r="T1175" s="1" t="str">
        <f t="shared" si="300"/>
        <v>ندارد</v>
      </c>
      <c r="U1175" s="1" t="str">
        <f>"اميري علي(2842011)"</f>
        <v>اميري علي(2842011)</v>
      </c>
      <c r="V1175" s="1">
        <v>951900036</v>
      </c>
      <c r="W1175" s="1">
        <v>951900036</v>
      </c>
      <c r="X1175" s="1" t="str">
        <f>"1395413316"</f>
        <v>1395413316</v>
      </c>
      <c r="Y1175" s="1" t="str">
        <f>"95/04/15"</f>
        <v>95/04/15</v>
      </c>
      <c r="Z1175" s="1" t="str">
        <f>"62500/510"</f>
        <v>62500/510</v>
      </c>
      <c r="AA1175" s="1" t="str">
        <f>"سازمان راهداري وحمل نقل جاده اي"</f>
        <v>سازمان راهداري وحمل نقل جاده اي</v>
      </c>
      <c r="AB1175" s="1" t="str">
        <f>"94/11/12"</f>
        <v>94/11/12</v>
      </c>
      <c r="AC1175" s="1" t="str">
        <f>"استان اصفهان"</f>
        <v>استان اصفهان</v>
      </c>
      <c r="AD1175" s="1" t="str">
        <f>"95/04/15"</f>
        <v>95/04/15</v>
      </c>
      <c r="AE1175" s="1" t="str">
        <f t="shared" si="295"/>
        <v>اختتام</v>
      </c>
      <c r="AF1175" s="1" t="str">
        <f>""</f>
        <v/>
      </c>
      <c r="AG1175" s="1" t="str">
        <f>""</f>
        <v/>
      </c>
      <c r="AH1175" s="1" t="str">
        <f>""</f>
        <v/>
      </c>
      <c r="AI1175" s="1" t="str">
        <f>""</f>
        <v/>
      </c>
      <c r="AJ1175" s="1" t="str">
        <f>""</f>
        <v/>
      </c>
      <c r="AK1175" s="1" t="str">
        <f>""</f>
        <v/>
      </c>
    </row>
    <row r="1176" spans="1:37" x14ac:dyDescent="0.2">
      <c r="A1176" s="1">
        <v>288000</v>
      </c>
      <c r="B1176" s="1">
        <v>956200011</v>
      </c>
      <c r="C1176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1176" s="1">
        <v>5750</v>
      </c>
      <c r="E1176" s="1">
        <v>288000</v>
      </c>
      <c r="F1176" s="1">
        <v>95</v>
      </c>
      <c r="G1176" s="1">
        <v>0</v>
      </c>
      <c r="H1176" s="1" t="str">
        <f>"95/03/11"</f>
        <v>95/03/11</v>
      </c>
      <c r="I1176" s="1" t="str">
        <f t="shared" si="298"/>
        <v>كيلوگرم</v>
      </c>
      <c r="J1176" s="1" t="str">
        <f>"0000000076"</f>
        <v>0000000076</v>
      </c>
      <c r="K1176" s="1" t="str">
        <f>"قير 60/70 - فله"</f>
        <v>قير 60/70 - فله</v>
      </c>
      <c r="L1176" s="1">
        <v>100</v>
      </c>
      <c r="M1176" s="1" t="str">
        <f t="shared" si="301"/>
        <v>مخازن قير اصفهان</v>
      </c>
      <c r="N1176" s="1">
        <v>9416</v>
      </c>
      <c r="O1176" s="1">
        <v>50030927</v>
      </c>
      <c r="P1176" s="1" t="str">
        <f>"  راهسازي پوشش راه وحيد"</f>
        <v xml:space="preserve">  راهسازي پوشش راه وحيد</v>
      </c>
      <c r="Q1176" s="1">
        <v>62</v>
      </c>
      <c r="R1176" s="1" t="str">
        <f>"فروش داخلي - سازمان بنيادمسكن انقلاب اسلامي"</f>
        <v>فروش داخلي - سازمان بنيادمسكن انقلاب اسلامي</v>
      </c>
      <c r="S1176" s="1" t="str">
        <f t="shared" si="299"/>
        <v>قرارداد فروش</v>
      </c>
      <c r="T1176" s="1" t="str">
        <f t="shared" si="300"/>
        <v>ندارد</v>
      </c>
      <c r="U1176" s="1" t="str">
        <f>"اسماعيلي پور امين (1013ج89)"</f>
        <v>اسماعيلي پور امين (1013ج89)</v>
      </c>
      <c r="V1176" s="1">
        <v>956200011</v>
      </c>
      <c r="W1176" s="1">
        <v>956200011</v>
      </c>
      <c r="X1176" s="1" t="str">
        <f>"1395406644"</f>
        <v>1395406644</v>
      </c>
      <c r="Y1176" s="1" t="str">
        <f>"95/03/11"</f>
        <v>95/03/11</v>
      </c>
      <c r="Z1176" s="1" t="str">
        <f>"9608/د"</f>
        <v>9608/د</v>
      </c>
      <c r="AA1176" s="1" t="str">
        <f>"بنيادمسكن انقلاب اسلامي"</f>
        <v>بنيادمسكن انقلاب اسلامي</v>
      </c>
      <c r="AB1176" s="1" t="str">
        <f>"95/03/10"</f>
        <v>95/03/10</v>
      </c>
      <c r="AC1176" s="1" t="str">
        <f>"استان يزد"</f>
        <v>استان يزد</v>
      </c>
      <c r="AD1176" s="1" t="str">
        <f>"95/03/11"</f>
        <v>95/03/11</v>
      </c>
      <c r="AE1176" s="1" t="str">
        <f t="shared" si="295"/>
        <v>اختتام</v>
      </c>
      <c r="AF1176" s="1" t="str">
        <f>""</f>
        <v/>
      </c>
      <c r="AG1176" s="1" t="str">
        <f>""</f>
        <v/>
      </c>
      <c r="AH1176" s="1" t="str">
        <f>""</f>
        <v/>
      </c>
      <c r="AI1176" s="1" t="str">
        <f>""</f>
        <v/>
      </c>
      <c r="AJ1176" s="1" t="str">
        <f>""</f>
        <v/>
      </c>
      <c r="AK1176" s="1" t="str">
        <f>""</f>
        <v/>
      </c>
    </row>
    <row r="1177" spans="1:37" x14ac:dyDescent="0.2">
      <c r="A1177" s="1">
        <v>199000</v>
      </c>
      <c r="B1177" s="1">
        <v>956200013</v>
      </c>
      <c r="C1177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1177" s="1">
        <v>5750</v>
      </c>
      <c r="E1177" s="1">
        <v>199000</v>
      </c>
      <c r="F1177" s="1">
        <v>95</v>
      </c>
      <c r="G1177" s="1">
        <v>0</v>
      </c>
      <c r="H1177" s="1" t="str">
        <f>"95/03/11"</f>
        <v>95/03/11</v>
      </c>
      <c r="I1177" s="1" t="str">
        <f t="shared" si="298"/>
        <v>كيلوگرم</v>
      </c>
      <c r="J1177" s="1" t="str">
        <f>"0000000076"</f>
        <v>0000000076</v>
      </c>
      <c r="K1177" s="1" t="str">
        <f>"قير 60/70 - فله"</f>
        <v>قير 60/70 - فله</v>
      </c>
      <c r="L1177" s="1">
        <v>100</v>
      </c>
      <c r="M1177" s="1" t="str">
        <f t="shared" si="301"/>
        <v>مخازن قير اصفهان</v>
      </c>
      <c r="N1177" s="1">
        <v>9416</v>
      </c>
      <c r="O1177" s="1">
        <v>50030929</v>
      </c>
      <c r="P1177" s="1" t="str">
        <f>"  راهسازي پوشش راه وحيد"</f>
        <v xml:space="preserve">  راهسازي پوشش راه وحيد</v>
      </c>
      <c r="Q1177" s="1">
        <v>62</v>
      </c>
      <c r="R1177" s="1" t="str">
        <f>"فروش داخلي - سازمان بنيادمسكن انقلاب اسلامي"</f>
        <v>فروش داخلي - سازمان بنيادمسكن انقلاب اسلامي</v>
      </c>
      <c r="S1177" s="1" t="str">
        <f t="shared" si="299"/>
        <v>قرارداد فروش</v>
      </c>
      <c r="T1177" s="1" t="str">
        <f t="shared" si="300"/>
        <v>ندارد</v>
      </c>
      <c r="U1177" s="1" t="str">
        <f>"اسماعيلي پور امين (1013ج89)"</f>
        <v>اسماعيلي پور امين (1013ج89)</v>
      </c>
      <c r="V1177" s="1">
        <v>956200013</v>
      </c>
      <c r="W1177" s="1">
        <v>956200013</v>
      </c>
      <c r="X1177" s="1" t="str">
        <f>"1395406644"</f>
        <v>1395406644</v>
      </c>
      <c r="Y1177" s="1" t="str">
        <f>"95/03/11"</f>
        <v>95/03/11</v>
      </c>
      <c r="Z1177" s="1" t="str">
        <f>"9530/د"</f>
        <v>9530/د</v>
      </c>
      <c r="AA1177" s="1" t="str">
        <f>"بنيادمسكن انقلاب اسلامي"</f>
        <v>بنيادمسكن انقلاب اسلامي</v>
      </c>
      <c r="AB1177" s="1" t="str">
        <f>"95/03/10"</f>
        <v>95/03/10</v>
      </c>
      <c r="AC1177" s="1" t="str">
        <f>"استان يزد"</f>
        <v>استان يزد</v>
      </c>
      <c r="AD1177" s="1" t="str">
        <f>"95/03/11"</f>
        <v>95/03/11</v>
      </c>
      <c r="AE1177" s="1" t="str">
        <f t="shared" si="295"/>
        <v>اختتام</v>
      </c>
      <c r="AF1177" s="1" t="str">
        <f>""</f>
        <v/>
      </c>
      <c r="AG1177" s="1" t="str">
        <f>""</f>
        <v/>
      </c>
      <c r="AH1177" s="1" t="str">
        <f>""</f>
        <v/>
      </c>
      <c r="AI1177" s="1" t="str">
        <f>""</f>
        <v/>
      </c>
      <c r="AJ1177" s="1" t="str">
        <f>""</f>
        <v/>
      </c>
      <c r="AK1177" s="1" t="str">
        <f>""</f>
        <v/>
      </c>
    </row>
    <row r="1178" spans="1:37" x14ac:dyDescent="0.2">
      <c r="A1178" s="1">
        <v>340000</v>
      </c>
      <c r="B1178" s="1">
        <v>951100085</v>
      </c>
      <c r="C1178" s="1" t="str">
        <f>"تخليه -تهران -فرودگاه بين المللي امام خميني"</f>
        <v>تخليه -تهران -فرودگاه بين المللي امام خميني</v>
      </c>
      <c r="D1178" s="1">
        <v>6250</v>
      </c>
      <c r="E1178" s="1">
        <v>339300</v>
      </c>
      <c r="F1178" s="1">
        <v>95</v>
      </c>
      <c r="G1178" s="1">
        <v>700</v>
      </c>
      <c r="H1178" s="1" t="str">
        <f>"95/04/15"</f>
        <v>95/04/15</v>
      </c>
      <c r="I1178" s="1" t="str">
        <f t="shared" si="298"/>
        <v>كيلوگرم</v>
      </c>
      <c r="J1178" s="1" t="str">
        <f>"0000000092"</f>
        <v>0000000092</v>
      </c>
      <c r="K1178" s="1" t="str">
        <f>"قير  PG64-16"</f>
        <v>قير  PG64-16</v>
      </c>
      <c r="L1178" s="1">
        <v>100</v>
      </c>
      <c r="M1178" s="1" t="str">
        <f t="shared" si="301"/>
        <v>مخازن قير اصفهان</v>
      </c>
      <c r="N1178" s="1">
        <v>8025</v>
      </c>
      <c r="O1178" s="1">
        <v>50031207</v>
      </c>
      <c r="P1178" s="1" t="str">
        <f>"  ملي ساختمان"</f>
        <v xml:space="preserve">  ملي ساختمان</v>
      </c>
      <c r="Q1178" s="1">
        <v>11</v>
      </c>
      <c r="R1178" s="1" t="str">
        <f>"فروش داخلي تهران - بورس"</f>
        <v>فروش داخلي تهران - بورس</v>
      </c>
      <c r="S1178" s="1" t="str">
        <f t="shared" si="299"/>
        <v>قرارداد فروش</v>
      </c>
      <c r="T1178" s="1" t="str">
        <f t="shared" si="300"/>
        <v>ندارد</v>
      </c>
      <c r="U1178" s="1" t="str">
        <f>"حسيني علي(1841001)"</f>
        <v>حسيني علي(1841001)</v>
      </c>
      <c r="V1178" s="1">
        <v>951100085</v>
      </c>
      <c r="W1178" s="1">
        <v>951100085</v>
      </c>
      <c r="X1178" s="1" t="str">
        <f>"1395412849"</f>
        <v>1395412849</v>
      </c>
      <c r="Y1178" s="1" t="str">
        <f>"95/04/15"</f>
        <v>95/04/15</v>
      </c>
      <c r="Z1178" s="1" t="str">
        <f>"13572/510"</f>
        <v>13572/510</v>
      </c>
      <c r="AA1178" s="1" t="str">
        <f>"وزارت راه و ترابري-استانها"</f>
        <v>وزارت راه و ترابري-استانها</v>
      </c>
      <c r="AB1178" s="1" t="str">
        <f>"95/03/31"</f>
        <v>95/03/31</v>
      </c>
      <c r="AC1178" s="1" t="str">
        <f>"استان تهران"</f>
        <v>استان تهران</v>
      </c>
      <c r="AD1178" s="1" t="str">
        <f>"95/04/13"</f>
        <v>95/04/13</v>
      </c>
      <c r="AE1178" s="1" t="str">
        <f t="shared" ref="AE1178:AE1209" si="304">"اختتام"</f>
        <v>اختتام</v>
      </c>
      <c r="AF1178" s="1" t="str">
        <f>""</f>
        <v/>
      </c>
      <c r="AG1178" s="1" t="str">
        <f>""</f>
        <v/>
      </c>
      <c r="AH1178" s="1" t="str">
        <f>""</f>
        <v/>
      </c>
      <c r="AI1178" s="1" t="str">
        <f>""</f>
        <v/>
      </c>
      <c r="AJ1178" s="1" t="str">
        <f>""</f>
        <v/>
      </c>
      <c r="AK1178" s="1" t="str">
        <f>""</f>
        <v/>
      </c>
    </row>
    <row r="1179" spans="1:37" x14ac:dyDescent="0.2">
      <c r="A1179" s="1">
        <v>750000</v>
      </c>
      <c r="B1179" s="1">
        <v>951800023</v>
      </c>
      <c r="C1179" s="1" t="str">
        <f>"تخليه -گيلان -محورانزلي -آستارا60كيلومترمانده به آستاراليسار-شركت ايران پل"</f>
        <v>تخليه -گيلان -محورانزلي -آستارا60كيلومترمانده به آستاراليسار-شركت ايران پل</v>
      </c>
      <c r="D1179" s="1">
        <v>6250</v>
      </c>
      <c r="E1179" s="1">
        <v>749380</v>
      </c>
      <c r="F1179" s="1">
        <v>95</v>
      </c>
      <c r="G1179" s="1">
        <v>620</v>
      </c>
      <c r="H1179" s="1" t="str">
        <f>"95/04/09"</f>
        <v>95/04/09</v>
      </c>
      <c r="I1179" s="1" t="str">
        <f t="shared" si="298"/>
        <v>كيلوگرم</v>
      </c>
      <c r="J1179" s="1" t="str">
        <f>"0000000092"</f>
        <v>0000000092</v>
      </c>
      <c r="K1179" s="1" t="str">
        <f>"قير  PG64-16"</f>
        <v>قير  PG64-16</v>
      </c>
      <c r="L1179" s="1">
        <v>100</v>
      </c>
      <c r="M1179" s="1" t="str">
        <f t="shared" si="301"/>
        <v>مخازن قير اصفهان</v>
      </c>
      <c r="N1179" s="1">
        <v>8051</v>
      </c>
      <c r="O1179" s="1">
        <v>50031167</v>
      </c>
      <c r="P1179" s="1" t="str">
        <f>"  ساختماني ايران پل"</f>
        <v xml:space="preserve">  ساختماني ايران پل</v>
      </c>
      <c r="Q1179" s="1">
        <v>18</v>
      </c>
      <c r="R1179" s="1" t="str">
        <f>"فروش داخلي تهران - وزارت راه - شرکت ساخت و توسعه راهها"</f>
        <v>فروش داخلي تهران - وزارت راه - شرکت ساخت و توسعه راهها</v>
      </c>
      <c r="S1179" s="1" t="str">
        <f t="shared" si="299"/>
        <v>قرارداد فروش</v>
      </c>
      <c r="T1179" s="1" t="str">
        <f t="shared" si="300"/>
        <v>ندارد</v>
      </c>
      <c r="U1179" s="1" t="str">
        <f>"احمدي حبيب (1901097)"</f>
        <v>احمدي حبيب (1901097)</v>
      </c>
      <c r="V1179" s="1">
        <v>951800023</v>
      </c>
      <c r="W1179" s="1">
        <v>951800023</v>
      </c>
      <c r="X1179" s="1" t="str">
        <f>"1395411456"</f>
        <v>1395411456</v>
      </c>
      <c r="Y1179" s="1" t="str">
        <f>"95/04/09"</f>
        <v>95/04/09</v>
      </c>
      <c r="Z1179" s="1" t="str">
        <f>"13879/510"</f>
        <v>13879/510</v>
      </c>
      <c r="AA1179" s="1" t="str">
        <f>"شركت  ساخت وتوسعه راهها"</f>
        <v>شركت  ساخت وتوسعه راهها</v>
      </c>
      <c r="AB1179" s="1" t="str">
        <f>"95/04/01"</f>
        <v>95/04/01</v>
      </c>
      <c r="AC1179" s="1" t="str">
        <f>"استان گيلان"</f>
        <v>استان گيلان</v>
      </c>
      <c r="AD1179" s="1" t="str">
        <f>"95/04/08"</f>
        <v>95/04/08</v>
      </c>
      <c r="AE1179" s="1" t="str">
        <f t="shared" si="304"/>
        <v>اختتام</v>
      </c>
      <c r="AF1179" s="1" t="str">
        <f>""</f>
        <v/>
      </c>
      <c r="AG1179" s="1" t="str">
        <f>""</f>
        <v/>
      </c>
      <c r="AH1179" s="1" t="str">
        <f>""</f>
        <v/>
      </c>
      <c r="AI1179" s="1" t="str">
        <f>""</f>
        <v/>
      </c>
      <c r="AJ1179" s="1" t="str">
        <f>""</f>
        <v/>
      </c>
      <c r="AK1179" s="1" t="str">
        <f>""</f>
        <v/>
      </c>
    </row>
    <row r="1180" spans="1:37" x14ac:dyDescent="0.2">
      <c r="A1180" s="1">
        <v>350000</v>
      </c>
      <c r="B1180" s="1">
        <v>951300007</v>
      </c>
      <c r="C1180" s="1" t="str">
        <f>"تخليه -خراسان رضوي -گناباد-كاخك -كارخانه آسفالت شهرداري كاخك"</f>
        <v>تخليه -خراسان رضوي -گناباد-كاخك -كارخانه آسفالت شهرداري كاخك</v>
      </c>
      <c r="D1180" s="1">
        <v>6169.3879999999999</v>
      </c>
      <c r="E1180" s="1">
        <v>348820</v>
      </c>
      <c r="F1180" s="1">
        <v>95</v>
      </c>
      <c r="G1180" s="1">
        <v>1180</v>
      </c>
      <c r="H1180" s="1" t="str">
        <f>"95/04/05"</f>
        <v>95/04/05</v>
      </c>
      <c r="I1180" s="1" t="str">
        <f t="shared" si="298"/>
        <v>كيلوگرم</v>
      </c>
      <c r="J1180" s="1" t="str">
        <f>"0000000092"</f>
        <v>0000000092</v>
      </c>
      <c r="K1180" s="1" t="str">
        <f>"قير  PG64-16"</f>
        <v>قير  PG64-16</v>
      </c>
      <c r="L1180" s="1">
        <v>100</v>
      </c>
      <c r="M1180" s="1" t="str">
        <f t="shared" si="301"/>
        <v>مخازن قير اصفهان</v>
      </c>
      <c r="N1180" s="1">
        <v>8902</v>
      </c>
      <c r="O1180" s="1">
        <v>50031106</v>
      </c>
      <c r="P1180" s="1" t="str">
        <f>"  شهرداري كاخك"</f>
        <v xml:space="preserve">  شهرداري كاخك</v>
      </c>
      <c r="Q1180" s="1">
        <v>13</v>
      </c>
      <c r="R1180" s="1" t="str">
        <f>"فروش داخلي - وزارت راه - حوزه بنياد مسكن"</f>
        <v>فروش داخلي - وزارت راه - حوزه بنياد مسكن</v>
      </c>
      <c r="S1180" s="1" t="str">
        <f t="shared" si="299"/>
        <v>قرارداد فروش</v>
      </c>
      <c r="T1180" s="1" t="str">
        <f t="shared" si="300"/>
        <v>ندارد</v>
      </c>
      <c r="U1180" s="1" t="str">
        <f>"بابامحمدي عنايت اله(4844000)"</f>
        <v>بابامحمدي عنايت اله(4844000)</v>
      </c>
      <c r="V1180" s="1">
        <v>951300007</v>
      </c>
      <c r="W1180" s="1">
        <v>951300007</v>
      </c>
      <c r="X1180" s="1" t="str">
        <f>"1395410065"</f>
        <v>1395410065</v>
      </c>
      <c r="Y1180" s="1" t="str">
        <f>"95/04/05"</f>
        <v>95/04/05</v>
      </c>
      <c r="Z1180" s="1" t="str">
        <f>"48119/510"</f>
        <v>48119/510</v>
      </c>
      <c r="AA1180" s="1" t="str">
        <f>"بنياد مسكن -مسكن مهر"</f>
        <v>بنياد مسكن -مسكن مهر</v>
      </c>
      <c r="AB1180" s="1" t="str">
        <f>"94/08/30"</f>
        <v>94/08/30</v>
      </c>
      <c r="AC1180" s="1" t="str">
        <f>"خراسان رضوي"</f>
        <v>خراسان رضوي</v>
      </c>
      <c r="AD1180" s="1" t="str">
        <f>"95/04/05"</f>
        <v>95/04/05</v>
      </c>
      <c r="AE1180" s="1" t="str">
        <f t="shared" si="304"/>
        <v>اختتام</v>
      </c>
      <c r="AF1180" s="1" t="str">
        <f>""</f>
        <v/>
      </c>
      <c r="AG1180" s="1" t="str">
        <f>""</f>
        <v/>
      </c>
      <c r="AH1180" s="1" t="str">
        <f>""</f>
        <v/>
      </c>
      <c r="AI1180" s="1" t="str">
        <f>""</f>
        <v/>
      </c>
      <c r="AJ1180" s="1" t="str">
        <f>""</f>
        <v/>
      </c>
      <c r="AK1180" s="1" t="str">
        <f>""</f>
        <v/>
      </c>
    </row>
    <row r="1181" spans="1:37" x14ac:dyDescent="0.2">
      <c r="A1181" s="1">
        <v>202000</v>
      </c>
      <c r="B1181" s="1">
        <v>951700110</v>
      </c>
      <c r="C1181" s="1" t="str">
        <f>"تخليه -ايلام -كيلومتر20جاده سرابله به پل سيمره مجتمع صنعتي نجفيان -شركت تعاوني 131چرداول"</f>
        <v>تخليه -ايلام -كيلومتر20جاده سرابله به پل سيمره مجتمع صنعتي نجفيان -شركت تعاوني 131چرداول</v>
      </c>
      <c r="D1181" s="1">
        <v>6250</v>
      </c>
      <c r="E1181" s="1">
        <v>199800</v>
      </c>
      <c r="F1181" s="1">
        <v>95</v>
      </c>
      <c r="G1181" s="1">
        <v>2200</v>
      </c>
      <c r="H1181" s="1" t="str">
        <f>"95/04/24"</f>
        <v>95/04/24</v>
      </c>
      <c r="I1181" s="1" t="str">
        <f t="shared" si="298"/>
        <v>كيلوگرم</v>
      </c>
      <c r="J1181" s="1" t="str">
        <f>"0000000092"</f>
        <v>0000000092</v>
      </c>
      <c r="K1181" s="1" t="str">
        <f>"قير  PG64-16"</f>
        <v>قير  PG64-16</v>
      </c>
      <c r="L1181" s="1">
        <v>100</v>
      </c>
      <c r="M1181" s="1" t="str">
        <f t="shared" si="301"/>
        <v>مخازن قير اصفهان</v>
      </c>
      <c r="N1181" s="1">
        <v>9455</v>
      </c>
      <c r="O1181" s="1">
        <v>50031286</v>
      </c>
      <c r="P1181" s="1" t="str">
        <f>"  تعاوني 131سنگ شكن چرداول"</f>
        <v xml:space="preserve">  تعاوني 131سنگ شكن چرداول</v>
      </c>
      <c r="Q1181" s="1">
        <v>17</v>
      </c>
      <c r="R1181" s="1" t="str">
        <f>"فروش داخلي تهران - وزارت راه - راه روستايي - روکش"</f>
        <v>فروش داخلي تهران - وزارت راه - راه روستايي - روکش</v>
      </c>
      <c r="S1181" s="1" t="str">
        <f t="shared" si="299"/>
        <v>قرارداد فروش</v>
      </c>
      <c r="T1181" s="1" t="str">
        <f t="shared" si="300"/>
        <v>ندارد</v>
      </c>
      <c r="U1181" s="1" t="str">
        <f>"عظيمي محمد(2842015)"</f>
        <v>عظيمي محمد(2842015)</v>
      </c>
      <c r="V1181" s="1">
        <v>951700110</v>
      </c>
      <c r="W1181" s="1">
        <v>951700110</v>
      </c>
      <c r="X1181" s="1" t="str">
        <f>"1395415481"</f>
        <v>1395415481</v>
      </c>
      <c r="Y1181" s="1" t="str">
        <f>"95/04/24"</f>
        <v>95/04/24</v>
      </c>
      <c r="Z1181" s="1" t="str">
        <f>"17003/510"</f>
        <v>17003/510</v>
      </c>
      <c r="AA1181" s="1" t="str">
        <f>"راه روستائي -روكش"</f>
        <v>راه روستائي -روكش</v>
      </c>
      <c r="AB1181" s="1" t="str">
        <f>"95/04/21"</f>
        <v>95/04/21</v>
      </c>
      <c r="AC1181" s="1" t="str">
        <f>"استان ايلام"</f>
        <v>استان ايلام</v>
      </c>
      <c r="AD1181" s="1" t="str">
        <f>"95/04/23"</f>
        <v>95/04/23</v>
      </c>
      <c r="AE1181" s="1" t="str">
        <f t="shared" si="304"/>
        <v>اختتام</v>
      </c>
      <c r="AF1181" s="1" t="str">
        <f>""</f>
        <v/>
      </c>
      <c r="AG1181" s="1" t="str">
        <f>""</f>
        <v/>
      </c>
      <c r="AH1181" s="1" t="str">
        <f>""</f>
        <v/>
      </c>
      <c r="AI1181" s="1" t="str">
        <f>""</f>
        <v/>
      </c>
      <c r="AJ1181" s="1" t="str">
        <f>""</f>
        <v/>
      </c>
      <c r="AK1181" s="1" t="str">
        <f>""</f>
        <v/>
      </c>
    </row>
    <row r="1182" spans="1:37" x14ac:dyDescent="0.2">
      <c r="A1182" s="1">
        <v>616000</v>
      </c>
      <c r="B1182" s="1">
        <v>956200113</v>
      </c>
      <c r="C1182" s="1" t="str">
        <f>"تخليه - مازندران-کمربندي نکا- روستاي چاله پل-کارخانه آسفالت قدمي"</f>
        <v>تخليه - مازندران-کمربندي نکا- روستاي چاله پل-کارخانه آسفالت قدمي</v>
      </c>
      <c r="D1182" s="1">
        <v>8861</v>
      </c>
      <c r="E1182" s="1">
        <v>615980</v>
      </c>
      <c r="F1182" s="1">
        <v>95</v>
      </c>
      <c r="G1182" s="1">
        <v>20</v>
      </c>
      <c r="H1182" s="1" t="str">
        <f>"95/10/06"</f>
        <v>95/10/06</v>
      </c>
      <c r="I1182" s="1" t="str">
        <f t="shared" si="298"/>
        <v>كيلوگرم</v>
      </c>
      <c r="J1182" s="1" t="str">
        <f>"0000000076"</f>
        <v>0000000076</v>
      </c>
      <c r="K1182" s="1" t="str">
        <f>"قير 60/70 - فله"</f>
        <v>قير 60/70 - فله</v>
      </c>
      <c r="L1182" s="1">
        <v>100</v>
      </c>
      <c r="M1182" s="1" t="str">
        <f t="shared" si="301"/>
        <v>مخازن قير اصفهان</v>
      </c>
      <c r="N1182" s="1">
        <v>8903</v>
      </c>
      <c r="O1182" s="1">
        <v>50033160</v>
      </c>
      <c r="P1182" s="1" t="str">
        <f>"  بنيادمسكن انقلاب اسلامي مازندران"</f>
        <v xml:space="preserve">  بنيادمسكن انقلاب اسلامي مازندران</v>
      </c>
      <c r="Q1182" s="1">
        <v>62</v>
      </c>
      <c r="R1182" s="1" t="str">
        <f>"فروش داخلي - سازمان بنيادمسكن انقلاب اسلامي"</f>
        <v>فروش داخلي - سازمان بنيادمسكن انقلاب اسلامي</v>
      </c>
      <c r="S1182" s="1" t="str">
        <f t="shared" si="299"/>
        <v>قرارداد فروش</v>
      </c>
      <c r="T1182" s="1" t="str">
        <f t="shared" si="300"/>
        <v>ندارد</v>
      </c>
      <c r="U1182" s="1" t="str">
        <f>"شيشه بر كريم(1841016)"</f>
        <v>شيشه بر كريم(1841016)</v>
      </c>
      <c r="V1182" s="1">
        <v>956200113</v>
      </c>
      <c r="W1182" s="1">
        <v>956200113</v>
      </c>
      <c r="X1182" s="1" t="str">
        <f>"1395454456"</f>
        <v>1395454456</v>
      </c>
      <c r="Y1182" s="1" t="str">
        <f>"95/10/06"</f>
        <v>95/10/06</v>
      </c>
      <c r="Z1182" s="1" t="str">
        <f>"40513/د"</f>
        <v>40513/د</v>
      </c>
      <c r="AA1182" s="1" t="str">
        <f>"بنيادمسكن انقلاب اسلامي"</f>
        <v>بنيادمسكن انقلاب اسلامي</v>
      </c>
      <c r="AB1182" s="1" t="str">
        <f>"95/09/24"</f>
        <v>95/09/24</v>
      </c>
      <c r="AC1182" s="1" t="str">
        <f>"استان مازندران"</f>
        <v>استان مازندران</v>
      </c>
      <c r="AD1182" s="1" t="str">
        <f>"95/10/05"</f>
        <v>95/10/05</v>
      </c>
      <c r="AE1182" s="1" t="str">
        <f t="shared" si="304"/>
        <v>اختتام</v>
      </c>
      <c r="AF1182" s="1" t="str">
        <f>""</f>
        <v/>
      </c>
      <c r="AG1182" s="1" t="str">
        <f>""</f>
        <v/>
      </c>
      <c r="AH1182" s="1" t="str">
        <f>""</f>
        <v/>
      </c>
      <c r="AI1182" s="1" t="str">
        <f>""</f>
        <v/>
      </c>
      <c r="AJ1182" s="1" t="str">
        <f>""</f>
        <v/>
      </c>
      <c r="AK1182" s="1" t="str">
        <f>""</f>
        <v/>
      </c>
    </row>
    <row r="1183" spans="1:37" x14ac:dyDescent="0.2">
      <c r="A1183" s="1">
        <v>388280</v>
      </c>
      <c r="B1183" s="1">
        <v>951700251</v>
      </c>
      <c r="C1183" s="1" t="str">
        <f>"تخليه -كهگيلويه وبويراحمد-ياسوج كارخانه آسفالت جوكار"</f>
        <v>تخليه -كهگيلويه وبويراحمد-ياسوج كارخانه آسفالت جوكار</v>
      </c>
      <c r="D1183" s="1">
        <v>8323</v>
      </c>
      <c r="E1183" s="1">
        <v>204420</v>
      </c>
      <c r="F1183" s="1">
        <v>95</v>
      </c>
      <c r="G1183" s="1">
        <v>183860</v>
      </c>
      <c r="H1183" s="1" t="str">
        <f>"95/08/08"</f>
        <v>95/08/08</v>
      </c>
      <c r="I1183" s="1" t="str">
        <f t="shared" si="298"/>
        <v>كيلوگرم</v>
      </c>
      <c r="J1183" s="1" t="str">
        <f>"0000000093"</f>
        <v>0000000093</v>
      </c>
      <c r="K1183" s="1" t="str">
        <f>"قير  PG64-10"</f>
        <v>قير  PG64-10</v>
      </c>
      <c r="L1183" s="1">
        <v>100</v>
      </c>
      <c r="M1183" s="1" t="str">
        <f t="shared" si="301"/>
        <v>مخازن قير اصفهان</v>
      </c>
      <c r="N1183" s="1">
        <v>10979</v>
      </c>
      <c r="O1183" s="1">
        <v>50032349</v>
      </c>
      <c r="P1183" s="1" t="str">
        <f>"  والادسازه آترين"</f>
        <v xml:space="preserve">  والادسازه آترين</v>
      </c>
      <c r="Q1183" s="1">
        <v>17</v>
      </c>
      <c r="R1183" s="1" t="str">
        <f>"فروش داخلي تهران - وزارت راه - راه روستايي - روکش"</f>
        <v>فروش داخلي تهران - وزارت راه - راه روستايي - روکش</v>
      </c>
      <c r="S1183" s="1" t="str">
        <f t="shared" si="299"/>
        <v>قرارداد فروش</v>
      </c>
      <c r="T1183" s="1" t="str">
        <f t="shared" si="300"/>
        <v>ندارد</v>
      </c>
      <c r="U1183" s="1" t="str">
        <f>"غلام نجفي سيامك‌‌‌‌‌‌(1881082)"</f>
        <v>غلام نجفي سيامك‌‌‌‌‌‌(1881082)</v>
      </c>
      <c r="V1183" s="1">
        <v>951700251</v>
      </c>
      <c r="W1183" s="1">
        <v>951700251</v>
      </c>
      <c r="X1183" s="1" t="str">
        <f>"1395419857"</f>
        <v>1395419857</v>
      </c>
      <c r="Y1183" s="1" t="str">
        <f>"95/08/08"</f>
        <v>95/08/08</v>
      </c>
      <c r="Z1183" s="1" t="str">
        <f>"18875/510"</f>
        <v>18875/510</v>
      </c>
      <c r="AA1183" s="1" t="str">
        <f>"راه روستائي -روكش"</f>
        <v>راه روستائي -روكش</v>
      </c>
      <c r="AB1183" s="1" t="str">
        <f>"95/04/30"</f>
        <v>95/04/30</v>
      </c>
      <c r="AC1183" s="1" t="str">
        <f>"كهكيلويه و بوير احمد"</f>
        <v>كهكيلويه و بوير احمد</v>
      </c>
      <c r="AD1183" s="1" t="str">
        <f>"95/05/11"</f>
        <v>95/05/11</v>
      </c>
      <c r="AE1183" s="1" t="str">
        <f t="shared" si="304"/>
        <v>اختتام</v>
      </c>
      <c r="AF1183" s="1" t="str">
        <f>""</f>
        <v/>
      </c>
      <c r="AG1183" s="1" t="str">
        <f>""</f>
        <v/>
      </c>
      <c r="AH1183" s="1" t="str">
        <f>""</f>
        <v/>
      </c>
      <c r="AI1183" s="1" t="str">
        <f>""</f>
        <v/>
      </c>
      <c r="AJ1183" s="1" t="str">
        <f>""</f>
        <v/>
      </c>
      <c r="AK1183" s="1" t="str">
        <f>""</f>
        <v/>
      </c>
    </row>
    <row r="1184" spans="1:37" x14ac:dyDescent="0.2">
      <c r="A1184" s="1">
        <v>46660</v>
      </c>
      <c r="B1184" s="1">
        <v>951700306</v>
      </c>
      <c r="C1184" s="1" t="str">
        <f>"تخليه -كهگيلويه وبويراحمد-ياسوج كارخانه آسفالت جوكار"</f>
        <v>تخليه -كهگيلويه وبويراحمد-ياسوج كارخانه آسفالت جوكار</v>
      </c>
      <c r="D1184" s="1">
        <v>8998</v>
      </c>
      <c r="E1184" s="1">
        <v>45340</v>
      </c>
      <c r="F1184" s="1">
        <v>95</v>
      </c>
      <c r="G1184" s="1">
        <v>1320</v>
      </c>
      <c r="H1184" s="1" t="str">
        <f>"95/11/03"</f>
        <v>95/11/03</v>
      </c>
      <c r="I1184" s="1" t="str">
        <f t="shared" si="298"/>
        <v>كيلوگرم</v>
      </c>
      <c r="J1184" s="1" t="str">
        <f>"0000000093"</f>
        <v>0000000093</v>
      </c>
      <c r="K1184" s="1" t="str">
        <f>"قير  PG64-10"</f>
        <v>قير  PG64-10</v>
      </c>
      <c r="L1184" s="1">
        <v>100</v>
      </c>
      <c r="M1184" s="1" t="str">
        <f t="shared" si="301"/>
        <v>مخازن قير اصفهان</v>
      </c>
      <c r="N1184" s="1">
        <v>10979</v>
      </c>
      <c r="O1184" s="1">
        <v>50033425</v>
      </c>
      <c r="P1184" s="1" t="str">
        <f>"  والادسازه آترين"</f>
        <v xml:space="preserve">  والادسازه آترين</v>
      </c>
      <c r="Q1184" s="1">
        <v>17</v>
      </c>
      <c r="R1184" s="1" t="str">
        <f>"فروش داخلي تهران - وزارت راه - راه روستايي - روکش"</f>
        <v>فروش داخلي تهران - وزارت راه - راه روستايي - روکش</v>
      </c>
      <c r="S1184" s="1" t="str">
        <f t="shared" si="299"/>
        <v>قرارداد فروش</v>
      </c>
      <c r="T1184" s="1" t="str">
        <f t="shared" si="300"/>
        <v>ندارد</v>
      </c>
      <c r="U1184" s="1" t="str">
        <f>"غلام نجفي سيامك‌‌‌‌‌‌(1881082)"</f>
        <v>غلام نجفي سيامك‌‌‌‌‌‌(1881082)</v>
      </c>
      <c r="V1184" s="1">
        <v>951700306</v>
      </c>
      <c r="W1184" s="1">
        <v>951700306</v>
      </c>
      <c r="X1184" s="1" t="str">
        <f>"1395419857"</f>
        <v>1395419857</v>
      </c>
      <c r="Y1184" s="1" t="str">
        <f>"95/11/03"</f>
        <v>95/11/03</v>
      </c>
      <c r="Z1184" s="1" t="str">
        <f>"18875/510"</f>
        <v>18875/510</v>
      </c>
      <c r="AA1184" s="1" t="str">
        <f>"راه روستائي -روكش"</f>
        <v>راه روستائي -روكش</v>
      </c>
      <c r="AB1184" s="1" t="str">
        <f>"95/04/30"</f>
        <v>95/04/30</v>
      </c>
      <c r="AC1184" s="1" t="str">
        <f>"كهكيلويه و بوير احمد"</f>
        <v>كهكيلويه و بوير احمد</v>
      </c>
      <c r="AD1184" s="1" t="str">
        <f>"95/05/11"</f>
        <v>95/05/11</v>
      </c>
      <c r="AE1184" s="1" t="str">
        <f t="shared" si="304"/>
        <v>اختتام</v>
      </c>
      <c r="AF1184" s="1" t="str">
        <f>""</f>
        <v/>
      </c>
      <c r="AG1184" s="1" t="str">
        <f>""</f>
        <v/>
      </c>
      <c r="AH1184" s="1" t="str">
        <f>""</f>
        <v/>
      </c>
      <c r="AI1184" s="1" t="str">
        <f>""</f>
        <v/>
      </c>
      <c r="AJ1184" s="1" t="str">
        <f>""</f>
        <v/>
      </c>
      <c r="AK1184" s="1" t="str">
        <f>""</f>
        <v/>
      </c>
    </row>
    <row r="1185" spans="1:37" x14ac:dyDescent="0.2">
      <c r="A1185" s="1">
        <v>200000</v>
      </c>
      <c r="B1185" s="1">
        <v>951900128</v>
      </c>
      <c r="C1185" s="1" t="str">
        <f>"تخليه كهگيلويه وبويراحمدياسوج كارخانه دارشاهي"</f>
        <v>تخليه كهگيلويه وبويراحمدياسوج كارخانه دارشاهي</v>
      </c>
      <c r="D1185" s="1">
        <v>7176</v>
      </c>
      <c r="E1185" s="1">
        <v>196620</v>
      </c>
      <c r="F1185" s="1">
        <v>95</v>
      </c>
      <c r="G1185" s="1">
        <v>3380</v>
      </c>
      <c r="H1185" s="1" t="str">
        <f>"95/06/03"</f>
        <v>95/06/03</v>
      </c>
      <c r="I1185" s="1" t="str">
        <f t="shared" si="298"/>
        <v>كيلوگرم</v>
      </c>
      <c r="J1185" s="1" t="str">
        <f>"0000000093"</f>
        <v>0000000093</v>
      </c>
      <c r="K1185" s="1" t="str">
        <f>"قير  PG64-10"</f>
        <v>قير  PG64-10</v>
      </c>
      <c r="L1185" s="1">
        <v>100</v>
      </c>
      <c r="M1185" s="1" t="str">
        <f t="shared" si="301"/>
        <v>مخازن قير اصفهان</v>
      </c>
      <c r="N1185" s="1">
        <v>11160</v>
      </c>
      <c r="O1185" s="1">
        <v>50031613</v>
      </c>
      <c r="P1185" s="1" t="str">
        <f>"  سازمان همياري شهرداريهاي كهگيلويه وبويراحمد"</f>
        <v xml:space="preserve">  سازمان همياري شهرداريهاي كهگيلويه وبويراحمد</v>
      </c>
      <c r="Q1185" s="1">
        <v>19</v>
      </c>
      <c r="R11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85" s="1" t="str">
        <f t="shared" si="299"/>
        <v>قرارداد فروش</v>
      </c>
      <c r="T1185" s="1" t="str">
        <f t="shared" si="300"/>
        <v>ندارد</v>
      </c>
      <c r="U1185" s="1" t="str">
        <f>"غلام نجفي سيامك‌‌‌‌‌‌(1881082)"</f>
        <v>غلام نجفي سيامك‌‌‌‌‌‌(1881082)</v>
      </c>
      <c r="V1185" s="1">
        <v>951900128</v>
      </c>
      <c r="W1185" s="1">
        <v>951900128</v>
      </c>
      <c r="X1185" s="1" t="str">
        <f>"1395426744"</f>
        <v>1395426744</v>
      </c>
      <c r="Y1185" s="1" t="str">
        <f>"95/06/03"</f>
        <v>95/06/03</v>
      </c>
      <c r="Z1185" s="1" t="str">
        <f>"22486/510"</f>
        <v>22486/510</v>
      </c>
      <c r="AA1185" s="1" t="str">
        <f>"سازمان راهداري وحمل نقل جاده اي"</f>
        <v>سازمان راهداري وحمل نقل جاده اي</v>
      </c>
      <c r="AB1185" s="1" t="str">
        <f>"95/05/18"</f>
        <v>95/05/18</v>
      </c>
      <c r="AC1185" s="1" t="str">
        <f>"كهكيلويه و بوير احمد"</f>
        <v>كهكيلويه و بوير احمد</v>
      </c>
      <c r="AD1185" s="1" t="str">
        <f>"95/06/03"</f>
        <v>95/06/03</v>
      </c>
      <c r="AE1185" s="1" t="str">
        <f t="shared" si="304"/>
        <v>اختتام</v>
      </c>
      <c r="AF1185" s="1" t="str">
        <f>""</f>
        <v/>
      </c>
      <c r="AG1185" s="1" t="str">
        <f>""</f>
        <v/>
      </c>
      <c r="AH1185" s="1" t="str">
        <f>""</f>
        <v/>
      </c>
      <c r="AI1185" s="1" t="str">
        <f>""</f>
        <v/>
      </c>
      <c r="AJ1185" s="1" t="str">
        <f>""</f>
        <v/>
      </c>
      <c r="AK1185" s="1" t="str">
        <f>""</f>
        <v/>
      </c>
    </row>
    <row r="1186" spans="1:37" x14ac:dyDescent="0.2">
      <c r="A1186" s="1">
        <v>47380</v>
      </c>
      <c r="B1186" s="1">
        <v>951900171</v>
      </c>
      <c r="C1186" s="1" t="str">
        <f>"تخليه -زاهدان شهرک صنعتي کامپوزيان شرکت گل سنگ بلوچستان"</f>
        <v>تخليه -زاهدان شهرک صنعتي کامپوزيان شرکت گل سنگ بلوچستان</v>
      </c>
      <c r="D1186" s="1">
        <v>8623</v>
      </c>
      <c r="E1186" s="1">
        <v>45280</v>
      </c>
      <c r="F1186" s="1">
        <v>95</v>
      </c>
      <c r="G1186" s="1">
        <v>2100</v>
      </c>
      <c r="H1186" s="1" t="str">
        <f>"95/08/06"</f>
        <v>95/08/06</v>
      </c>
      <c r="I1186" s="1" t="str">
        <f t="shared" si="298"/>
        <v>كيلوگرم</v>
      </c>
      <c r="J1186" s="1" t="str">
        <f>"0000000094"</f>
        <v>0000000094</v>
      </c>
      <c r="K1186" s="1" t="str">
        <f>"قير  PG70-10"</f>
        <v>قير  PG70-10</v>
      </c>
      <c r="L1186" s="1">
        <v>100</v>
      </c>
      <c r="M1186" s="1" t="str">
        <f t="shared" si="301"/>
        <v>مخازن قير اصفهان</v>
      </c>
      <c r="N1186" s="1">
        <v>4067</v>
      </c>
      <c r="O1186" s="1">
        <v>50032311</v>
      </c>
      <c r="P1186" s="1" t="str">
        <f>"  گل سنگ بلوچستان"</f>
        <v xml:space="preserve">  گل سنگ بلوچستان</v>
      </c>
      <c r="Q1186" s="1">
        <v>19</v>
      </c>
      <c r="R118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86" s="1" t="str">
        <f t="shared" si="299"/>
        <v>قرارداد فروش</v>
      </c>
      <c r="T1186" s="1" t="str">
        <f t="shared" si="300"/>
        <v>ندارد</v>
      </c>
      <c r="U1186" s="1" t="str">
        <f>"دشت بشي پودنگ وبرادران رضا(4844014)"</f>
        <v>دشت بشي پودنگ وبرادران رضا(4844014)</v>
      </c>
      <c r="V1186" s="1">
        <v>951900171</v>
      </c>
      <c r="W1186" s="1">
        <v>951900171</v>
      </c>
      <c r="X1186" s="1" t="str">
        <f>"1395426939"</f>
        <v>1395426939</v>
      </c>
      <c r="Y1186" s="1" t="str">
        <f>"95/08/06"</f>
        <v>95/08/06</v>
      </c>
      <c r="Z1186" s="1" t="str">
        <f>"23178/510"</f>
        <v>23178/510</v>
      </c>
      <c r="AA1186" s="1" t="str">
        <f>"سازمان راهداري وحمل نقل جاده اي"</f>
        <v>سازمان راهداري وحمل نقل جاده اي</v>
      </c>
      <c r="AB1186" s="1" t="str">
        <f>"95/05/23"</f>
        <v>95/05/23</v>
      </c>
      <c r="AC1186" s="1" t="str">
        <f>"استان سيستان بلوچستان"</f>
        <v>استان سيستان بلوچستان</v>
      </c>
      <c r="AD1186" s="1" t="str">
        <f>"95/06/06"</f>
        <v>95/06/06</v>
      </c>
      <c r="AE1186" s="1" t="str">
        <f t="shared" si="304"/>
        <v>اختتام</v>
      </c>
      <c r="AF1186" s="1" t="str">
        <f>""</f>
        <v/>
      </c>
      <c r="AG1186" s="1" t="str">
        <f>""</f>
        <v/>
      </c>
      <c r="AH1186" s="1" t="str">
        <f>""</f>
        <v/>
      </c>
      <c r="AI1186" s="1" t="str">
        <f>""</f>
        <v/>
      </c>
      <c r="AJ1186" s="1" t="str">
        <f>""</f>
        <v/>
      </c>
      <c r="AK1186" s="1" t="str">
        <f>""</f>
        <v/>
      </c>
    </row>
    <row r="1187" spans="1:37" x14ac:dyDescent="0.2">
      <c r="A1187" s="1">
        <v>1000000</v>
      </c>
      <c r="B1187" s="1">
        <v>951600022</v>
      </c>
      <c r="C1187" s="1" t="str">
        <f>"تخليه -زاهدان -كارگاه ساختماني پاريز"</f>
        <v>تخليه -زاهدان -كارگاه ساختماني پاريز</v>
      </c>
      <c r="D1187" s="1">
        <v>7476</v>
      </c>
      <c r="E1187" s="1">
        <v>667880</v>
      </c>
      <c r="F1187" s="1">
        <v>95</v>
      </c>
      <c r="G1187" s="1">
        <v>332120</v>
      </c>
      <c r="H1187" s="1" t="str">
        <f>"95/06/06"</f>
        <v>95/06/06</v>
      </c>
      <c r="I1187" s="1" t="str">
        <f t="shared" si="298"/>
        <v>كيلوگرم</v>
      </c>
      <c r="J1187" s="1" t="str">
        <f>"0000000094"</f>
        <v>0000000094</v>
      </c>
      <c r="K1187" s="1" t="str">
        <f>"قير  PG70-10"</f>
        <v>قير  PG70-10</v>
      </c>
      <c r="L1187" s="1">
        <v>100</v>
      </c>
      <c r="M1187" s="1" t="str">
        <f t="shared" si="301"/>
        <v>مخازن قير اصفهان</v>
      </c>
      <c r="N1187" s="1">
        <v>8224</v>
      </c>
      <c r="O1187" s="1">
        <v>50031654</v>
      </c>
      <c r="P1187" s="1" t="str">
        <f>"  ساختماني پاريز"</f>
        <v xml:space="preserve">  ساختماني پاريز</v>
      </c>
      <c r="Q1187" s="1">
        <v>16</v>
      </c>
      <c r="R1187" s="1" t="str">
        <f>"فروش داخلي تهران - وزارت راه - معاونت اقتصاد"</f>
        <v>فروش داخلي تهران - وزارت راه - معاونت اقتصاد</v>
      </c>
      <c r="S1187" s="1" t="str">
        <f t="shared" si="299"/>
        <v>قرارداد فروش</v>
      </c>
      <c r="T1187" s="1" t="str">
        <f t="shared" si="300"/>
        <v>ندارد</v>
      </c>
      <c r="U1187" s="1" t="str">
        <f>"ميرحسيني چاپارحقيقت كرمان(4844008)"</f>
        <v>ميرحسيني چاپارحقيقت كرمان(4844008)</v>
      </c>
      <c r="V1187" s="1">
        <v>951600022</v>
      </c>
      <c r="W1187" s="1">
        <v>951600022</v>
      </c>
      <c r="X1187" s="1" t="str">
        <f>"1395426940"</f>
        <v>1395426940</v>
      </c>
      <c r="Y1187" s="1" t="str">
        <f>"95/06/06"</f>
        <v>95/06/06</v>
      </c>
      <c r="Z1187" s="1" t="str">
        <f>"25641/510"</f>
        <v>25641/510</v>
      </c>
      <c r="AA1187" s="1" t="str">
        <f>"معاونت اقتصادوزارت راه وشهرسازي"</f>
        <v>معاونت اقتصادوزارت راه وشهرسازي</v>
      </c>
      <c r="AB1187" s="1" t="str">
        <f>"95/06/02"</f>
        <v>95/06/02</v>
      </c>
      <c r="AC1187" s="1" t="str">
        <f>"استان سيستان بلوچستان"</f>
        <v>استان سيستان بلوچستان</v>
      </c>
      <c r="AD1187" s="1" t="str">
        <f>"95/06/06"</f>
        <v>95/06/06</v>
      </c>
      <c r="AE1187" s="1" t="str">
        <f t="shared" si="304"/>
        <v>اختتام</v>
      </c>
      <c r="AF1187" s="1" t="str">
        <f>""</f>
        <v/>
      </c>
      <c r="AG1187" s="1" t="str">
        <f>""</f>
        <v/>
      </c>
      <c r="AH1187" s="1" t="str">
        <f>""</f>
        <v/>
      </c>
      <c r="AI1187" s="1" t="str">
        <f>""</f>
        <v/>
      </c>
      <c r="AJ1187" s="1" t="str">
        <f>""</f>
        <v/>
      </c>
      <c r="AK1187" s="1" t="str">
        <f>""</f>
        <v/>
      </c>
    </row>
    <row r="1188" spans="1:37" x14ac:dyDescent="0.2">
      <c r="A1188" s="1">
        <v>1000000</v>
      </c>
      <c r="B1188" s="1">
        <v>951600072</v>
      </c>
      <c r="C1188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1188" s="1">
        <v>9061</v>
      </c>
      <c r="E1188" s="1">
        <v>865980</v>
      </c>
      <c r="F1188" s="1">
        <v>95</v>
      </c>
      <c r="G1188" s="1">
        <v>134020</v>
      </c>
      <c r="H1188" s="1" t="str">
        <f>"95/10/15"</f>
        <v>95/10/15</v>
      </c>
      <c r="I1188" s="1" t="str">
        <f t="shared" si="298"/>
        <v>كيلوگرم</v>
      </c>
      <c r="J1188" s="1" t="str">
        <f>"0000000092"</f>
        <v>0000000092</v>
      </c>
      <c r="K1188" s="1" t="str">
        <f>"قير  PG64-16"</f>
        <v>قير  PG64-16</v>
      </c>
      <c r="L1188" s="1">
        <v>100</v>
      </c>
      <c r="M1188" s="1" t="str">
        <f t="shared" si="301"/>
        <v>مخازن قير اصفهان</v>
      </c>
      <c r="N1188" s="1">
        <v>9459</v>
      </c>
      <c r="O1188" s="1">
        <v>50033297</v>
      </c>
      <c r="P1188" s="1" t="str">
        <f>"  عمران سازه كاشيگري"</f>
        <v xml:space="preserve">  عمران سازه كاشيگري</v>
      </c>
      <c r="Q1188" s="1">
        <v>16</v>
      </c>
      <c r="R1188" s="1" t="str">
        <f>"فروش داخلي تهران - وزارت راه - معاونت اقتصاد"</f>
        <v>فروش داخلي تهران - وزارت راه - معاونت اقتصاد</v>
      </c>
      <c r="S1188" s="1" t="str">
        <f t="shared" si="299"/>
        <v>قرارداد فروش</v>
      </c>
      <c r="T1188" s="1" t="str">
        <f t="shared" si="300"/>
        <v>ندارد</v>
      </c>
      <c r="U1188" s="1" t="str">
        <f>"فتحي حميد(1901090)"</f>
        <v>فتحي حميد(1901090)</v>
      </c>
      <c r="V1188" s="1">
        <v>951600072</v>
      </c>
      <c r="W1188" s="1">
        <v>951600072</v>
      </c>
      <c r="X1188" s="1" t="str">
        <f>"1395457281"</f>
        <v>1395457281</v>
      </c>
      <c r="Y1188" s="1" t="str">
        <f>"95/10/15"</f>
        <v>95/10/15</v>
      </c>
      <c r="Z1188" s="1" t="str">
        <f>"46372/710"</f>
        <v>46372/710</v>
      </c>
      <c r="AA1188" s="1" t="str">
        <f>"معاونت اقتصادوزارت راه وشهرسازي"</f>
        <v>معاونت اقتصادوزارت راه وشهرسازي</v>
      </c>
      <c r="AB1188" s="1" t="str">
        <f>"95/09/23"</f>
        <v>95/09/23</v>
      </c>
      <c r="AC1188" s="1" t="str">
        <f>"استان هرمزگان"</f>
        <v>استان هرمزگان</v>
      </c>
      <c r="AD1188" s="1" t="str">
        <f>"95/10/15"</f>
        <v>95/10/15</v>
      </c>
      <c r="AE1188" s="1" t="str">
        <f t="shared" si="304"/>
        <v>اختتام</v>
      </c>
      <c r="AF1188" s="1" t="str">
        <f>""</f>
        <v/>
      </c>
      <c r="AG1188" s="1" t="str">
        <f>""</f>
        <v/>
      </c>
      <c r="AH1188" s="1" t="str">
        <f>""</f>
        <v/>
      </c>
      <c r="AI1188" s="1" t="str">
        <f>""</f>
        <v/>
      </c>
      <c r="AJ1188" s="1" t="str">
        <f>""</f>
        <v/>
      </c>
      <c r="AK1188" s="1" t="str">
        <f>""</f>
        <v/>
      </c>
    </row>
    <row r="1189" spans="1:37" x14ac:dyDescent="0.2">
      <c r="A1189" s="1">
        <v>250000</v>
      </c>
      <c r="B1189" s="1">
        <v>951900194</v>
      </c>
      <c r="C1189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1189" s="1">
        <v>8323</v>
      </c>
      <c r="E1189" s="1">
        <v>72260</v>
      </c>
      <c r="F1189" s="1">
        <v>95</v>
      </c>
      <c r="G1189" s="1">
        <v>177740</v>
      </c>
      <c r="H1189" s="1" t="str">
        <f>"95/08/26"</f>
        <v>95/08/26</v>
      </c>
      <c r="I1189" s="1" t="str">
        <f t="shared" si="298"/>
        <v>كيلوگرم</v>
      </c>
      <c r="J1189" s="1" t="str">
        <f>"0000000092"</f>
        <v>0000000092</v>
      </c>
      <c r="K1189" s="1" t="str">
        <f>"قير  PG64-16"</f>
        <v>قير  PG64-16</v>
      </c>
      <c r="L1189" s="1">
        <v>100</v>
      </c>
      <c r="M1189" s="1" t="str">
        <f t="shared" si="301"/>
        <v>مخازن قير اصفهان</v>
      </c>
      <c r="N1189" s="1">
        <v>9485</v>
      </c>
      <c r="O1189" s="1">
        <v>50032617</v>
      </c>
      <c r="P1189" s="1" t="str">
        <f>"  بلوران سازه خرم"</f>
        <v xml:space="preserve">  بلوران سازه خرم</v>
      </c>
      <c r="Q1189" s="1">
        <v>19</v>
      </c>
      <c r="R118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89" s="1" t="str">
        <f t="shared" si="299"/>
        <v>قرارداد فروش</v>
      </c>
      <c r="T1189" s="1" t="str">
        <f t="shared" si="300"/>
        <v>ندارد</v>
      </c>
      <c r="U1189" s="1" t="str">
        <f>"ريسماني حسن(1007ج89)"</f>
        <v>ريسماني حسن(1007ج89)</v>
      </c>
      <c r="V1189" s="1">
        <v>951900194</v>
      </c>
      <c r="W1189" s="1">
        <v>951900194</v>
      </c>
      <c r="X1189" s="1" t="str">
        <f>"1395446081"</f>
        <v>1395446081</v>
      </c>
      <c r="Y1189" s="1" t="str">
        <f>"95/08/26"</f>
        <v>95/08/26</v>
      </c>
      <c r="Z1189" s="1" t="str">
        <f>"39764/710"</f>
        <v>39764/710</v>
      </c>
      <c r="AA1189" s="1" t="str">
        <f>"سازمان راهداري وحمل نقل جاده اي"</f>
        <v>سازمان راهداري وحمل نقل جاده اي</v>
      </c>
      <c r="AB1189" s="1" t="str">
        <f>"95/08/15"</f>
        <v>95/08/15</v>
      </c>
      <c r="AC1189" s="1" t="str">
        <f>"لرستان"</f>
        <v>لرستان</v>
      </c>
      <c r="AD1189" s="1" t="str">
        <f>"95/08/26"</f>
        <v>95/08/26</v>
      </c>
      <c r="AE1189" s="1" t="str">
        <f t="shared" si="304"/>
        <v>اختتام</v>
      </c>
      <c r="AF1189" s="1" t="str">
        <f>""</f>
        <v/>
      </c>
      <c r="AG1189" s="1" t="str">
        <f>""</f>
        <v/>
      </c>
      <c r="AH1189" s="1" t="str">
        <f>""</f>
        <v/>
      </c>
      <c r="AI1189" s="1" t="str">
        <f>""</f>
        <v/>
      </c>
      <c r="AJ1189" s="1" t="str">
        <f>""</f>
        <v/>
      </c>
      <c r="AK1189" s="1" t="str">
        <f>""</f>
        <v/>
      </c>
    </row>
    <row r="1190" spans="1:37" x14ac:dyDescent="0.2">
      <c r="A1190" s="1">
        <v>129880</v>
      </c>
      <c r="B1190" s="1">
        <v>951600066</v>
      </c>
      <c r="C1190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1190" s="1">
        <v>9061</v>
      </c>
      <c r="E1190" s="1">
        <v>128740</v>
      </c>
      <c r="F1190" s="1">
        <v>95</v>
      </c>
      <c r="G1190" s="1">
        <v>1140</v>
      </c>
      <c r="H1190" s="1" t="str">
        <f>"95/10/05"</f>
        <v>95/10/05</v>
      </c>
      <c r="I1190" s="1" t="str">
        <f t="shared" si="298"/>
        <v>كيلوگرم</v>
      </c>
      <c r="J1190" s="1" t="str">
        <f>"0000000092"</f>
        <v>0000000092</v>
      </c>
      <c r="K1190" s="1" t="str">
        <f>"قير  PG64-16"</f>
        <v>قير  PG64-16</v>
      </c>
      <c r="L1190" s="1">
        <v>100</v>
      </c>
      <c r="M1190" s="1" t="str">
        <f t="shared" si="301"/>
        <v>مخازن قير اصفهان</v>
      </c>
      <c r="N1190" s="1">
        <v>9485</v>
      </c>
      <c r="O1190" s="1">
        <v>50033131</v>
      </c>
      <c r="P1190" s="1" t="str">
        <f>"  بلوران سازه خرم"</f>
        <v xml:space="preserve">  بلوران سازه خرم</v>
      </c>
      <c r="Q1190" s="1">
        <v>16</v>
      </c>
      <c r="R1190" s="1" t="str">
        <f>"فروش داخلي تهران - وزارت راه - معاونت اقتصاد"</f>
        <v>فروش داخلي تهران - وزارت راه - معاونت اقتصاد</v>
      </c>
      <c r="S1190" s="1" t="str">
        <f t="shared" si="299"/>
        <v>قرارداد فروش</v>
      </c>
      <c r="T1190" s="1" t="str">
        <f t="shared" si="300"/>
        <v>ندارد</v>
      </c>
      <c r="U1190" s="1" t="str">
        <f>"بستاني محسن (2882039)"</f>
        <v>بستاني محسن (2882039)</v>
      </c>
      <c r="V1190" s="1">
        <v>951600066</v>
      </c>
      <c r="W1190" s="1">
        <v>951600066</v>
      </c>
      <c r="X1190" s="1" t="str">
        <f>"1395450852"</f>
        <v>1395450852</v>
      </c>
      <c r="Y1190" s="1" t="str">
        <f>"95/10/04"</f>
        <v>95/10/04</v>
      </c>
      <c r="Z1190" s="1" t="str">
        <f>"43669/710"</f>
        <v>43669/710</v>
      </c>
      <c r="AA1190" s="1" t="str">
        <f>"معاونت اقتصادوزارت راه وشهرسازي"</f>
        <v>معاونت اقتصادوزارت راه وشهرسازي</v>
      </c>
      <c r="AB1190" s="1" t="str">
        <f>"95/09/07"</f>
        <v>95/09/07</v>
      </c>
      <c r="AC1190" s="1" t="str">
        <f>"لرستان"</f>
        <v>لرستان</v>
      </c>
      <c r="AD1190" s="1" t="str">
        <f>"95/09/17"</f>
        <v>95/09/17</v>
      </c>
      <c r="AE1190" s="1" t="str">
        <f t="shared" si="304"/>
        <v>اختتام</v>
      </c>
      <c r="AF1190" s="1" t="str">
        <f>""</f>
        <v/>
      </c>
      <c r="AG1190" s="1" t="str">
        <f>""</f>
        <v/>
      </c>
      <c r="AH1190" s="1" t="str">
        <f>""</f>
        <v/>
      </c>
      <c r="AI1190" s="1" t="str">
        <f>""</f>
        <v/>
      </c>
      <c r="AJ1190" s="1" t="str">
        <f>""</f>
        <v/>
      </c>
      <c r="AK1190" s="1" t="str">
        <f>""</f>
        <v/>
      </c>
    </row>
    <row r="1191" spans="1:37" x14ac:dyDescent="0.2">
      <c r="A1191" s="1">
        <v>300000</v>
      </c>
      <c r="B1191" s="1">
        <v>951900240</v>
      </c>
      <c r="C1191" s="1" t="str">
        <f>"تخليه -لرستان محورخرم آباد-كوهدشت -پل كشكان -نورآباد-شركت آبادگران راه خرم"</f>
        <v>تخليه -لرستان محورخرم آباد-كوهدشت -پل كشكان -نورآباد-شركت آبادگران راه خرم</v>
      </c>
      <c r="D1191" s="1">
        <v>9061</v>
      </c>
      <c r="E1191" s="1">
        <v>299780</v>
      </c>
      <c r="F1191" s="1">
        <v>95</v>
      </c>
      <c r="G1191" s="1">
        <v>220</v>
      </c>
      <c r="H1191" s="1" t="str">
        <f>"95/10/15"</f>
        <v>95/10/15</v>
      </c>
      <c r="I1191" s="1" t="str">
        <f t="shared" si="298"/>
        <v>كيلوگرم</v>
      </c>
      <c r="J1191" s="1" t="str">
        <f>"0000000092"</f>
        <v>0000000092</v>
      </c>
      <c r="K1191" s="1" t="str">
        <f>"قير  PG64-16"</f>
        <v>قير  PG64-16</v>
      </c>
      <c r="L1191" s="1">
        <v>100</v>
      </c>
      <c r="M1191" s="1" t="str">
        <f t="shared" si="301"/>
        <v>مخازن قير اصفهان</v>
      </c>
      <c r="N1191" s="1">
        <v>9527</v>
      </c>
      <c r="O1191" s="1">
        <v>50033294</v>
      </c>
      <c r="P1191" s="1" t="str">
        <f>"  آبادگران راه خرم"</f>
        <v xml:space="preserve">  آبادگران راه خرم</v>
      </c>
      <c r="Q1191" s="1">
        <v>19</v>
      </c>
      <c r="R11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1" s="1" t="str">
        <f t="shared" si="299"/>
        <v>قرارداد فروش</v>
      </c>
      <c r="T1191" s="1" t="str">
        <f t="shared" si="300"/>
        <v>ندارد</v>
      </c>
      <c r="U1191" s="1" t="str">
        <f>"ريسماني حسن(1007ج89)"</f>
        <v>ريسماني حسن(1007ج89)</v>
      </c>
      <c r="V1191" s="1">
        <v>951900240</v>
      </c>
      <c r="W1191" s="1">
        <v>951900240</v>
      </c>
      <c r="X1191" s="1" t="str">
        <f>"1395457279"</f>
        <v>1395457279</v>
      </c>
      <c r="Y1191" s="1" t="str">
        <f>"95/10/15"</f>
        <v>95/10/15</v>
      </c>
      <c r="Z1191" s="1" t="str">
        <f>"49703/710"</f>
        <v>49703/710</v>
      </c>
      <c r="AA1191" s="1" t="str">
        <f>"سازمان راهداري وحمل نقل جاده اي"</f>
        <v>سازمان راهداري وحمل نقل جاده اي</v>
      </c>
      <c r="AB1191" s="1" t="str">
        <f>"95/10/11"</f>
        <v>95/10/11</v>
      </c>
      <c r="AC1191" s="1" t="str">
        <f>"لرستان"</f>
        <v>لرستان</v>
      </c>
      <c r="AD1191" s="1" t="str">
        <f>"95/10/15"</f>
        <v>95/10/15</v>
      </c>
      <c r="AE1191" s="1" t="str">
        <f t="shared" si="304"/>
        <v>اختتام</v>
      </c>
      <c r="AF1191" s="1" t="str">
        <f>""</f>
        <v/>
      </c>
      <c r="AG1191" s="1" t="str">
        <f>""</f>
        <v/>
      </c>
      <c r="AH1191" s="1" t="str">
        <f>""</f>
        <v/>
      </c>
      <c r="AI1191" s="1" t="str">
        <f>""</f>
        <v/>
      </c>
      <c r="AJ1191" s="1" t="str">
        <f>""</f>
        <v/>
      </c>
      <c r="AK1191" s="1" t="str">
        <f>""</f>
        <v/>
      </c>
    </row>
    <row r="1192" spans="1:37" x14ac:dyDescent="0.2">
      <c r="A1192" s="1">
        <v>300000</v>
      </c>
      <c r="B1192" s="1">
        <v>951900288</v>
      </c>
      <c r="C1192" s="1" t="str">
        <f>"ايرانشهر-اداره كل راه وشهرسازي  ايرانشهر"</f>
        <v>ايرانشهر-اداره كل راه وشهرسازي  ايرانشهر</v>
      </c>
      <c r="D1192" s="1">
        <v>9354</v>
      </c>
      <c r="E1192" s="1">
        <v>300000</v>
      </c>
      <c r="F1192" s="1">
        <v>95</v>
      </c>
      <c r="G1192" s="1">
        <v>0</v>
      </c>
      <c r="H1192" s="1" t="str">
        <f>"95/12/18"</f>
        <v>95/12/18</v>
      </c>
      <c r="I1192" s="1" t="str">
        <f t="shared" si="298"/>
        <v>كيلوگرم</v>
      </c>
      <c r="J1192" s="1" t="str">
        <f>"0000000092"</f>
        <v>0000000092</v>
      </c>
      <c r="K1192" s="1" t="str">
        <f>"قير  PG64-16"</f>
        <v>قير  PG64-16</v>
      </c>
      <c r="L1192" s="1">
        <v>100</v>
      </c>
      <c r="M1192" s="1" t="str">
        <f t="shared" si="301"/>
        <v>مخازن قير اصفهان</v>
      </c>
      <c r="N1192" s="1">
        <v>8068</v>
      </c>
      <c r="O1192" s="1">
        <v>50034054</v>
      </c>
      <c r="P1192" s="1" t="str">
        <f>"  اداره كل راه وشهرسازي ايرانشهر"</f>
        <v xml:space="preserve">  اداره كل راه وشهرسازي ايرانشهر</v>
      </c>
      <c r="Q1192" s="1">
        <v>19</v>
      </c>
      <c r="R11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2" s="1" t="str">
        <f t="shared" si="299"/>
        <v>قرارداد فروش</v>
      </c>
      <c r="T1192" s="1" t="str">
        <f t="shared" si="300"/>
        <v>ندارد</v>
      </c>
      <c r="U1192" s="1" t="str">
        <f>"پورباقري ترابر (4914036)"</f>
        <v>پورباقري ترابر (4914036)</v>
      </c>
      <c r="V1192" s="1">
        <v>951900288</v>
      </c>
      <c r="W1192" s="1">
        <v>951900288</v>
      </c>
      <c r="X1192" s="1" t="str">
        <f>"1395469560"</f>
        <v>1395469560</v>
      </c>
      <c r="Y1192" s="1" t="str">
        <f>"95/12/18"</f>
        <v>95/12/18</v>
      </c>
      <c r="Z1192" s="1" t="str">
        <f>"64204/710"</f>
        <v>64204/710</v>
      </c>
      <c r="AA1192" s="1" t="str">
        <f>"سازمان راهداري وحمل نقل جاده اي"</f>
        <v>سازمان راهداري وحمل نقل جاده اي</v>
      </c>
      <c r="AB1192" s="1" t="str">
        <f>"95/12/15"</f>
        <v>95/12/15</v>
      </c>
      <c r="AC1192" s="1" t="str">
        <f>"ايرانشهر"</f>
        <v>ايرانشهر</v>
      </c>
      <c r="AD1192" s="1" t="str">
        <f>"95/12/17"</f>
        <v>95/12/17</v>
      </c>
      <c r="AE1192" s="1" t="str">
        <f t="shared" si="304"/>
        <v>اختتام</v>
      </c>
      <c r="AF1192" s="1" t="str">
        <f>""</f>
        <v/>
      </c>
      <c r="AG1192" s="1" t="str">
        <f>""</f>
        <v/>
      </c>
      <c r="AH1192" s="1" t="str">
        <f>""</f>
        <v/>
      </c>
      <c r="AI1192" s="1" t="str">
        <f>""</f>
        <v/>
      </c>
      <c r="AJ1192" s="1" t="str">
        <f>""</f>
        <v/>
      </c>
      <c r="AK1192" s="1" t="str">
        <f>""</f>
        <v/>
      </c>
    </row>
    <row r="1193" spans="1:37" x14ac:dyDescent="0.2">
      <c r="A1193" s="1">
        <v>600000</v>
      </c>
      <c r="B1193" s="1">
        <v>951900146</v>
      </c>
      <c r="C1193" s="1" t="str">
        <f>"تخليه ايلام مهران كيلومتر15جاده مهران دهلران كارخانه آرادسوله"</f>
        <v>تخليه ايلام مهران كيلومتر15جاده مهران دهلران كارخانه آرادسوله</v>
      </c>
      <c r="D1193" s="1">
        <v>7476</v>
      </c>
      <c r="E1193" s="1">
        <v>598880</v>
      </c>
      <c r="F1193" s="1">
        <v>95</v>
      </c>
      <c r="G1193" s="1">
        <v>1120</v>
      </c>
      <c r="H1193" s="1" t="str">
        <f>"95/06/15"</f>
        <v>95/06/15</v>
      </c>
      <c r="I1193" s="1" t="str">
        <f t="shared" si="298"/>
        <v>كيلوگرم</v>
      </c>
      <c r="J1193" s="1" t="str">
        <f>"0000000094"</f>
        <v>0000000094</v>
      </c>
      <c r="K1193" s="1" t="str">
        <f>"قير  PG70-10"</f>
        <v>قير  PG70-10</v>
      </c>
      <c r="L1193" s="1">
        <v>100</v>
      </c>
      <c r="M1193" s="1" t="str">
        <f t="shared" si="301"/>
        <v>مخازن قير اصفهان</v>
      </c>
      <c r="N1193" s="1">
        <v>10609</v>
      </c>
      <c r="O1193" s="1">
        <v>50031800</v>
      </c>
      <c r="P1193" s="1" t="str">
        <f>"  آرادسوله اهواز"</f>
        <v xml:space="preserve">  آرادسوله اهواز</v>
      </c>
      <c r="Q1193" s="1">
        <v>19</v>
      </c>
      <c r="R11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3" s="1" t="str">
        <f t="shared" si="299"/>
        <v>قرارداد فروش</v>
      </c>
      <c r="T1193" s="1" t="str">
        <f t="shared" si="300"/>
        <v>ندارد</v>
      </c>
      <c r="U1193" s="1" t="str">
        <f>"عظيمي محمد(2842015)"</f>
        <v>عظيمي محمد(2842015)</v>
      </c>
      <c r="V1193" s="1">
        <v>951900146</v>
      </c>
      <c r="W1193" s="1">
        <v>951900146</v>
      </c>
      <c r="X1193" s="1" t="str">
        <f>"1395429000"</f>
        <v>1395429000</v>
      </c>
      <c r="Y1193" s="1" t="str">
        <f>"95/06/15"</f>
        <v>95/06/15</v>
      </c>
      <c r="Z1193" s="1" t="str">
        <f>"27003/510"</f>
        <v>27003/510</v>
      </c>
      <c r="AA1193" s="1" t="str">
        <f>"سازمان راهداري وحمل نقل جاده اي"</f>
        <v>سازمان راهداري وحمل نقل جاده اي</v>
      </c>
      <c r="AB1193" s="1" t="str">
        <f>"95/06/09"</f>
        <v>95/06/09</v>
      </c>
      <c r="AC1193" s="1" t="str">
        <f>"استان ايلام"</f>
        <v>استان ايلام</v>
      </c>
      <c r="AD1193" s="1" t="str">
        <f>"95/06/14"</f>
        <v>95/06/14</v>
      </c>
      <c r="AE1193" s="1" t="str">
        <f t="shared" si="304"/>
        <v>اختتام</v>
      </c>
      <c r="AF1193" s="1" t="str">
        <f>""</f>
        <v/>
      </c>
      <c r="AG1193" s="1" t="str">
        <f>""</f>
        <v/>
      </c>
      <c r="AH1193" s="1" t="str">
        <f>""</f>
        <v/>
      </c>
      <c r="AI1193" s="1" t="str">
        <f>""</f>
        <v/>
      </c>
      <c r="AJ1193" s="1" t="str">
        <f>""</f>
        <v/>
      </c>
      <c r="AK1193" s="1" t="str">
        <f>""</f>
        <v/>
      </c>
    </row>
    <row r="1194" spans="1:37" x14ac:dyDescent="0.2">
      <c r="A1194" s="1">
        <v>70000</v>
      </c>
      <c r="B1194" s="1">
        <v>951300023</v>
      </c>
      <c r="C1194" s="1" t="str">
        <f>"تخليه اصفهان فريدن جاده دامنه داران كارخانه آسفالت شهرداري دامنه"</f>
        <v>تخليه اصفهان فريدن جاده دامنه داران كارخانه آسفالت شهرداري دامنه</v>
      </c>
      <c r="D1194" s="1">
        <v>9511</v>
      </c>
      <c r="E1194" s="1">
        <v>69000</v>
      </c>
      <c r="F1194" s="1">
        <v>95</v>
      </c>
      <c r="G1194" s="1">
        <v>1000</v>
      </c>
      <c r="H1194" s="1" t="str">
        <f>"95/11/10"</f>
        <v>95/11/10</v>
      </c>
      <c r="I1194" s="1" t="str">
        <f t="shared" si="298"/>
        <v>كيلوگرم</v>
      </c>
      <c r="J1194" s="1" t="str">
        <f t="shared" ref="J1194:J1225" si="305">"0000000092"</f>
        <v>0000000092</v>
      </c>
      <c r="K1194" s="1" t="str">
        <f t="shared" ref="K1194:K1225" si="306">"قير  PG64-16"</f>
        <v>قير  PG64-16</v>
      </c>
      <c r="L1194" s="1">
        <v>100</v>
      </c>
      <c r="M1194" s="1" t="str">
        <f t="shared" si="301"/>
        <v>مخازن قير اصفهان</v>
      </c>
      <c r="N1194" s="1">
        <v>9814</v>
      </c>
      <c r="O1194" s="1">
        <v>50033566</v>
      </c>
      <c r="P1194" s="1" t="str">
        <f>"  بنيادمسكن انقلاب اسلامي اصفهان"</f>
        <v xml:space="preserve">  بنيادمسكن انقلاب اسلامي اصفهان</v>
      </c>
      <c r="Q1194" s="1">
        <v>13</v>
      </c>
      <c r="R1194" s="1" t="str">
        <f>"فروش داخلي - وزارت راه - حوزه بنياد مسكن"</f>
        <v>فروش داخلي - وزارت راه - حوزه بنياد مسكن</v>
      </c>
      <c r="S1194" s="1" t="str">
        <f t="shared" si="299"/>
        <v>قرارداد فروش</v>
      </c>
      <c r="T1194" s="1" t="str">
        <f t="shared" si="300"/>
        <v>ندارد</v>
      </c>
      <c r="U1194" s="1" t="str">
        <f>"سيفي پور گودرز(1019ج89)"</f>
        <v>سيفي پور گودرز(1019ج89)</v>
      </c>
      <c r="V1194" s="1">
        <v>951300023</v>
      </c>
      <c r="W1194" s="1">
        <v>951300023</v>
      </c>
      <c r="X1194" s="1" t="str">
        <f>"1395461524"</f>
        <v>1395461524</v>
      </c>
      <c r="Y1194" s="1" t="str">
        <f>"95/11/10"</f>
        <v>95/11/10</v>
      </c>
      <c r="Z1194" s="1" t="str">
        <f>"54371/710"</f>
        <v>54371/710</v>
      </c>
      <c r="AA1194" s="1" t="str">
        <f>"بنياد مسكن -مسكن مهر"</f>
        <v>بنياد مسكن -مسكن مهر</v>
      </c>
      <c r="AB1194" s="1" t="str">
        <f>"95/11/04"</f>
        <v>95/11/04</v>
      </c>
      <c r="AC1194" s="1" t="str">
        <f>"استان اصفهان"</f>
        <v>استان اصفهان</v>
      </c>
      <c r="AD1194" s="1" t="str">
        <f>"95/11/10"</f>
        <v>95/11/10</v>
      </c>
      <c r="AE1194" s="1" t="str">
        <f t="shared" si="304"/>
        <v>اختتام</v>
      </c>
      <c r="AF1194" s="1" t="str">
        <f>""</f>
        <v/>
      </c>
      <c r="AG1194" s="1" t="str">
        <f>""</f>
        <v/>
      </c>
      <c r="AH1194" s="1" t="str">
        <f>""</f>
        <v/>
      </c>
      <c r="AI1194" s="1" t="str">
        <f>""</f>
        <v/>
      </c>
      <c r="AJ1194" s="1" t="str">
        <f>""</f>
        <v/>
      </c>
      <c r="AK1194" s="1" t="str">
        <f>""</f>
        <v/>
      </c>
    </row>
    <row r="1195" spans="1:37" x14ac:dyDescent="0.2">
      <c r="A1195" s="1">
        <v>110000</v>
      </c>
      <c r="B1195" s="1">
        <v>951300033</v>
      </c>
      <c r="C1195" s="1" t="str">
        <f>"تخليه اصفهان كاشان كيلومتر19جاده كاشان قم كارخانه آسفالت درم"</f>
        <v>تخليه اصفهان كاشان كيلومتر19جاده كاشان قم كارخانه آسفالت درم</v>
      </c>
      <c r="D1195" s="1">
        <v>8998</v>
      </c>
      <c r="E1195" s="1">
        <v>109860</v>
      </c>
      <c r="F1195" s="1">
        <v>95</v>
      </c>
      <c r="G1195" s="1">
        <v>140</v>
      </c>
      <c r="H1195" s="1" t="str">
        <f>"95/12/23"</f>
        <v>95/12/23</v>
      </c>
      <c r="I1195" s="1" t="str">
        <f t="shared" si="298"/>
        <v>كيلوگرم</v>
      </c>
      <c r="J1195" s="1" t="str">
        <f t="shared" si="305"/>
        <v>0000000092</v>
      </c>
      <c r="K1195" s="1" t="str">
        <f t="shared" si="306"/>
        <v>قير  PG64-16</v>
      </c>
      <c r="L1195" s="1">
        <v>100</v>
      </c>
      <c r="M1195" s="1" t="str">
        <f t="shared" si="301"/>
        <v>مخازن قير اصفهان</v>
      </c>
      <c r="N1195" s="1">
        <v>9814</v>
      </c>
      <c r="O1195" s="1">
        <v>50034180</v>
      </c>
      <c r="P1195" s="1" t="str">
        <f>"  بنيادمسكن انقلاب اسلامي اصفهان"</f>
        <v xml:space="preserve">  بنيادمسكن انقلاب اسلامي اصفهان</v>
      </c>
      <c r="Q1195" s="1">
        <v>13</v>
      </c>
      <c r="R1195" s="1" t="str">
        <f>"فروش داخلي - وزارت راه - حوزه بنياد مسكن"</f>
        <v>فروش داخلي - وزارت راه - حوزه بنياد مسكن</v>
      </c>
      <c r="S1195" s="1" t="str">
        <f t="shared" si="299"/>
        <v>قرارداد فروش</v>
      </c>
      <c r="T1195" s="1" t="str">
        <f t="shared" si="300"/>
        <v>ندارد</v>
      </c>
      <c r="U1195" s="1" t="str">
        <f>"شهبازي محمدرضا(1029ج89)"</f>
        <v>شهبازي محمدرضا(1029ج89)</v>
      </c>
      <c r="V1195" s="1">
        <v>951300033</v>
      </c>
      <c r="W1195" s="1">
        <v>951300033</v>
      </c>
      <c r="X1195" s="1" t="str">
        <f>"1395470893"</f>
        <v>1395470893</v>
      </c>
      <c r="Y1195" s="1" t="str">
        <f>"95/12/23"</f>
        <v>95/12/23</v>
      </c>
      <c r="Z1195" s="1" t="str">
        <f>"65485/710"</f>
        <v>65485/710</v>
      </c>
      <c r="AA1195" s="1" t="str">
        <f>"بنياد مسكن -مسكن مهر"</f>
        <v>بنياد مسكن -مسكن مهر</v>
      </c>
      <c r="AB1195" s="1" t="str">
        <f>"95/12/21"</f>
        <v>95/12/21</v>
      </c>
      <c r="AC1195" s="1" t="str">
        <f>"استان اصفهان"</f>
        <v>استان اصفهان</v>
      </c>
      <c r="AD1195" s="1" t="str">
        <f>"95/12/23"</f>
        <v>95/12/23</v>
      </c>
      <c r="AE1195" s="1" t="str">
        <f t="shared" si="304"/>
        <v>اختتام</v>
      </c>
      <c r="AF1195" s="1" t="str">
        <f>""</f>
        <v/>
      </c>
      <c r="AG1195" s="1" t="str">
        <f>""</f>
        <v/>
      </c>
      <c r="AH1195" s="1" t="str">
        <f>""</f>
        <v/>
      </c>
      <c r="AI1195" s="1" t="str">
        <f>""</f>
        <v/>
      </c>
      <c r="AJ1195" s="1" t="str">
        <f>""</f>
        <v/>
      </c>
      <c r="AK1195" s="1" t="str">
        <f>""</f>
        <v/>
      </c>
    </row>
    <row r="1196" spans="1:37" x14ac:dyDescent="0.2">
      <c r="A1196" s="1">
        <v>360000</v>
      </c>
      <c r="B1196" s="1">
        <v>951700144</v>
      </c>
      <c r="C1196" s="1" t="str">
        <f>"تخليه -ايلام -دهلران-سه راهي موسيان -پشت نيروي انتظامي -شركت نصرراه معين"</f>
        <v>تخليه -ايلام -دهلران-سه راهي موسيان -پشت نيروي انتظامي -شركت نصرراه معين</v>
      </c>
      <c r="D1196" s="1">
        <v>6726</v>
      </c>
      <c r="E1196" s="1">
        <v>358580</v>
      </c>
      <c r="F1196" s="1">
        <v>95</v>
      </c>
      <c r="G1196" s="1">
        <v>1420</v>
      </c>
      <c r="H1196" s="1" t="str">
        <f>"95/05/17"</f>
        <v>95/05/17</v>
      </c>
      <c r="I1196" s="1" t="str">
        <f t="shared" si="298"/>
        <v>كيلوگرم</v>
      </c>
      <c r="J1196" s="1" t="str">
        <f t="shared" si="305"/>
        <v>0000000092</v>
      </c>
      <c r="K1196" s="1" t="str">
        <f t="shared" si="306"/>
        <v>قير  PG64-16</v>
      </c>
      <c r="L1196" s="1">
        <v>100</v>
      </c>
      <c r="M1196" s="1" t="str">
        <f t="shared" si="301"/>
        <v>مخازن قير اصفهان</v>
      </c>
      <c r="N1196" s="1">
        <v>9958</v>
      </c>
      <c r="O1196" s="1">
        <v>50031453</v>
      </c>
      <c r="P1196" s="1" t="str">
        <f>"  نصر راه معين"</f>
        <v xml:space="preserve">  نصر راه معين</v>
      </c>
      <c r="Q1196" s="1">
        <v>17</v>
      </c>
      <c r="R1196" s="1" t="str">
        <f>"فروش داخلي تهران - وزارت راه - راه روستايي - روکش"</f>
        <v>فروش داخلي تهران - وزارت راه - راه روستايي - روکش</v>
      </c>
      <c r="S1196" s="1" t="str">
        <f t="shared" si="299"/>
        <v>قرارداد فروش</v>
      </c>
      <c r="T1196" s="1" t="str">
        <f t="shared" si="300"/>
        <v>ندارد</v>
      </c>
      <c r="U1196" s="1" t="str">
        <f>"عظيمي محمد(2842015)"</f>
        <v>عظيمي محمد(2842015)</v>
      </c>
      <c r="V1196" s="1">
        <v>951700144</v>
      </c>
      <c r="W1196" s="1">
        <v>951700144</v>
      </c>
      <c r="X1196" s="1" t="str">
        <f>"1395421524"</f>
        <v>1395421524</v>
      </c>
      <c r="Y1196" s="1" t="str">
        <f>"95/05/17"</f>
        <v>95/05/17</v>
      </c>
      <c r="Z1196" s="1" t="str">
        <f>"19951/510"</f>
        <v>19951/510</v>
      </c>
      <c r="AA1196" s="1" t="str">
        <f>"راه روستائي -روكش"</f>
        <v>راه روستائي -روكش</v>
      </c>
      <c r="AB1196" s="1" t="str">
        <f>"95/05/05"</f>
        <v>95/05/05</v>
      </c>
      <c r="AC1196" s="1" t="str">
        <f>"استان ايلام"</f>
        <v>استان ايلام</v>
      </c>
      <c r="AD1196" s="1" t="str">
        <f>"95/05/16"</f>
        <v>95/05/16</v>
      </c>
      <c r="AE1196" s="1" t="str">
        <f t="shared" si="304"/>
        <v>اختتام</v>
      </c>
      <c r="AF1196" s="1" t="str">
        <f>""</f>
        <v/>
      </c>
      <c r="AG1196" s="1" t="str">
        <f>""</f>
        <v/>
      </c>
      <c r="AH1196" s="1" t="str">
        <f>""</f>
        <v/>
      </c>
      <c r="AI1196" s="1" t="str">
        <f>""</f>
        <v/>
      </c>
      <c r="AJ1196" s="1" t="str">
        <f>""</f>
        <v/>
      </c>
      <c r="AK1196" s="1" t="str">
        <f>""</f>
        <v/>
      </c>
    </row>
    <row r="1197" spans="1:37" x14ac:dyDescent="0.2">
      <c r="A1197" s="1">
        <v>1000000</v>
      </c>
      <c r="B1197" s="1">
        <v>951900301</v>
      </c>
      <c r="C1197" s="1" t="str">
        <f>"تخليه -محورايرانشهر-بمپورکيلومتر14کارگاه کارخانه آسفالت سالم راه سپاهان"</f>
        <v>تخليه -محورايرانشهر-بمپورکيلومتر14کارگاه کارخانه آسفالت سالم راه سپاهان</v>
      </c>
      <c r="D1197" s="1">
        <v>9068</v>
      </c>
      <c r="E1197" s="1">
        <v>999680</v>
      </c>
      <c r="F1197" s="1">
        <v>95</v>
      </c>
      <c r="G1197" s="1">
        <v>320</v>
      </c>
      <c r="H1197" s="1" t="str">
        <f>"95/12/21"</f>
        <v>95/12/21</v>
      </c>
      <c r="I1197" s="1" t="str">
        <f t="shared" si="298"/>
        <v>كيلوگرم</v>
      </c>
      <c r="J1197" s="1" t="str">
        <f t="shared" si="305"/>
        <v>0000000092</v>
      </c>
      <c r="K1197" s="1" t="str">
        <f t="shared" si="306"/>
        <v>قير  PG64-16</v>
      </c>
      <c r="L1197" s="1">
        <v>100</v>
      </c>
      <c r="M1197" s="1" t="str">
        <f t="shared" si="301"/>
        <v>مخازن قير اصفهان</v>
      </c>
      <c r="N1197" s="1">
        <v>10075</v>
      </c>
      <c r="O1197" s="1">
        <v>50034084</v>
      </c>
      <c r="P1197" s="1" t="str">
        <f>"  سالم راه سپاهان"</f>
        <v xml:space="preserve">  سالم راه سپاهان</v>
      </c>
      <c r="Q1197" s="1">
        <v>19</v>
      </c>
      <c r="R1197" s="1" t="str">
        <f t="shared" ref="R1197:R1202" si="307"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7" s="1" t="str">
        <f t="shared" si="299"/>
        <v>قرارداد فروش</v>
      </c>
      <c r="T1197" s="1" t="str">
        <f t="shared" si="300"/>
        <v>ندارد</v>
      </c>
      <c r="U1197" s="1" t="str">
        <f>"پورباقري ترابر (4914036)"</f>
        <v>پورباقري ترابر (4914036)</v>
      </c>
      <c r="V1197" s="1">
        <v>951900301</v>
      </c>
      <c r="W1197" s="1">
        <v>951900301</v>
      </c>
      <c r="X1197" s="1" t="str">
        <f>"1395470282"</f>
        <v>1395470282</v>
      </c>
      <c r="Y1197" s="1" t="str">
        <f>"95/12/21"</f>
        <v>95/12/21</v>
      </c>
      <c r="Z1197" s="1" t="str">
        <f>"61943/710"</f>
        <v>61943/710</v>
      </c>
      <c r="AA1197" s="1" t="str">
        <f t="shared" ref="AA1197:AA1202" si="308">"سازمان راهداري وحمل نقل جاده اي"</f>
        <v>سازمان راهداري وحمل نقل جاده اي</v>
      </c>
      <c r="AB1197" s="1" t="str">
        <f>"95/12/08"</f>
        <v>95/12/08</v>
      </c>
      <c r="AC1197" s="1" t="str">
        <f>"ايرانشهر"</f>
        <v>ايرانشهر</v>
      </c>
      <c r="AD1197" s="1" t="str">
        <f>"95/12/21"</f>
        <v>95/12/21</v>
      </c>
      <c r="AE1197" s="1" t="str">
        <f t="shared" si="304"/>
        <v>اختتام</v>
      </c>
      <c r="AF1197" s="1" t="str">
        <f>""</f>
        <v/>
      </c>
      <c r="AG1197" s="1" t="str">
        <f>""</f>
        <v/>
      </c>
      <c r="AH1197" s="1" t="str">
        <f>""</f>
        <v/>
      </c>
      <c r="AI1197" s="1" t="str">
        <f>""</f>
        <v/>
      </c>
      <c r="AJ1197" s="1" t="str">
        <f>""</f>
        <v/>
      </c>
      <c r="AK1197" s="1" t="str">
        <f>""</f>
        <v/>
      </c>
    </row>
    <row r="1198" spans="1:37" x14ac:dyDescent="0.2">
      <c r="A1198" s="1">
        <v>71660</v>
      </c>
      <c r="B1198" s="1">
        <v>951900181</v>
      </c>
      <c r="C1198" s="1" t="str">
        <f>"تخليه اصفهان -نجف آبادكارخانه زرين سپاهان"</f>
        <v>تخليه اصفهان -نجف آبادكارخانه زرين سپاهان</v>
      </c>
      <c r="D1198" s="1">
        <v>8323</v>
      </c>
      <c r="E1198" s="1">
        <v>71360</v>
      </c>
      <c r="F1198" s="1">
        <v>95</v>
      </c>
      <c r="G1198" s="1">
        <v>300</v>
      </c>
      <c r="H1198" s="1" t="str">
        <f>"95/08/06"</f>
        <v>95/08/06</v>
      </c>
      <c r="I1198" s="1" t="str">
        <f t="shared" si="298"/>
        <v>كيلوگرم</v>
      </c>
      <c r="J1198" s="1" t="str">
        <f t="shared" si="305"/>
        <v>0000000092</v>
      </c>
      <c r="K1198" s="1" t="str">
        <f t="shared" si="306"/>
        <v>قير  PG64-16</v>
      </c>
      <c r="L1198" s="1">
        <v>100</v>
      </c>
      <c r="M1198" s="1" t="str">
        <f t="shared" si="301"/>
        <v>مخازن قير اصفهان</v>
      </c>
      <c r="N1198" s="1">
        <v>10438</v>
      </c>
      <c r="O1198" s="1">
        <v>50032321</v>
      </c>
      <c r="P1198" s="1" t="str">
        <f>"  سعادت هيوا"</f>
        <v xml:space="preserve">  سعادت هيوا</v>
      </c>
      <c r="Q1198" s="1">
        <v>19</v>
      </c>
      <c r="R1198" s="1" t="str">
        <f t="shared" si="307"/>
        <v>فروش داخلي تهران - وزارت راه - سازمان راهداري و حمل و نقل جاده ايي</v>
      </c>
      <c r="S1198" s="1" t="str">
        <f t="shared" si="299"/>
        <v>قرارداد فروش</v>
      </c>
      <c r="T1198" s="1" t="str">
        <f t="shared" si="300"/>
        <v>ندارد</v>
      </c>
      <c r="U1198" s="1" t="str">
        <f>"غلام نجفي سيامك‌‌‌‌‌‌(1881082)"</f>
        <v>غلام نجفي سيامك‌‌‌‌‌‌(1881082)</v>
      </c>
      <c r="V1198" s="1">
        <v>951900181</v>
      </c>
      <c r="W1198" s="1">
        <v>951900181</v>
      </c>
      <c r="X1198" s="1" t="str">
        <f>"1395435598"</f>
        <v>1395435598</v>
      </c>
      <c r="Y1198" s="1" t="str">
        <f>"95/08/06"</f>
        <v>95/08/06</v>
      </c>
      <c r="Z1198" s="1" t="str">
        <f>"32931/510"</f>
        <v>32931/510</v>
      </c>
      <c r="AA1198" s="1" t="str">
        <f t="shared" si="308"/>
        <v>سازمان راهداري وحمل نقل جاده اي</v>
      </c>
      <c r="AB1198" s="1" t="str">
        <f>"95/07/11"</f>
        <v>95/07/11</v>
      </c>
      <c r="AC1198" s="1" t="str">
        <f>"استان كرمان"</f>
        <v>استان كرمان</v>
      </c>
      <c r="AD1198" s="1" t="str">
        <f>"95/07/13"</f>
        <v>95/07/13</v>
      </c>
      <c r="AE1198" s="1" t="str">
        <f t="shared" si="304"/>
        <v>اختتام</v>
      </c>
      <c r="AF1198" s="1" t="str">
        <f>""</f>
        <v/>
      </c>
      <c r="AG1198" s="1" t="str">
        <f>""</f>
        <v/>
      </c>
      <c r="AH1198" s="1" t="str">
        <f>""</f>
        <v/>
      </c>
      <c r="AI1198" s="1" t="str">
        <f>""</f>
        <v/>
      </c>
      <c r="AJ1198" s="1" t="str">
        <f>""</f>
        <v/>
      </c>
      <c r="AK1198" s="1" t="str">
        <f>""</f>
        <v/>
      </c>
    </row>
    <row r="1199" spans="1:37" x14ac:dyDescent="0.2">
      <c r="A1199" s="1">
        <v>700000</v>
      </c>
      <c r="B1199" s="1">
        <v>951900118</v>
      </c>
      <c r="C1199" s="1" t="str">
        <f>"تخليه -استان البرز-كمربندي تهران انديشه ميدان معادن خيابان روشن صنعت حدفاصل كيلومتر3"</f>
        <v>تخليه -استان البرز-كمربندي تهران انديشه ميدان معادن خيابان روشن صنعت حدفاصل كيلومتر3</v>
      </c>
      <c r="D1199" s="1">
        <v>6726</v>
      </c>
      <c r="E1199" s="1">
        <v>695640</v>
      </c>
      <c r="F1199" s="1">
        <v>95</v>
      </c>
      <c r="G1199" s="1">
        <v>4360</v>
      </c>
      <c r="H1199" s="1" t="str">
        <f>"95/05/23"</f>
        <v>95/05/23</v>
      </c>
      <c r="I1199" s="1" t="str">
        <f t="shared" si="298"/>
        <v>كيلوگرم</v>
      </c>
      <c r="J1199" s="1" t="str">
        <f t="shared" si="305"/>
        <v>0000000092</v>
      </c>
      <c r="K1199" s="1" t="str">
        <f t="shared" si="306"/>
        <v>قير  PG64-16</v>
      </c>
      <c r="L1199" s="1">
        <v>100</v>
      </c>
      <c r="M1199" s="1" t="str">
        <f t="shared" si="301"/>
        <v>مخازن قير اصفهان</v>
      </c>
      <c r="N1199" s="1">
        <v>10510</v>
      </c>
      <c r="O1199" s="1">
        <v>50031511</v>
      </c>
      <c r="P1199" s="1" t="str">
        <f>"  لاميان"</f>
        <v xml:space="preserve">  لاميان</v>
      </c>
      <c r="Q1199" s="1">
        <v>19</v>
      </c>
      <c r="R1199" s="1" t="str">
        <f t="shared" si="307"/>
        <v>فروش داخلي تهران - وزارت راه - سازمان راهداري و حمل و نقل جاده ايي</v>
      </c>
      <c r="S1199" s="1" t="str">
        <f t="shared" si="299"/>
        <v>قرارداد فروش</v>
      </c>
      <c r="T1199" s="1" t="str">
        <f t="shared" si="300"/>
        <v>ندارد</v>
      </c>
      <c r="U1199" s="1" t="str">
        <f>"غلام نجفي سيامك‌‌‌‌‌‌(1881082)"</f>
        <v>غلام نجفي سيامك‌‌‌‌‌‌(1881082)</v>
      </c>
      <c r="V1199" s="1">
        <v>951900118</v>
      </c>
      <c r="W1199" s="1">
        <v>951900118</v>
      </c>
      <c r="X1199" s="1" t="str">
        <f>"1395423541"</f>
        <v>1395423541</v>
      </c>
      <c r="Y1199" s="1" t="str">
        <f>"95/05/23"</f>
        <v>95/05/23</v>
      </c>
      <c r="Z1199" s="1" t="str">
        <f>"22203/510"</f>
        <v>22203/510</v>
      </c>
      <c r="AA1199" s="1" t="str">
        <f t="shared" si="308"/>
        <v>سازمان راهداري وحمل نقل جاده اي</v>
      </c>
      <c r="AB1199" s="1" t="str">
        <f>"95/05/17"</f>
        <v>95/05/17</v>
      </c>
      <c r="AC1199" s="1" t="str">
        <f>"البرز"</f>
        <v>البرز</v>
      </c>
      <c r="AD1199" s="1" t="str">
        <f>"95/05/23"</f>
        <v>95/05/23</v>
      </c>
      <c r="AE1199" s="1" t="str">
        <f t="shared" si="304"/>
        <v>اختتام</v>
      </c>
      <c r="AF1199" s="1" t="str">
        <f>""</f>
        <v/>
      </c>
      <c r="AG1199" s="1" t="str">
        <f>""</f>
        <v/>
      </c>
      <c r="AH1199" s="1" t="str">
        <f>""</f>
        <v/>
      </c>
      <c r="AI1199" s="1" t="str">
        <f>""</f>
        <v/>
      </c>
      <c r="AJ1199" s="1" t="str">
        <f>""</f>
        <v/>
      </c>
      <c r="AK1199" s="1" t="str">
        <f>""</f>
        <v/>
      </c>
    </row>
    <row r="1200" spans="1:37" x14ac:dyDescent="0.2">
      <c r="A1200" s="1">
        <v>1000000</v>
      </c>
      <c r="B1200" s="1">
        <v>951900089</v>
      </c>
      <c r="C1200" s="1" t="str">
        <f>"تخليه -جنوب كرمان -منوجان -بعدازشهرك صنعتي -كارخانه آسفالت زرين شن منوجان"</f>
        <v>تخليه -جنوب كرمان -منوجان -بعدازشهرك صنعتي -كارخانه آسفالت زرين شن منوجان</v>
      </c>
      <c r="D1200" s="1">
        <v>6726</v>
      </c>
      <c r="E1200" s="1">
        <v>999960</v>
      </c>
      <c r="F1200" s="1">
        <v>95</v>
      </c>
      <c r="G1200" s="1">
        <v>40</v>
      </c>
      <c r="H1200" s="1" t="str">
        <f>"95/05/16"</f>
        <v>95/05/16</v>
      </c>
      <c r="I1200" s="1" t="str">
        <f t="shared" si="298"/>
        <v>كيلوگرم</v>
      </c>
      <c r="J1200" s="1" t="str">
        <f t="shared" si="305"/>
        <v>0000000092</v>
      </c>
      <c r="K1200" s="1" t="str">
        <f t="shared" si="306"/>
        <v>قير  PG64-16</v>
      </c>
      <c r="L1200" s="1">
        <v>100</v>
      </c>
      <c r="M1200" s="1" t="str">
        <f t="shared" si="301"/>
        <v>مخازن قير اصفهان</v>
      </c>
      <c r="N1200" s="1">
        <v>10547</v>
      </c>
      <c r="O1200" s="1">
        <v>50031433</v>
      </c>
      <c r="P1200" s="1" t="str">
        <f>"  پي و پل جنوب"</f>
        <v xml:space="preserve">  پي و پل جنوب</v>
      </c>
      <c r="Q1200" s="1">
        <v>19</v>
      </c>
      <c r="R1200" s="1" t="str">
        <f t="shared" si="307"/>
        <v>فروش داخلي تهران - وزارت راه - سازمان راهداري و حمل و نقل جاده ايي</v>
      </c>
      <c r="S1200" s="1" t="str">
        <f t="shared" si="299"/>
        <v>قرارداد فروش</v>
      </c>
      <c r="T1200" s="1" t="str">
        <f t="shared" si="300"/>
        <v>ندارد</v>
      </c>
      <c r="U1200" s="1" t="str">
        <f>"حاصليان ترابرجنوب مرتضي حاصلي (4844006)"</f>
        <v>حاصليان ترابرجنوب مرتضي حاصلي (4844006)</v>
      </c>
      <c r="V1200" s="1">
        <v>951900089</v>
      </c>
      <c r="W1200" s="1">
        <v>951900089</v>
      </c>
      <c r="X1200" s="1" t="str">
        <f>"1395421149"</f>
        <v>1395421149</v>
      </c>
      <c r="Y1200" s="1" t="str">
        <f>"95/05/16"</f>
        <v>95/05/16</v>
      </c>
      <c r="Z1200" s="1" t="str">
        <f>"19445/510"</f>
        <v>19445/510</v>
      </c>
      <c r="AA1200" s="1" t="str">
        <f t="shared" si="308"/>
        <v>سازمان راهداري وحمل نقل جاده اي</v>
      </c>
      <c r="AB1200" s="1" t="str">
        <f>"95/05/03"</f>
        <v>95/05/03</v>
      </c>
      <c r="AC1200" s="1" t="str">
        <f>"خراسان جنوبي"</f>
        <v>خراسان جنوبي</v>
      </c>
      <c r="AD1200" s="1" t="str">
        <f>"95/05/13"</f>
        <v>95/05/13</v>
      </c>
      <c r="AE1200" s="1" t="str">
        <f t="shared" si="304"/>
        <v>اختتام</v>
      </c>
      <c r="AF1200" s="1" t="str">
        <f>""</f>
        <v/>
      </c>
      <c r="AG1200" s="1" t="str">
        <f>""</f>
        <v/>
      </c>
      <c r="AH1200" s="1" t="str">
        <f>""</f>
        <v/>
      </c>
      <c r="AI1200" s="1" t="str">
        <f>""</f>
        <v/>
      </c>
      <c r="AJ1200" s="1" t="str">
        <f>""</f>
        <v/>
      </c>
      <c r="AK1200" s="1" t="str">
        <f>""</f>
        <v/>
      </c>
    </row>
    <row r="1201" spans="1:37" x14ac:dyDescent="0.2">
      <c r="A1201" s="1">
        <v>1000000</v>
      </c>
      <c r="B1201" s="1">
        <v>951900309</v>
      </c>
      <c r="C1201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01" s="1">
        <v>8348</v>
      </c>
      <c r="E1201" s="1">
        <v>1000000</v>
      </c>
      <c r="F1201" s="1">
        <v>95</v>
      </c>
      <c r="G1201" s="1">
        <v>0</v>
      </c>
      <c r="H1201" s="1" t="str">
        <f>"95/12/25"</f>
        <v>95/12/25</v>
      </c>
      <c r="I1201" s="1" t="str">
        <f t="shared" si="298"/>
        <v>كيلوگرم</v>
      </c>
      <c r="J1201" s="1" t="str">
        <f t="shared" si="305"/>
        <v>0000000092</v>
      </c>
      <c r="K1201" s="1" t="str">
        <f t="shared" si="306"/>
        <v>قير  PG64-16</v>
      </c>
      <c r="L1201" s="1">
        <v>100</v>
      </c>
      <c r="M1201" s="1" t="str">
        <f t="shared" si="301"/>
        <v>مخازن قير اصفهان</v>
      </c>
      <c r="N1201" s="1">
        <v>10547</v>
      </c>
      <c r="O1201" s="1">
        <v>50034224</v>
      </c>
      <c r="P1201" s="1" t="str">
        <f>"  پي و پل جنوب"</f>
        <v xml:space="preserve">  پي و پل جنوب</v>
      </c>
      <c r="Q1201" s="1">
        <v>19</v>
      </c>
      <c r="R1201" s="1" t="str">
        <f t="shared" si="307"/>
        <v>فروش داخلي تهران - وزارت راه - سازمان راهداري و حمل و نقل جاده ايي</v>
      </c>
      <c r="S1201" s="1" t="str">
        <f t="shared" si="299"/>
        <v>قرارداد فروش</v>
      </c>
      <c r="T1201" s="1" t="str">
        <f t="shared" si="300"/>
        <v>ندارد</v>
      </c>
      <c r="U1201" s="1" t="str">
        <f>"قره باغي مجيد(1871065)"</f>
        <v>قره باغي مجيد(1871065)</v>
      </c>
      <c r="V1201" s="1">
        <v>951900309</v>
      </c>
      <c r="W1201" s="1">
        <v>951900309</v>
      </c>
      <c r="X1201" s="1" t="str">
        <f>"1395470942"</f>
        <v>1395470942</v>
      </c>
      <c r="Y1201" s="1" t="str">
        <f>"95/12/25"</f>
        <v>95/12/25</v>
      </c>
      <c r="Z1201" s="1" t="str">
        <f>"66050/710"</f>
        <v>66050/710</v>
      </c>
      <c r="AA1201" s="1" t="str">
        <f t="shared" si="308"/>
        <v>سازمان راهداري وحمل نقل جاده اي</v>
      </c>
      <c r="AB1201" s="1" t="str">
        <f>"95/12/23"</f>
        <v>95/12/23</v>
      </c>
      <c r="AC1201" s="1" t="str">
        <f>"استان هرمزگان"</f>
        <v>استان هرمزگان</v>
      </c>
      <c r="AD1201" s="1" t="str">
        <f>"95/12/24"</f>
        <v>95/12/24</v>
      </c>
      <c r="AE1201" s="1" t="str">
        <f t="shared" si="304"/>
        <v>اختتام</v>
      </c>
      <c r="AF1201" s="1" t="str">
        <f>""</f>
        <v/>
      </c>
      <c r="AG1201" s="1" t="str">
        <f>""</f>
        <v/>
      </c>
      <c r="AH1201" s="1" t="str">
        <f>""</f>
        <v/>
      </c>
      <c r="AI1201" s="1" t="str">
        <f>""</f>
        <v/>
      </c>
      <c r="AJ1201" s="1" t="str">
        <f>""</f>
        <v/>
      </c>
      <c r="AK1201" s="1" t="str">
        <f>""</f>
        <v/>
      </c>
    </row>
    <row r="1202" spans="1:37" x14ac:dyDescent="0.2">
      <c r="A1202" s="1">
        <v>1000000</v>
      </c>
      <c r="B1202" s="1">
        <v>951900313</v>
      </c>
      <c r="C1202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202" s="1">
        <v>8348</v>
      </c>
      <c r="E1202" s="1">
        <v>999500</v>
      </c>
      <c r="F1202" s="1">
        <v>95</v>
      </c>
      <c r="G1202" s="1">
        <v>500</v>
      </c>
      <c r="H1202" s="1" t="str">
        <f>"95/12/25"</f>
        <v>95/12/25</v>
      </c>
      <c r="I1202" s="1" t="str">
        <f t="shared" si="298"/>
        <v>كيلوگرم</v>
      </c>
      <c r="J1202" s="1" t="str">
        <f t="shared" si="305"/>
        <v>0000000092</v>
      </c>
      <c r="K1202" s="1" t="str">
        <f t="shared" si="306"/>
        <v>قير  PG64-16</v>
      </c>
      <c r="L1202" s="1">
        <v>100</v>
      </c>
      <c r="M1202" s="1" t="str">
        <f t="shared" si="301"/>
        <v>مخازن قير اصفهان</v>
      </c>
      <c r="N1202" s="1">
        <v>10547</v>
      </c>
      <c r="O1202" s="1">
        <v>50034249</v>
      </c>
      <c r="P1202" s="1" t="str">
        <f>"  پي و پل جنوب"</f>
        <v xml:space="preserve">  پي و پل جنوب</v>
      </c>
      <c r="Q1202" s="1">
        <v>19</v>
      </c>
      <c r="R1202" s="1" t="str">
        <f t="shared" si="307"/>
        <v>فروش داخلي تهران - وزارت راه - سازمان راهداري و حمل و نقل جاده ايي</v>
      </c>
      <c r="S1202" s="1" t="str">
        <f t="shared" si="299"/>
        <v>قرارداد فروش</v>
      </c>
      <c r="T1202" s="1" t="str">
        <f t="shared" si="300"/>
        <v>ندارد</v>
      </c>
      <c r="U1202" s="1" t="str">
        <f>"قره باغي مجيد(1871065)"</f>
        <v>قره باغي مجيد(1871065)</v>
      </c>
      <c r="V1202" s="1">
        <v>951900313</v>
      </c>
      <c r="W1202" s="1">
        <v>951900313</v>
      </c>
      <c r="X1202" s="1" t="str">
        <f>"1395471039"</f>
        <v>1395471039</v>
      </c>
      <c r="Y1202" s="1" t="str">
        <f>"95/12/25"</f>
        <v>95/12/25</v>
      </c>
      <c r="Z1202" s="1" t="str">
        <f>"66473/710"</f>
        <v>66473/710</v>
      </c>
      <c r="AA1202" s="1" t="str">
        <f t="shared" si="308"/>
        <v>سازمان راهداري وحمل نقل جاده اي</v>
      </c>
      <c r="AB1202" s="1" t="str">
        <f>"95/12/24"</f>
        <v>95/12/24</v>
      </c>
      <c r="AC1202" s="1" t="str">
        <f>"جنوب کرمان"</f>
        <v>جنوب کرمان</v>
      </c>
      <c r="AD1202" s="1" t="str">
        <f>"95/12/25"</f>
        <v>95/12/25</v>
      </c>
      <c r="AE1202" s="1" t="str">
        <f t="shared" si="304"/>
        <v>اختتام</v>
      </c>
      <c r="AF1202" s="1" t="str">
        <f>""</f>
        <v/>
      </c>
      <c r="AG1202" s="1" t="str">
        <f>""</f>
        <v/>
      </c>
      <c r="AH1202" s="1" t="str">
        <f>""</f>
        <v/>
      </c>
      <c r="AI1202" s="1" t="str">
        <f>""</f>
        <v/>
      </c>
      <c r="AJ1202" s="1" t="str">
        <f>""</f>
        <v/>
      </c>
      <c r="AK1202" s="1" t="str">
        <f>""</f>
        <v/>
      </c>
    </row>
    <row r="1203" spans="1:37" x14ac:dyDescent="0.2">
      <c r="A1203" s="1">
        <v>140000</v>
      </c>
      <c r="B1203" s="1">
        <v>951700038</v>
      </c>
      <c r="C1203" s="1" t="str">
        <f>"تخليه -اصفهان -كيلومتر19محورقديم كاشان قم -شركت درم"</f>
        <v>تخليه -اصفهان -كيلومتر19محورقديم كاشان قم -شركت درم</v>
      </c>
      <c r="D1203" s="1">
        <v>6050</v>
      </c>
      <c r="E1203" s="1">
        <v>140000</v>
      </c>
      <c r="F1203" s="1">
        <v>95</v>
      </c>
      <c r="G1203" s="1">
        <v>0</v>
      </c>
      <c r="H1203" s="1" t="str">
        <f>"95/03/23"</f>
        <v>95/03/23</v>
      </c>
      <c r="I1203" s="1" t="str">
        <f t="shared" si="298"/>
        <v>كيلوگرم</v>
      </c>
      <c r="J1203" s="1" t="str">
        <f t="shared" si="305"/>
        <v>0000000092</v>
      </c>
      <c r="K1203" s="1" t="str">
        <f t="shared" si="306"/>
        <v>قير  PG64-16</v>
      </c>
      <c r="L1203" s="1">
        <v>100</v>
      </c>
      <c r="M1203" s="1" t="str">
        <f t="shared" si="301"/>
        <v>مخازن قير اصفهان</v>
      </c>
      <c r="N1203" s="1">
        <v>8091</v>
      </c>
      <c r="O1203" s="1">
        <v>50031013</v>
      </c>
      <c r="P1203" s="1" t="str">
        <f>"  اداره كل راه وشهرسازي اصفهان"</f>
        <v xml:space="preserve">  اداره كل راه وشهرسازي اصفهان</v>
      </c>
      <c r="Q1203" s="1">
        <v>17</v>
      </c>
      <c r="R1203" s="1" t="str">
        <f>"فروش داخلي تهران - وزارت راه - راه روستايي - روکش"</f>
        <v>فروش داخلي تهران - وزارت راه - راه روستايي - روکش</v>
      </c>
      <c r="S1203" s="1" t="str">
        <f t="shared" si="299"/>
        <v>قرارداد فروش</v>
      </c>
      <c r="T1203" s="1" t="str">
        <f t="shared" si="300"/>
        <v>ندارد</v>
      </c>
      <c r="U1203" s="1" t="str">
        <f>"كبيري رحمت اله(1024ج89)"</f>
        <v>كبيري رحمت اله(1024ج89)</v>
      </c>
      <c r="V1203" s="1">
        <v>951700038</v>
      </c>
      <c r="W1203" s="1">
        <v>951700038</v>
      </c>
      <c r="X1203" s="1" t="str">
        <f>"1395406643"</f>
        <v>1395406643</v>
      </c>
      <c r="Y1203" s="1" t="str">
        <f>"95/03/23"</f>
        <v>95/03/23</v>
      </c>
      <c r="Z1203" s="1" t="str">
        <f>"9575/510"</f>
        <v>9575/510</v>
      </c>
      <c r="AA1203" s="1" t="str">
        <f>"راه روستائي -روكش"</f>
        <v>راه روستائي -روكش</v>
      </c>
      <c r="AB1203" s="1" t="str">
        <f>"95/03/08"</f>
        <v>95/03/08</v>
      </c>
      <c r="AC1203" s="1" t="str">
        <f>"استان اصفهان"</f>
        <v>استان اصفهان</v>
      </c>
      <c r="AD1203" s="1" t="str">
        <f>"95/03/11"</f>
        <v>95/03/11</v>
      </c>
      <c r="AE1203" s="1" t="str">
        <f t="shared" si="304"/>
        <v>اختتام</v>
      </c>
      <c r="AF1203" s="1" t="str">
        <f>""</f>
        <v/>
      </c>
      <c r="AG1203" s="1" t="str">
        <f>""</f>
        <v/>
      </c>
      <c r="AH1203" s="1" t="str">
        <f>""</f>
        <v/>
      </c>
      <c r="AI1203" s="1" t="str">
        <f>""</f>
        <v/>
      </c>
      <c r="AJ1203" s="1" t="str">
        <f>""</f>
        <v/>
      </c>
      <c r="AK1203" s="1" t="str">
        <f>""</f>
        <v/>
      </c>
    </row>
    <row r="1204" spans="1:37" x14ac:dyDescent="0.2">
      <c r="A1204" s="1">
        <v>440000</v>
      </c>
      <c r="B1204" s="1">
        <v>951700146</v>
      </c>
      <c r="C1204" s="1" t="str">
        <f>"تخليه-کيلومتر 17 جاده قمصرشركت بتن آسفالت مهر"</f>
        <v>تخليه-کيلومتر 17 جاده قمصرشركت بتن آسفالت مهر</v>
      </c>
      <c r="D1204" s="1">
        <v>6726</v>
      </c>
      <c r="E1204" s="1">
        <v>425000</v>
      </c>
      <c r="F1204" s="1">
        <v>95</v>
      </c>
      <c r="G1204" s="1">
        <v>15000</v>
      </c>
      <c r="H1204" s="1" t="str">
        <f>"95/05/18"</f>
        <v>95/05/18</v>
      </c>
      <c r="I1204" s="1" t="str">
        <f t="shared" si="298"/>
        <v>كيلوگرم</v>
      </c>
      <c r="J1204" s="1" t="str">
        <f t="shared" si="305"/>
        <v>0000000092</v>
      </c>
      <c r="K1204" s="1" t="str">
        <f t="shared" si="306"/>
        <v>قير  PG64-16</v>
      </c>
      <c r="L1204" s="1">
        <v>100</v>
      </c>
      <c r="M1204" s="1" t="str">
        <f t="shared" si="301"/>
        <v>مخازن قير اصفهان</v>
      </c>
      <c r="N1204" s="1">
        <v>8091</v>
      </c>
      <c r="O1204" s="1">
        <v>50031457</v>
      </c>
      <c r="P1204" s="1" t="str">
        <f>"  اداره كل راه وشهرسازي اصفهان"</f>
        <v xml:space="preserve">  اداره كل راه وشهرسازي اصفهان</v>
      </c>
      <c r="Q1204" s="1">
        <v>17</v>
      </c>
      <c r="R1204" s="1" t="str">
        <f>"فروش داخلي تهران - وزارت راه - راه روستايي - روکش"</f>
        <v>فروش داخلي تهران - وزارت راه - راه روستايي - روکش</v>
      </c>
      <c r="S1204" s="1" t="str">
        <f t="shared" si="299"/>
        <v>قرارداد فروش</v>
      </c>
      <c r="T1204" s="1" t="str">
        <f t="shared" si="300"/>
        <v>ندارد</v>
      </c>
      <c r="U1204" s="1" t="str">
        <f>"شهبازي محمدرضا(1029ج89)"</f>
        <v>شهبازي محمدرضا(1029ج89)</v>
      </c>
      <c r="V1204" s="1">
        <v>951700146</v>
      </c>
      <c r="W1204" s="1">
        <v>951700146</v>
      </c>
      <c r="X1204" s="1" t="str">
        <f>"1395421751"</f>
        <v>1395421751</v>
      </c>
      <c r="Y1204" s="1" t="str">
        <f>"95/05/18"</f>
        <v>95/05/18</v>
      </c>
      <c r="Z1204" s="1" t="str">
        <f>"20960/510"</f>
        <v>20960/510</v>
      </c>
      <c r="AA1204" s="1" t="str">
        <f>"راه روستائي -روكش"</f>
        <v>راه روستائي -روكش</v>
      </c>
      <c r="AB1204" s="1" t="str">
        <f>"95/05/11"</f>
        <v>95/05/11</v>
      </c>
      <c r="AC1204" s="1" t="str">
        <f>"استان اصفهان"</f>
        <v>استان اصفهان</v>
      </c>
      <c r="AD1204" s="1" t="str">
        <f>"95/05/17"</f>
        <v>95/05/17</v>
      </c>
      <c r="AE1204" s="1" t="str">
        <f t="shared" si="304"/>
        <v>اختتام</v>
      </c>
      <c r="AF1204" s="1" t="str">
        <f>""</f>
        <v/>
      </c>
      <c r="AG1204" s="1" t="str">
        <f>""</f>
        <v/>
      </c>
      <c r="AH1204" s="1" t="str">
        <f>""</f>
        <v/>
      </c>
      <c r="AI1204" s="1" t="str">
        <f>""</f>
        <v/>
      </c>
      <c r="AJ1204" s="1" t="str">
        <f>""</f>
        <v/>
      </c>
      <c r="AK1204" s="1" t="str">
        <f>""</f>
        <v/>
      </c>
    </row>
    <row r="1205" spans="1:37" x14ac:dyDescent="0.2">
      <c r="A1205" s="1">
        <v>70000</v>
      </c>
      <c r="B1205" s="1">
        <v>951700197</v>
      </c>
      <c r="C1205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1205" s="1">
        <v>7176</v>
      </c>
      <c r="E1205" s="1">
        <v>68980</v>
      </c>
      <c r="F1205" s="1">
        <v>95</v>
      </c>
      <c r="G1205" s="1">
        <v>1020</v>
      </c>
      <c r="H1205" s="1" t="str">
        <f>"95/06/09"</f>
        <v>95/06/09</v>
      </c>
      <c r="I1205" s="1" t="str">
        <f t="shared" si="298"/>
        <v>كيلوگرم</v>
      </c>
      <c r="J1205" s="1" t="str">
        <f t="shared" si="305"/>
        <v>0000000092</v>
      </c>
      <c r="K1205" s="1" t="str">
        <f t="shared" si="306"/>
        <v>قير  PG64-16</v>
      </c>
      <c r="L1205" s="1">
        <v>100</v>
      </c>
      <c r="M1205" s="1" t="str">
        <f t="shared" si="301"/>
        <v>مخازن قير اصفهان</v>
      </c>
      <c r="N1205" s="1">
        <v>8091</v>
      </c>
      <c r="O1205" s="1">
        <v>50031842</v>
      </c>
      <c r="P1205" s="1" t="str">
        <f>"  اداره كل راه وشهرسازي اصفهان"</f>
        <v xml:space="preserve">  اداره كل راه وشهرسازي اصفهان</v>
      </c>
      <c r="Q1205" s="1">
        <v>17</v>
      </c>
      <c r="R1205" s="1" t="str">
        <f>"فروش داخلي تهران - وزارت راه - راه روستايي - روکش"</f>
        <v>فروش داخلي تهران - وزارت راه - راه روستايي - روکش</v>
      </c>
      <c r="S1205" s="1" t="str">
        <f t="shared" si="299"/>
        <v>قرارداد فروش</v>
      </c>
      <c r="T1205" s="1" t="str">
        <f t="shared" si="300"/>
        <v>ندارد</v>
      </c>
      <c r="U1205" s="1" t="str">
        <f>"مرادي نجاتعلي(1020ج89)"</f>
        <v>مرادي نجاتعلي(1020ج89)</v>
      </c>
      <c r="V1205" s="1">
        <v>951700197</v>
      </c>
      <c r="W1205" s="1">
        <v>951700197</v>
      </c>
      <c r="X1205" s="1" t="str">
        <f>"1395427784"</f>
        <v>1395427784</v>
      </c>
      <c r="Y1205" s="1" t="str">
        <f>"95/06/09"</f>
        <v>95/06/09</v>
      </c>
      <c r="Z1205" s="1" t="str">
        <f>"26335/510"</f>
        <v>26335/510</v>
      </c>
      <c r="AA1205" s="1" t="str">
        <f>"راه روستائي -روكش"</f>
        <v>راه روستائي -روكش</v>
      </c>
      <c r="AB1205" s="1" t="str">
        <f>"95/06/07"</f>
        <v>95/06/07</v>
      </c>
      <c r="AC1205" s="1" t="str">
        <f>"استان اصفهان"</f>
        <v>استان اصفهان</v>
      </c>
      <c r="AD1205" s="1" t="str">
        <f>"95/06/09"</f>
        <v>95/06/09</v>
      </c>
      <c r="AE1205" s="1" t="str">
        <f t="shared" si="304"/>
        <v>اختتام</v>
      </c>
      <c r="AF1205" s="1" t="str">
        <f>""</f>
        <v/>
      </c>
      <c r="AG1205" s="1" t="str">
        <f>""</f>
        <v/>
      </c>
      <c r="AH1205" s="1" t="str">
        <f>""</f>
        <v/>
      </c>
      <c r="AI1205" s="1" t="str">
        <f>""</f>
        <v/>
      </c>
      <c r="AJ1205" s="1" t="str">
        <f>""</f>
        <v/>
      </c>
      <c r="AK1205" s="1" t="str">
        <f>""</f>
        <v/>
      </c>
    </row>
    <row r="1206" spans="1:37" x14ac:dyDescent="0.2">
      <c r="A1206" s="1">
        <v>500000</v>
      </c>
      <c r="B1206" s="1">
        <v>951300009</v>
      </c>
      <c r="C1206" s="1" t="str">
        <f>"تخليه- کارخانه آسفالت شهرداري فردوس-کيلومتر 3 محور فردوس-سرايان"</f>
        <v>تخليه- کارخانه آسفالت شهرداري فردوس-کيلومتر 3 محور فردوس-سرايان</v>
      </c>
      <c r="D1206" s="1">
        <v>6250</v>
      </c>
      <c r="E1206" s="1">
        <v>499940</v>
      </c>
      <c r="F1206" s="1">
        <v>95</v>
      </c>
      <c r="G1206" s="1">
        <v>60</v>
      </c>
      <c r="H1206" s="1" t="str">
        <f>"95/04/22"</f>
        <v>95/04/22</v>
      </c>
      <c r="I1206" s="1" t="str">
        <f t="shared" si="298"/>
        <v>كيلوگرم</v>
      </c>
      <c r="J1206" s="1" t="str">
        <f t="shared" si="305"/>
        <v>0000000092</v>
      </c>
      <c r="K1206" s="1" t="str">
        <f t="shared" si="306"/>
        <v>قير  PG64-16</v>
      </c>
      <c r="L1206" s="1">
        <v>100</v>
      </c>
      <c r="M1206" s="1" t="str">
        <f t="shared" si="301"/>
        <v>مخازن قير اصفهان</v>
      </c>
      <c r="N1206" s="1">
        <v>10682</v>
      </c>
      <c r="O1206" s="1">
        <v>50031270</v>
      </c>
      <c r="P1206" s="1" t="str">
        <f>"  بنياد مسکن انقلاب  اسلامي خراسان جنوبي"</f>
        <v xml:space="preserve">  بنياد مسکن انقلاب  اسلامي خراسان جنوبي</v>
      </c>
      <c r="Q1206" s="1">
        <v>13</v>
      </c>
      <c r="R1206" s="1" t="str">
        <f>"فروش داخلي - وزارت راه - حوزه بنياد مسكن"</f>
        <v>فروش داخلي - وزارت راه - حوزه بنياد مسكن</v>
      </c>
      <c r="S1206" s="1" t="str">
        <f t="shared" si="299"/>
        <v>قرارداد فروش</v>
      </c>
      <c r="T1206" s="1" t="str">
        <f t="shared" si="300"/>
        <v>ندارد</v>
      </c>
      <c r="U1206" s="1" t="str">
        <f>"آقا علي منوچهر(1016ج89)"</f>
        <v>آقا علي منوچهر(1016ج89)</v>
      </c>
      <c r="V1206" s="1">
        <v>951300009</v>
      </c>
      <c r="W1206" s="1">
        <v>951300009</v>
      </c>
      <c r="X1206" s="1" t="str">
        <f>"1395414429"</f>
        <v>1395414429</v>
      </c>
      <c r="Y1206" s="1" t="str">
        <f>"95/04/21"</f>
        <v>95/04/21</v>
      </c>
      <c r="Z1206" s="1" t="str">
        <f>"15770/510"</f>
        <v>15770/510</v>
      </c>
      <c r="AA1206" s="1" t="str">
        <f>"بنياد مسكن -مسكن مهر"</f>
        <v>بنياد مسكن -مسكن مهر</v>
      </c>
      <c r="AB1206" s="1" t="str">
        <f>"95/04/13"</f>
        <v>95/04/13</v>
      </c>
      <c r="AC1206" s="1" t="str">
        <f>"خراسان جنوبي"</f>
        <v>خراسان جنوبي</v>
      </c>
      <c r="AD1206" s="1" t="str">
        <f>"95/04/21"</f>
        <v>95/04/21</v>
      </c>
      <c r="AE1206" s="1" t="str">
        <f t="shared" si="304"/>
        <v>اختتام</v>
      </c>
      <c r="AF1206" s="1" t="str">
        <f>""</f>
        <v/>
      </c>
      <c r="AG1206" s="1" t="str">
        <f>""</f>
        <v/>
      </c>
      <c r="AH1206" s="1" t="str">
        <f>""</f>
        <v/>
      </c>
      <c r="AI1206" s="1" t="str">
        <f>""</f>
        <v/>
      </c>
      <c r="AJ1206" s="1" t="str">
        <f>""</f>
        <v/>
      </c>
      <c r="AK1206" s="1" t="str">
        <f>""</f>
        <v/>
      </c>
    </row>
    <row r="1207" spans="1:37" x14ac:dyDescent="0.2">
      <c r="A1207" s="1">
        <v>450000</v>
      </c>
      <c r="B1207" s="1">
        <v>951400148</v>
      </c>
      <c r="C1207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207" s="1">
        <v>8998</v>
      </c>
      <c r="E1207" s="1">
        <v>444240</v>
      </c>
      <c r="F1207" s="1">
        <v>95</v>
      </c>
      <c r="G1207" s="1">
        <v>5760</v>
      </c>
      <c r="H1207" s="1" t="str">
        <f>"95/11/24"</f>
        <v>95/11/24</v>
      </c>
      <c r="I1207" s="1" t="str">
        <f t="shared" si="298"/>
        <v>كيلوگرم</v>
      </c>
      <c r="J1207" s="1" t="str">
        <f t="shared" si="305"/>
        <v>0000000092</v>
      </c>
      <c r="K1207" s="1" t="str">
        <f t="shared" si="306"/>
        <v>قير  PG64-16</v>
      </c>
      <c r="L1207" s="1">
        <v>100</v>
      </c>
      <c r="M1207" s="1" t="str">
        <f t="shared" si="301"/>
        <v>مخازن قير اصفهان</v>
      </c>
      <c r="N1207" s="1">
        <v>10717</v>
      </c>
      <c r="O1207" s="1">
        <v>50033706</v>
      </c>
      <c r="P1207" s="1" t="str">
        <f>"  تعاوني نگين صحت جيرفت"</f>
        <v xml:space="preserve">  تعاوني نگين صحت جيرفت</v>
      </c>
      <c r="Q1207" s="1">
        <v>14</v>
      </c>
      <c r="R1207" s="1" t="str">
        <f>"فروش داخلي - وزارت راه - حوزه راه روستايي ساخت"</f>
        <v>فروش داخلي - وزارت راه - حوزه راه روستايي ساخت</v>
      </c>
      <c r="S1207" s="1" t="str">
        <f t="shared" si="299"/>
        <v>قرارداد فروش</v>
      </c>
      <c r="T1207" s="1" t="str">
        <f t="shared" si="300"/>
        <v>ندارد</v>
      </c>
      <c r="U1207" s="1" t="str">
        <f>"دشت بشي پودنگ وبرادران رضا(4844014)"</f>
        <v>دشت بشي پودنگ وبرادران رضا(4844014)</v>
      </c>
      <c r="V1207" s="1">
        <v>951400148</v>
      </c>
      <c r="W1207" s="1">
        <v>951400148</v>
      </c>
      <c r="X1207" s="1" t="str">
        <f>"1395464566"</f>
        <v>1395464566</v>
      </c>
      <c r="Y1207" s="1" t="str">
        <f>"95/11/24"</f>
        <v>95/11/24</v>
      </c>
      <c r="Z1207" s="1" t="str">
        <f>"50353/710"</f>
        <v>50353/710</v>
      </c>
      <c r="AA1207" s="1" t="str">
        <f>"راه وروستايي -ساخت"</f>
        <v>راه وروستايي -ساخت</v>
      </c>
      <c r="AB1207" s="1" t="str">
        <f>"95/10/13"</f>
        <v>95/10/13</v>
      </c>
      <c r="AC1207" s="1" t="str">
        <f>"خراسان جنوبي"</f>
        <v>خراسان جنوبي</v>
      </c>
      <c r="AD1207" s="1" t="str">
        <f>"95/11/24"</f>
        <v>95/11/24</v>
      </c>
      <c r="AE1207" s="1" t="str">
        <f t="shared" si="304"/>
        <v>اختتام</v>
      </c>
      <c r="AF1207" s="1" t="str">
        <f>""</f>
        <v/>
      </c>
      <c r="AG1207" s="1" t="str">
        <f>""</f>
        <v/>
      </c>
      <c r="AH1207" s="1" t="str">
        <f>""</f>
        <v/>
      </c>
      <c r="AI1207" s="1" t="str">
        <f>""</f>
        <v/>
      </c>
      <c r="AJ1207" s="1" t="str">
        <f>""</f>
        <v/>
      </c>
      <c r="AK1207" s="1" t="str">
        <f>""</f>
        <v/>
      </c>
    </row>
    <row r="1208" spans="1:37" x14ac:dyDescent="0.2">
      <c r="A1208" s="1">
        <v>550000</v>
      </c>
      <c r="B1208" s="1">
        <v>951400150</v>
      </c>
      <c r="C1208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208" s="1">
        <v>8998</v>
      </c>
      <c r="E1208" s="1">
        <v>548060</v>
      </c>
      <c r="F1208" s="1">
        <v>95</v>
      </c>
      <c r="G1208" s="1">
        <v>1940</v>
      </c>
      <c r="H1208" s="1" t="str">
        <f>"95/11/25"</f>
        <v>95/11/25</v>
      </c>
      <c r="I1208" s="1" t="str">
        <f t="shared" si="298"/>
        <v>كيلوگرم</v>
      </c>
      <c r="J1208" s="1" t="str">
        <f t="shared" si="305"/>
        <v>0000000092</v>
      </c>
      <c r="K1208" s="1" t="str">
        <f t="shared" si="306"/>
        <v>قير  PG64-16</v>
      </c>
      <c r="L1208" s="1">
        <v>100</v>
      </c>
      <c r="M1208" s="1" t="str">
        <f t="shared" si="301"/>
        <v>مخازن قير اصفهان</v>
      </c>
      <c r="N1208" s="1">
        <v>10717</v>
      </c>
      <c r="O1208" s="1">
        <v>50033725</v>
      </c>
      <c r="P1208" s="1" t="str">
        <f>"  تعاوني نگين صحت جيرفت"</f>
        <v xml:space="preserve">  تعاوني نگين صحت جيرفت</v>
      </c>
      <c r="Q1208" s="1">
        <v>14</v>
      </c>
      <c r="R1208" s="1" t="str">
        <f>"فروش داخلي - وزارت راه - حوزه راه روستايي ساخت"</f>
        <v>فروش داخلي - وزارت راه - حوزه راه روستايي ساخت</v>
      </c>
      <c r="S1208" s="1" t="str">
        <f t="shared" si="299"/>
        <v>قرارداد فروش</v>
      </c>
      <c r="T1208" s="1" t="str">
        <f t="shared" si="300"/>
        <v>ندارد</v>
      </c>
      <c r="U1208" s="1" t="str">
        <f>"دشت بشي پودنگ وبرادران رضا(4844014)"</f>
        <v>دشت بشي پودنگ وبرادران رضا(4844014)</v>
      </c>
      <c r="V1208" s="1">
        <v>951400150</v>
      </c>
      <c r="W1208" s="1">
        <v>951400150</v>
      </c>
      <c r="X1208" s="1" t="str">
        <f>"1395464566"</f>
        <v>1395464566</v>
      </c>
      <c r="Y1208" s="1" t="str">
        <f>"95/11/25"</f>
        <v>95/11/25</v>
      </c>
      <c r="Z1208" s="1" t="str">
        <f>"50354/710"</f>
        <v>50354/710</v>
      </c>
      <c r="AA1208" s="1" t="str">
        <f>"راه وروستايي -ساخت"</f>
        <v>راه وروستايي -ساخت</v>
      </c>
      <c r="AB1208" s="1" t="str">
        <f>"95/10/13"</f>
        <v>95/10/13</v>
      </c>
      <c r="AC1208" s="1" t="str">
        <f>"خراسان جنوبي"</f>
        <v>خراسان جنوبي</v>
      </c>
      <c r="AD1208" s="1" t="str">
        <f>"95/11/24"</f>
        <v>95/11/24</v>
      </c>
      <c r="AE1208" s="1" t="str">
        <f t="shared" si="304"/>
        <v>اختتام</v>
      </c>
      <c r="AF1208" s="1" t="str">
        <f>""</f>
        <v/>
      </c>
      <c r="AG1208" s="1" t="str">
        <f>""</f>
        <v/>
      </c>
      <c r="AH1208" s="1" t="str">
        <f>""</f>
        <v/>
      </c>
      <c r="AI1208" s="1" t="str">
        <f>""</f>
        <v/>
      </c>
      <c r="AJ1208" s="1" t="str">
        <f>""</f>
        <v/>
      </c>
      <c r="AK1208" s="1" t="str">
        <f>""</f>
        <v/>
      </c>
    </row>
    <row r="1209" spans="1:37" x14ac:dyDescent="0.2">
      <c r="A1209" s="1">
        <v>179000</v>
      </c>
      <c r="B1209" s="1">
        <v>951700359</v>
      </c>
      <c r="C1209" s="1" t="str">
        <f>"تخليه لرستان الشتركارخانه آسفالت شركت آبادگران فلك الافلاك"</f>
        <v>تخليه لرستان الشتركارخانه آسفالت شركت آبادگران فلك الافلاك</v>
      </c>
      <c r="D1209" s="1">
        <v>8348</v>
      </c>
      <c r="E1209" s="1">
        <v>178740</v>
      </c>
      <c r="F1209" s="1">
        <v>95</v>
      </c>
      <c r="G1209" s="1">
        <v>260</v>
      </c>
      <c r="H1209" s="1" t="str">
        <f>"95/12/23"</f>
        <v>95/12/23</v>
      </c>
      <c r="I1209" s="1" t="str">
        <f t="shared" si="298"/>
        <v>كيلوگرم</v>
      </c>
      <c r="J1209" s="1" t="str">
        <f t="shared" si="305"/>
        <v>0000000092</v>
      </c>
      <c r="K1209" s="1" t="str">
        <f t="shared" si="306"/>
        <v>قير  PG64-16</v>
      </c>
      <c r="L1209" s="1">
        <v>100</v>
      </c>
      <c r="M1209" s="1" t="str">
        <f t="shared" si="301"/>
        <v>مخازن قير اصفهان</v>
      </c>
      <c r="N1209" s="1">
        <v>10905</v>
      </c>
      <c r="O1209" s="1">
        <v>50034169</v>
      </c>
      <c r="P1209" s="1" t="str">
        <f>"  راه وساختمان آبادگران فلك الافلاك"</f>
        <v xml:space="preserve">  راه وساختمان آبادگران فلك الافلاك</v>
      </c>
      <c r="Q1209" s="1">
        <v>17</v>
      </c>
      <c r="R1209" s="1" t="str">
        <f>"فروش داخلي تهران - وزارت راه - راه روستايي - روکش"</f>
        <v>فروش داخلي تهران - وزارت راه - راه روستايي - روکش</v>
      </c>
      <c r="S1209" s="1" t="str">
        <f t="shared" si="299"/>
        <v>قرارداد فروش</v>
      </c>
      <c r="T1209" s="1" t="str">
        <f t="shared" si="300"/>
        <v>ندارد</v>
      </c>
      <c r="U1209" s="1" t="str">
        <f>"رضائي كلهر حسن (1901099)"</f>
        <v>رضائي كلهر حسن (1901099)</v>
      </c>
      <c r="V1209" s="1">
        <v>951700359</v>
      </c>
      <c r="W1209" s="1">
        <v>951700359</v>
      </c>
      <c r="X1209" s="1" t="str">
        <f>"1395470893"</f>
        <v>1395470893</v>
      </c>
      <c r="Y1209" s="1" t="str">
        <f>"95/12/23"</f>
        <v>95/12/23</v>
      </c>
      <c r="Z1209" s="1" t="str">
        <f>"65394/710"</f>
        <v>65394/710</v>
      </c>
      <c r="AA1209" s="1" t="str">
        <f>"راه روستائي -روكش"</f>
        <v>راه روستائي -روكش</v>
      </c>
      <c r="AB1209" s="1" t="str">
        <f>"95/12/21"</f>
        <v>95/12/21</v>
      </c>
      <c r="AC1209" s="1" t="str">
        <f>"لرستان"</f>
        <v>لرستان</v>
      </c>
      <c r="AD1209" s="1" t="str">
        <f>"95/12/23"</f>
        <v>95/12/23</v>
      </c>
      <c r="AE1209" s="1" t="str">
        <f t="shared" si="304"/>
        <v>اختتام</v>
      </c>
      <c r="AF1209" s="1" t="str">
        <f>""</f>
        <v/>
      </c>
      <c r="AG1209" s="1" t="str">
        <f>""</f>
        <v/>
      </c>
      <c r="AH1209" s="1" t="str">
        <f>""</f>
        <v/>
      </c>
      <c r="AI1209" s="1" t="str">
        <f>""</f>
        <v/>
      </c>
      <c r="AJ1209" s="1" t="str">
        <f>""</f>
        <v/>
      </c>
      <c r="AK1209" s="1" t="str">
        <f>""</f>
        <v/>
      </c>
    </row>
    <row r="1210" spans="1:37" x14ac:dyDescent="0.2">
      <c r="A1210" s="1">
        <v>78000</v>
      </c>
      <c r="B1210" s="1">
        <v>951400091</v>
      </c>
      <c r="C1210" s="1" t="str">
        <f>"تخليه خراسان رضوي مشهدجاده كلات شركت پالايش قيرزرين"</f>
        <v>تخليه خراسان رضوي مشهدجاده كلات شركت پالايش قيرزرين</v>
      </c>
      <c r="D1210" s="1">
        <v>8323</v>
      </c>
      <c r="E1210" s="1">
        <v>76740</v>
      </c>
      <c r="F1210" s="1">
        <v>95</v>
      </c>
      <c r="G1210" s="1">
        <v>1260</v>
      </c>
      <c r="H1210" s="1" t="str">
        <f>"95/08/08"</f>
        <v>95/08/08</v>
      </c>
      <c r="I1210" s="1" t="str">
        <f t="shared" si="298"/>
        <v>كيلوگرم</v>
      </c>
      <c r="J1210" s="1" t="str">
        <f t="shared" si="305"/>
        <v>0000000092</v>
      </c>
      <c r="K1210" s="1" t="str">
        <f t="shared" si="306"/>
        <v>قير  PG64-16</v>
      </c>
      <c r="L1210" s="1">
        <v>100</v>
      </c>
      <c r="M1210" s="1" t="str">
        <f t="shared" si="301"/>
        <v>مخازن قير اصفهان</v>
      </c>
      <c r="N1210" s="1">
        <v>10986</v>
      </c>
      <c r="O1210" s="1">
        <v>50032409</v>
      </c>
      <c r="P1210" s="1" t="str">
        <f>"  پوياكوه گسترخراسان"</f>
        <v xml:space="preserve">  پوياكوه گسترخراسان</v>
      </c>
      <c r="Q1210" s="1">
        <v>14</v>
      </c>
      <c r="R1210" s="1" t="str">
        <f>"فروش داخلي - وزارت راه - حوزه راه روستايي ساخت"</f>
        <v>فروش داخلي - وزارت راه - حوزه راه روستايي ساخت</v>
      </c>
      <c r="S1210" s="1" t="str">
        <f t="shared" si="299"/>
        <v>قرارداد فروش</v>
      </c>
      <c r="T1210" s="1" t="str">
        <f t="shared" si="300"/>
        <v>ندارد</v>
      </c>
      <c r="U1210" s="1" t="str">
        <f>"قره باغي مجيد(1871065)"</f>
        <v>قره باغي مجيد(1871065)</v>
      </c>
      <c r="V1210" s="1">
        <v>951400091</v>
      </c>
      <c r="W1210" s="1">
        <v>951400091</v>
      </c>
      <c r="X1210" s="1" t="str">
        <f>"1395435603"</f>
        <v>1395435603</v>
      </c>
      <c r="Y1210" s="1" t="str">
        <f>"95/08/08"</f>
        <v>95/08/08</v>
      </c>
      <c r="Z1210" s="1" t="str">
        <f>"30312/510"</f>
        <v>30312/510</v>
      </c>
      <c r="AA1210" s="1" t="str">
        <f>"راه وروستايي -ساخت"</f>
        <v>راه وروستايي -ساخت</v>
      </c>
      <c r="AB1210" s="1" t="str">
        <f>"95/06/27"</f>
        <v>95/06/27</v>
      </c>
      <c r="AC1210" s="1" t="str">
        <f>"خراسان رضوي"</f>
        <v>خراسان رضوي</v>
      </c>
      <c r="AD1210" s="1" t="str">
        <f>"95/07/13"</f>
        <v>95/07/13</v>
      </c>
      <c r="AE1210" s="1" t="str">
        <f t="shared" ref="AE1210:AE1241" si="309">"اختتام"</f>
        <v>اختتام</v>
      </c>
      <c r="AF1210" s="1" t="str">
        <f>""</f>
        <v/>
      </c>
      <c r="AG1210" s="1" t="str">
        <f>""</f>
        <v/>
      </c>
      <c r="AH1210" s="1" t="str">
        <f>""</f>
        <v/>
      </c>
      <c r="AI1210" s="1" t="str">
        <f>""</f>
        <v/>
      </c>
      <c r="AJ1210" s="1" t="str">
        <f>""</f>
        <v/>
      </c>
      <c r="AK1210" s="1" t="str">
        <f>""</f>
        <v/>
      </c>
    </row>
    <row r="1211" spans="1:37" x14ac:dyDescent="0.2">
      <c r="A1211" s="1">
        <v>100000</v>
      </c>
      <c r="B1211" s="1">
        <v>951900188</v>
      </c>
      <c r="C1211" s="1" t="str">
        <f>"تخليه -لرستان -خرم آباد-كارخانه آسفالت سپهربستر"</f>
        <v>تخليه -لرستان -خرم آباد-كارخانه آسفالت سپهربستر</v>
      </c>
      <c r="D1211" s="1">
        <v>8323</v>
      </c>
      <c r="E1211" s="1">
        <v>97280</v>
      </c>
      <c r="F1211" s="1">
        <v>95</v>
      </c>
      <c r="G1211" s="1">
        <v>2720</v>
      </c>
      <c r="H1211" s="1" t="str">
        <f>"95/08/25"</f>
        <v>95/08/25</v>
      </c>
      <c r="I1211" s="1" t="str">
        <f t="shared" si="298"/>
        <v>كيلوگرم</v>
      </c>
      <c r="J1211" s="1" t="str">
        <f t="shared" si="305"/>
        <v>0000000092</v>
      </c>
      <c r="K1211" s="1" t="str">
        <f t="shared" si="306"/>
        <v>قير  PG64-16</v>
      </c>
      <c r="L1211" s="1">
        <v>100</v>
      </c>
      <c r="M1211" s="1" t="str">
        <f t="shared" si="301"/>
        <v>مخازن قير اصفهان</v>
      </c>
      <c r="N1211" s="1">
        <v>8305</v>
      </c>
      <c r="O1211" s="1">
        <v>50032603</v>
      </c>
      <c r="P1211" s="1" t="str">
        <f>"  سپهربستر"</f>
        <v xml:space="preserve">  سپهربستر</v>
      </c>
      <c r="Q1211" s="1">
        <v>19</v>
      </c>
      <c r="R12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11" s="1" t="str">
        <f t="shared" si="299"/>
        <v>قرارداد فروش</v>
      </c>
      <c r="T1211" s="1" t="str">
        <f t="shared" si="300"/>
        <v>ندارد</v>
      </c>
      <c r="U1211" s="1" t="str">
        <f>"ريسماني حسن(1007ج89)"</f>
        <v>ريسماني حسن(1007ج89)</v>
      </c>
      <c r="V1211" s="1">
        <v>951900188</v>
      </c>
      <c r="W1211" s="1">
        <v>951900188</v>
      </c>
      <c r="X1211" s="1" t="str">
        <f>"1395445249"</f>
        <v>1395445249</v>
      </c>
      <c r="Y1211" s="1" t="str">
        <f>"95/08/25"</f>
        <v>95/08/25</v>
      </c>
      <c r="Z1211" s="1" t="str">
        <f>"39772/710"</f>
        <v>39772/710</v>
      </c>
      <c r="AA1211" s="1" t="str">
        <f>"سازمان راهداري وحمل نقل جاده اي"</f>
        <v>سازمان راهداري وحمل نقل جاده اي</v>
      </c>
      <c r="AB1211" s="1" t="str">
        <f>"95/08/15"</f>
        <v>95/08/15</v>
      </c>
      <c r="AC1211" s="1" t="str">
        <f>"لرستان"</f>
        <v>لرستان</v>
      </c>
      <c r="AD1211" s="1" t="str">
        <f>"95/08/25"</f>
        <v>95/08/25</v>
      </c>
      <c r="AE1211" s="1" t="str">
        <f t="shared" si="309"/>
        <v>اختتام</v>
      </c>
      <c r="AF1211" s="1" t="str">
        <f>""</f>
        <v/>
      </c>
      <c r="AG1211" s="1" t="str">
        <f>""</f>
        <v/>
      </c>
      <c r="AH1211" s="1" t="str">
        <f>""</f>
        <v/>
      </c>
      <c r="AI1211" s="1" t="str">
        <f>""</f>
        <v/>
      </c>
      <c r="AJ1211" s="1" t="str">
        <f>""</f>
        <v/>
      </c>
      <c r="AK1211" s="1" t="str">
        <f>""</f>
        <v/>
      </c>
    </row>
    <row r="1212" spans="1:37" x14ac:dyDescent="0.2">
      <c r="A1212" s="1">
        <v>1375000</v>
      </c>
      <c r="B1212" s="1">
        <v>951700339</v>
      </c>
      <c r="C1212" s="1" t="str">
        <f>"تخليه -لرستان -كمربندي جاده انديمشك -خرم آباد-بعدازپل باباحسين كيلومتر1جاده پيري جدكارخانه آسفالت سپهربستر"</f>
        <v>تخليه -لرستان -كمربندي جاده انديمشك -خرم آباد-بعدازپل باباحسين كيلومتر1جاده پيري جدكارخانه آسفالت سپهربستر</v>
      </c>
      <c r="D1212" s="1">
        <v>8998</v>
      </c>
      <c r="E1212" s="1">
        <v>1374160</v>
      </c>
      <c r="F1212" s="1">
        <v>95</v>
      </c>
      <c r="G1212" s="1">
        <v>840</v>
      </c>
      <c r="H1212" s="1" t="str">
        <f>"95/11/23"</f>
        <v>95/11/23</v>
      </c>
      <c r="I1212" s="1" t="str">
        <f t="shared" si="298"/>
        <v>كيلوگرم</v>
      </c>
      <c r="J1212" s="1" t="str">
        <f t="shared" si="305"/>
        <v>0000000092</v>
      </c>
      <c r="K1212" s="1" t="str">
        <f t="shared" si="306"/>
        <v>قير  PG64-16</v>
      </c>
      <c r="L1212" s="1">
        <v>100</v>
      </c>
      <c r="M1212" s="1" t="str">
        <f t="shared" si="301"/>
        <v>مخازن قير اصفهان</v>
      </c>
      <c r="N1212" s="1">
        <v>8305</v>
      </c>
      <c r="O1212" s="1">
        <v>50033661</v>
      </c>
      <c r="P1212" s="1" t="str">
        <f>"  سپهربستر"</f>
        <v xml:space="preserve">  سپهربستر</v>
      </c>
      <c r="Q1212" s="1">
        <v>17</v>
      </c>
      <c r="R1212" s="1" t="str">
        <f>"فروش داخلي تهران - وزارت راه - راه روستايي - روکش"</f>
        <v>فروش داخلي تهران - وزارت راه - راه روستايي - روکش</v>
      </c>
      <c r="S1212" s="1" t="str">
        <f t="shared" si="299"/>
        <v>قرارداد فروش</v>
      </c>
      <c r="T1212" s="1" t="str">
        <f t="shared" si="300"/>
        <v>ندارد</v>
      </c>
      <c r="U1212" s="1" t="str">
        <f>"ريسماني حسن(1007ج89)"</f>
        <v>ريسماني حسن(1007ج89)</v>
      </c>
      <c r="V1212" s="1">
        <v>951700339</v>
      </c>
      <c r="W1212" s="1">
        <v>951700339</v>
      </c>
      <c r="X1212" s="1" t="str">
        <f>"1395464388"</f>
        <v>1395464388</v>
      </c>
      <c r="Y1212" s="1" t="str">
        <f>"95/11/23"</f>
        <v>95/11/23</v>
      </c>
      <c r="Z1212" s="1" t="str">
        <f>"57459/710"</f>
        <v>57459/710</v>
      </c>
      <c r="AA1212" s="1" t="str">
        <f>"راه روستائي -روكش"</f>
        <v>راه روستائي -روكش</v>
      </c>
      <c r="AB1212" s="1" t="str">
        <f>"95/11/17"</f>
        <v>95/11/17</v>
      </c>
      <c r="AC1212" s="1" t="str">
        <f>"لرستان"</f>
        <v>لرستان</v>
      </c>
      <c r="AD1212" s="1" t="str">
        <f>"95/11/23"</f>
        <v>95/11/23</v>
      </c>
      <c r="AE1212" s="1" t="str">
        <f t="shared" si="309"/>
        <v>اختتام</v>
      </c>
      <c r="AF1212" s="1" t="str">
        <f>""</f>
        <v/>
      </c>
      <c r="AG1212" s="1" t="str">
        <f>""</f>
        <v/>
      </c>
      <c r="AH1212" s="1" t="str">
        <f>""</f>
        <v/>
      </c>
      <c r="AI1212" s="1" t="str">
        <f>""</f>
        <v/>
      </c>
      <c r="AJ1212" s="1" t="str">
        <f>""</f>
        <v/>
      </c>
      <c r="AK1212" s="1" t="str">
        <f>""</f>
        <v/>
      </c>
    </row>
    <row r="1213" spans="1:37" x14ac:dyDescent="0.2">
      <c r="A1213" s="1">
        <v>3600000</v>
      </c>
      <c r="B1213" s="1">
        <v>951000002</v>
      </c>
      <c r="C1213" s="1" t="str">
        <f>"تخليه -تبريزشركت آذربام عايق كار"</f>
        <v>تخليه -تبريزشركت آذربام عايق كار</v>
      </c>
      <c r="D1213" s="1">
        <v>6050</v>
      </c>
      <c r="E1213" s="1">
        <v>3599840</v>
      </c>
      <c r="F1213" s="1">
        <v>95</v>
      </c>
      <c r="G1213" s="1">
        <v>160</v>
      </c>
      <c r="H1213" s="1" t="str">
        <f>"95/03/09"</f>
        <v>95/03/09</v>
      </c>
      <c r="I1213" s="1" t="str">
        <f t="shared" si="298"/>
        <v>كيلوگرم</v>
      </c>
      <c r="J1213" s="1" t="str">
        <f t="shared" si="305"/>
        <v>0000000092</v>
      </c>
      <c r="K1213" s="1" t="str">
        <f t="shared" si="306"/>
        <v>قير  PG64-16</v>
      </c>
      <c r="L1213" s="1">
        <v>100</v>
      </c>
      <c r="M1213" s="1" t="str">
        <f t="shared" si="301"/>
        <v>مخازن قير اصفهان</v>
      </c>
      <c r="N1213" s="1">
        <v>11098</v>
      </c>
      <c r="O1213" s="1">
        <v>50030909</v>
      </c>
      <c r="P1213" s="1" t="str">
        <f>"  اداره كل نوسازي توسعه وتجهيزمدارس استان اصفهان"</f>
        <v xml:space="preserve">  اداره كل نوسازي توسعه وتجهيزمدارس استان اصفهان</v>
      </c>
      <c r="Q1213" s="1">
        <v>10</v>
      </c>
      <c r="R1213" s="1" t="str">
        <f>"فروش داخلي - وزارت راه - متفرقه"</f>
        <v>فروش داخلي - وزارت راه - متفرقه</v>
      </c>
      <c r="S1213" s="1" t="str">
        <f t="shared" si="299"/>
        <v>قرارداد فروش</v>
      </c>
      <c r="T1213" s="1" t="str">
        <f t="shared" si="300"/>
        <v>ندارد</v>
      </c>
      <c r="U1213" s="1" t="str">
        <f>"فتاح زاده سيداحمد(3843011)"</f>
        <v>فتاح زاده سيداحمد(3843011)</v>
      </c>
      <c r="V1213" s="1">
        <v>951000002</v>
      </c>
      <c r="W1213" s="1">
        <v>951000002</v>
      </c>
      <c r="X1213" s="1" t="str">
        <f>"1395406250"</f>
        <v>1395406250</v>
      </c>
      <c r="Y1213" s="1" t="str">
        <f>"95/03/09"</f>
        <v>95/03/09</v>
      </c>
      <c r="Z1213" s="1" t="str">
        <f>"69699/510"</f>
        <v>69699/510</v>
      </c>
      <c r="AA1213" s="1" t="str">
        <f>"متفرقه"</f>
        <v>متفرقه</v>
      </c>
      <c r="AB1213" s="1" t="str">
        <f>"94/12/19"</f>
        <v>94/12/19</v>
      </c>
      <c r="AC1213" s="1" t="str">
        <f>"استان اصفهان"</f>
        <v>استان اصفهان</v>
      </c>
      <c r="AD1213" s="1" t="str">
        <f>"95/03/08"</f>
        <v>95/03/08</v>
      </c>
      <c r="AE1213" s="1" t="str">
        <f t="shared" si="309"/>
        <v>اختتام</v>
      </c>
      <c r="AF1213" s="1" t="str">
        <f>""</f>
        <v/>
      </c>
      <c r="AG1213" s="1" t="str">
        <f>""</f>
        <v/>
      </c>
      <c r="AH1213" s="1" t="str">
        <f>""</f>
        <v/>
      </c>
      <c r="AI1213" s="1" t="str">
        <f>""</f>
        <v/>
      </c>
      <c r="AJ1213" s="1" t="str">
        <f>""</f>
        <v/>
      </c>
      <c r="AK1213" s="1" t="str">
        <f>""</f>
        <v/>
      </c>
    </row>
    <row r="1214" spans="1:37" x14ac:dyDescent="0.2">
      <c r="A1214" s="1">
        <v>24820</v>
      </c>
      <c r="B1214" s="1">
        <v>951800082</v>
      </c>
      <c r="C1214" s="1" t="str">
        <f>"تخليه يزدشهرستان قائم كيلومتر5جاده هرات شهربانك كارگاه شركت مكران"</f>
        <v>تخليه يزدشهرستان قائم كيلومتر5جاده هرات شهربانك كارگاه شركت مكران</v>
      </c>
      <c r="D1214" s="1">
        <v>8323</v>
      </c>
      <c r="E1214" s="1">
        <v>24000</v>
      </c>
      <c r="F1214" s="1">
        <v>95</v>
      </c>
      <c r="G1214" s="1">
        <v>820</v>
      </c>
      <c r="H1214" s="1" t="str">
        <f>"95/08/08"</f>
        <v>95/08/08</v>
      </c>
      <c r="I1214" s="1" t="str">
        <f t="shared" si="298"/>
        <v>كيلوگرم</v>
      </c>
      <c r="J1214" s="1" t="str">
        <f t="shared" si="305"/>
        <v>0000000092</v>
      </c>
      <c r="K1214" s="1" t="str">
        <f t="shared" si="306"/>
        <v>قير  PG64-16</v>
      </c>
      <c r="L1214" s="1">
        <v>100</v>
      </c>
      <c r="M1214" s="1" t="str">
        <f t="shared" si="301"/>
        <v>مخازن قير اصفهان</v>
      </c>
      <c r="N1214" s="1">
        <v>11141</v>
      </c>
      <c r="O1214" s="1">
        <v>50032326</v>
      </c>
      <c r="P1214" s="1" t="str">
        <f>"  راه وساختمان مكران"</f>
        <v xml:space="preserve">  راه وساختمان مكران</v>
      </c>
      <c r="Q1214" s="1">
        <v>18</v>
      </c>
      <c r="R1214" s="1" t="str">
        <f>"فروش داخلي تهران - وزارت راه - شرکت ساخت و توسعه راهها"</f>
        <v>فروش داخلي تهران - وزارت راه - شرکت ساخت و توسعه راهها</v>
      </c>
      <c r="S1214" s="1" t="str">
        <f t="shared" si="299"/>
        <v>قرارداد فروش</v>
      </c>
      <c r="T1214" s="1" t="str">
        <f t="shared" si="300"/>
        <v>ندارد</v>
      </c>
      <c r="U1214" s="1" t="str">
        <f>"پورباقري ترابر (4914036)"</f>
        <v>پورباقري ترابر (4914036)</v>
      </c>
      <c r="V1214" s="1">
        <v>951800082</v>
      </c>
      <c r="W1214" s="1">
        <v>951800082</v>
      </c>
      <c r="X1214" s="1" t="str">
        <f>"1395417777"</f>
        <v>1395417777</v>
      </c>
      <c r="Y1214" s="1" t="str">
        <f>"95/08/08"</f>
        <v>95/08/08</v>
      </c>
      <c r="Z1214" s="1" t="str">
        <f>"18146/510"</f>
        <v>18146/510</v>
      </c>
      <c r="AA1214" s="1" t="str">
        <f>"شركت  ساخت وتوسعه راهها"</f>
        <v>شركت  ساخت وتوسعه راهها</v>
      </c>
      <c r="AB1214" s="1" t="str">
        <f>"95/04/27"</f>
        <v>95/04/27</v>
      </c>
      <c r="AC1214" s="1" t="str">
        <f>"استان يزد"</f>
        <v>استان يزد</v>
      </c>
      <c r="AD1214" s="1" t="str">
        <f>"95/05/04"</f>
        <v>95/05/04</v>
      </c>
      <c r="AE1214" s="1" t="str">
        <f t="shared" si="309"/>
        <v>اختتام</v>
      </c>
      <c r="AF1214" s="1" t="str">
        <f>""</f>
        <v/>
      </c>
      <c r="AG1214" s="1" t="str">
        <f>""</f>
        <v/>
      </c>
      <c r="AH1214" s="1" t="str">
        <f>""</f>
        <v/>
      </c>
      <c r="AI1214" s="1" t="str">
        <f>""</f>
        <v/>
      </c>
      <c r="AJ1214" s="1" t="str">
        <f>""</f>
        <v/>
      </c>
      <c r="AK1214" s="1" t="str">
        <f>""</f>
        <v/>
      </c>
    </row>
    <row r="1215" spans="1:37" x14ac:dyDescent="0.2">
      <c r="A1215" s="1">
        <v>1000000</v>
      </c>
      <c r="B1215" s="1">
        <v>951800142</v>
      </c>
      <c r="C1215" s="1" t="str">
        <f>"تخليه يزدشهرستان قائم كيلومتر5جاده هرات شهربانك كارگاه شركت مكران"</f>
        <v>تخليه يزدشهرستان قائم كيلومتر5جاده هرات شهربانك كارگاه شركت مكران</v>
      </c>
      <c r="D1215" s="1">
        <v>8998</v>
      </c>
      <c r="E1215" s="1">
        <v>999240</v>
      </c>
      <c r="F1215" s="1">
        <v>95</v>
      </c>
      <c r="G1215" s="1">
        <v>760</v>
      </c>
      <c r="H1215" s="1" t="str">
        <f>"95/12/03"</f>
        <v>95/12/03</v>
      </c>
      <c r="I1215" s="1" t="str">
        <f t="shared" si="298"/>
        <v>كيلوگرم</v>
      </c>
      <c r="J1215" s="1" t="str">
        <f t="shared" si="305"/>
        <v>0000000092</v>
      </c>
      <c r="K1215" s="1" t="str">
        <f t="shared" si="306"/>
        <v>قير  PG64-16</v>
      </c>
      <c r="L1215" s="1">
        <v>100</v>
      </c>
      <c r="M1215" s="1" t="str">
        <f t="shared" si="301"/>
        <v>مخازن قير اصفهان</v>
      </c>
      <c r="N1215" s="1">
        <v>11141</v>
      </c>
      <c r="O1215" s="1">
        <v>50033827</v>
      </c>
      <c r="P1215" s="1" t="str">
        <f>"  راه وساختمان مكران"</f>
        <v xml:space="preserve">  راه وساختمان مكران</v>
      </c>
      <c r="Q1215" s="1">
        <v>18</v>
      </c>
      <c r="R1215" s="1" t="str">
        <f>"فروش داخلي تهران - وزارت راه - شرکت ساخت و توسعه راهها"</f>
        <v>فروش داخلي تهران - وزارت راه - شرکت ساخت و توسعه راهها</v>
      </c>
      <c r="S1215" s="1" t="str">
        <f t="shared" si="299"/>
        <v>قرارداد فروش</v>
      </c>
      <c r="T1215" s="1" t="str">
        <f t="shared" si="300"/>
        <v>ندارد</v>
      </c>
      <c r="U1215" s="1" t="str">
        <f>"پورباقري ترابر (4914036)"</f>
        <v>پورباقري ترابر (4914036)</v>
      </c>
      <c r="V1215" s="1">
        <v>951800142</v>
      </c>
      <c r="W1215" s="1">
        <v>951800142</v>
      </c>
      <c r="X1215" s="1" t="str">
        <f>"1395466555"</f>
        <v>1395466555</v>
      </c>
      <c r="Y1215" s="1" t="str">
        <f>"95/12/03"</f>
        <v>95/12/03</v>
      </c>
      <c r="Z1215" s="1" t="str">
        <f>"56349/710"</f>
        <v>56349/710</v>
      </c>
      <c r="AA1215" s="1" t="str">
        <f>"شركت  ساخت وتوسعه راهها"</f>
        <v>شركت  ساخت وتوسعه راهها</v>
      </c>
      <c r="AB1215" s="1" t="str">
        <f>"95/11/12"</f>
        <v>95/11/12</v>
      </c>
      <c r="AC1215" s="1" t="str">
        <f>"استان يزد"</f>
        <v>استان يزد</v>
      </c>
      <c r="AD1215" s="1" t="str">
        <f>"95/12/03"</f>
        <v>95/12/03</v>
      </c>
      <c r="AE1215" s="1" t="str">
        <f t="shared" si="309"/>
        <v>اختتام</v>
      </c>
      <c r="AF1215" s="1" t="str">
        <f>""</f>
        <v/>
      </c>
      <c r="AG1215" s="1" t="str">
        <f>""</f>
        <v/>
      </c>
      <c r="AH1215" s="1" t="str">
        <f>""</f>
        <v/>
      </c>
      <c r="AI1215" s="1" t="str">
        <f>""</f>
        <v/>
      </c>
      <c r="AJ1215" s="1" t="str">
        <f>""</f>
        <v/>
      </c>
      <c r="AK1215" s="1" t="str">
        <f>""</f>
        <v/>
      </c>
    </row>
    <row r="1216" spans="1:37" x14ac:dyDescent="0.2">
      <c r="A1216" s="1">
        <v>750000</v>
      </c>
      <c r="B1216" s="1">
        <v>951600074</v>
      </c>
      <c r="C1216" s="1" t="str">
        <f>"تخليه هرمزگان پروژه احداث بانددوم گهكم  فورك كارخانه آسفالت شركت سازه سازان سمنگان"</f>
        <v>تخليه هرمزگان پروژه احداث بانددوم گهكم  فورك كارخانه آسفالت شركت سازه سازان سمنگان</v>
      </c>
      <c r="D1216" s="1">
        <v>9061</v>
      </c>
      <c r="E1216" s="1">
        <v>748980</v>
      </c>
      <c r="F1216" s="1">
        <v>95</v>
      </c>
      <c r="G1216" s="1">
        <v>1020</v>
      </c>
      <c r="H1216" s="1" t="str">
        <f>"95/10/19"</f>
        <v>95/10/19</v>
      </c>
      <c r="I1216" s="1" t="str">
        <f t="shared" si="298"/>
        <v>كيلوگرم</v>
      </c>
      <c r="J1216" s="1" t="str">
        <f t="shared" si="305"/>
        <v>0000000092</v>
      </c>
      <c r="K1216" s="1" t="str">
        <f t="shared" si="306"/>
        <v>قير  PG64-16</v>
      </c>
      <c r="L1216" s="1">
        <v>100</v>
      </c>
      <c r="M1216" s="1" t="str">
        <f t="shared" si="301"/>
        <v>مخازن قير اصفهان</v>
      </c>
      <c r="N1216" s="1">
        <v>11212</v>
      </c>
      <c r="O1216" s="1">
        <v>50033328</v>
      </c>
      <c r="P1216" s="1" t="str">
        <f>"  راهسازي وساختماني سازه سازان سمنگان"</f>
        <v xml:space="preserve">  راهسازي وساختماني سازه سازان سمنگان</v>
      </c>
      <c r="Q1216" s="1">
        <v>16</v>
      </c>
      <c r="R1216" s="1" t="str">
        <f>"فروش داخلي تهران - وزارت راه - معاونت اقتصاد"</f>
        <v>فروش داخلي تهران - وزارت راه - معاونت اقتصاد</v>
      </c>
      <c r="S1216" s="1" t="str">
        <f t="shared" si="299"/>
        <v>قرارداد فروش</v>
      </c>
      <c r="T1216" s="1" t="str">
        <f t="shared" si="300"/>
        <v>ندارد</v>
      </c>
      <c r="U1216" s="1" t="str">
        <f>"حاصليان ترابرجنوب مرتضي حاصلي (4844006)"</f>
        <v>حاصليان ترابرجنوب مرتضي حاصلي (4844006)</v>
      </c>
      <c r="V1216" s="1">
        <v>951600074</v>
      </c>
      <c r="W1216" s="1">
        <v>951600074</v>
      </c>
      <c r="X1216" s="1" t="str">
        <f>"1395457465"</f>
        <v>1395457465</v>
      </c>
      <c r="Y1216" s="1" t="str">
        <f>"95/10/18"</f>
        <v>95/10/18</v>
      </c>
      <c r="Z1216" s="1" t="str">
        <f>"50320/710"</f>
        <v>50320/710</v>
      </c>
      <c r="AA1216" s="1" t="str">
        <f>"معاونت اقتصادوزارت راه وشهرسازي"</f>
        <v>معاونت اقتصادوزارت راه وشهرسازي</v>
      </c>
      <c r="AB1216" s="1" t="str">
        <f>"95/10/13"</f>
        <v>95/10/13</v>
      </c>
      <c r="AC1216" s="1" t="str">
        <f>"استان هرمزگان"</f>
        <v>استان هرمزگان</v>
      </c>
      <c r="AD1216" s="1" t="str">
        <f>"95/10/18"</f>
        <v>95/10/18</v>
      </c>
      <c r="AE1216" s="1" t="str">
        <f t="shared" si="309"/>
        <v>اختتام</v>
      </c>
      <c r="AF1216" s="1" t="str">
        <f>""</f>
        <v/>
      </c>
      <c r="AG1216" s="1" t="str">
        <f>""</f>
        <v/>
      </c>
      <c r="AH1216" s="1" t="str">
        <f>""</f>
        <v/>
      </c>
      <c r="AI1216" s="1" t="str">
        <f>""</f>
        <v/>
      </c>
      <c r="AJ1216" s="1" t="str">
        <f>""</f>
        <v/>
      </c>
      <c r="AK1216" s="1" t="str">
        <f>""</f>
        <v/>
      </c>
    </row>
    <row r="1217" spans="1:37" x14ac:dyDescent="0.2">
      <c r="A1217" s="1">
        <v>500000</v>
      </c>
      <c r="B1217" s="1">
        <v>951900267</v>
      </c>
      <c r="C1217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217" s="1">
        <v>8998</v>
      </c>
      <c r="E1217" s="1">
        <v>497620</v>
      </c>
      <c r="F1217" s="1">
        <v>95</v>
      </c>
      <c r="G1217" s="1">
        <v>2380</v>
      </c>
      <c r="H1217" s="1" t="str">
        <f>"95/12/09"</f>
        <v>95/12/09</v>
      </c>
      <c r="I1217" s="1" t="str">
        <f t="shared" si="298"/>
        <v>كيلوگرم</v>
      </c>
      <c r="J1217" s="1" t="str">
        <f t="shared" si="305"/>
        <v>0000000092</v>
      </c>
      <c r="K1217" s="1" t="str">
        <f t="shared" si="306"/>
        <v>قير  PG64-16</v>
      </c>
      <c r="L1217" s="1">
        <v>100</v>
      </c>
      <c r="M1217" s="1" t="str">
        <f t="shared" si="301"/>
        <v>مخازن قير اصفهان</v>
      </c>
      <c r="N1217" s="1">
        <v>11212</v>
      </c>
      <c r="O1217" s="1">
        <v>50033918</v>
      </c>
      <c r="P1217" s="1" t="str">
        <f>"  راهسازي وساختماني سازه سازان سمنگان"</f>
        <v xml:space="preserve">  راهسازي وساختماني سازه سازان سمنگان</v>
      </c>
      <c r="Q1217" s="1">
        <v>19</v>
      </c>
      <c r="R12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17" s="1" t="str">
        <f t="shared" si="299"/>
        <v>قرارداد فروش</v>
      </c>
      <c r="T1217" s="1" t="str">
        <f t="shared" si="300"/>
        <v>ندارد</v>
      </c>
      <c r="U1217" s="1" t="str">
        <f>"حاصليان ترابرجنوب مرتضي حاصلي (4844006)"</f>
        <v>حاصليان ترابرجنوب مرتضي حاصلي (4844006)</v>
      </c>
      <c r="V1217" s="1">
        <v>951900267</v>
      </c>
      <c r="W1217" s="1">
        <v>951900267</v>
      </c>
      <c r="X1217" s="1" t="str">
        <f>"1395467971"</f>
        <v>1395467971</v>
      </c>
      <c r="Y1217" s="1" t="str">
        <f>"95/12/09"</f>
        <v>95/12/09</v>
      </c>
      <c r="Z1217" s="1" t="str">
        <f>"61928/710"</f>
        <v>61928/710</v>
      </c>
      <c r="AA1217" s="1" t="str">
        <f>"سازمان راهداري وحمل نقل جاده اي"</f>
        <v>سازمان راهداري وحمل نقل جاده اي</v>
      </c>
      <c r="AB1217" s="1" t="str">
        <f>"95/12/08"</f>
        <v>95/12/08</v>
      </c>
      <c r="AC1217" s="1" t="str">
        <f>"استان هرمزگان"</f>
        <v>استان هرمزگان</v>
      </c>
      <c r="AD1217" s="1" t="str">
        <f>"95/12/09"</f>
        <v>95/12/09</v>
      </c>
      <c r="AE1217" s="1" t="str">
        <f t="shared" si="309"/>
        <v>اختتام</v>
      </c>
      <c r="AF1217" s="1" t="str">
        <f>""</f>
        <v/>
      </c>
      <c r="AG1217" s="1" t="str">
        <f>""</f>
        <v/>
      </c>
      <c r="AH1217" s="1" t="str">
        <f>""</f>
        <v/>
      </c>
      <c r="AI1217" s="1" t="str">
        <f>""</f>
        <v/>
      </c>
      <c r="AJ1217" s="1" t="str">
        <f>""</f>
        <v/>
      </c>
      <c r="AK1217" s="1" t="str">
        <f>""</f>
        <v/>
      </c>
    </row>
    <row r="1218" spans="1:37" x14ac:dyDescent="0.2">
      <c r="A1218" s="1">
        <v>1000000</v>
      </c>
      <c r="B1218" s="1">
        <v>951900287</v>
      </c>
      <c r="C1218" s="1" t="str">
        <f>"تخليه ايرانشهركيلومتر10جاده خاش كارخانه آسفالت آبخيزراه ايرانشهر"</f>
        <v>تخليه ايرانشهركيلومتر10جاده خاش كارخانه آسفالت آبخيزراه ايرانشهر</v>
      </c>
      <c r="D1218" s="1">
        <v>9354</v>
      </c>
      <c r="E1218" s="1">
        <v>999560</v>
      </c>
      <c r="F1218" s="1">
        <v>95</v>
      </c>
      <c r="G1218" s="1">
        <v>440</v>
      </c>
      <c r="H1218" s="1" t="str">
        <f>"95/12/17"</f>
        <v>95/12/17</v>
      </c>
      <c r="I1218" s="1" t="str">
        <f t="shared" ref="I1218:I1281" si="310">"كيلوگرم"</f>
        <v>كيلوگرم</v>
      </c>
      <c r="J1218" s="1" t="str">
        <f t="shared" si="305"/>
        <v>0000000092</v>
      </c>
      <c r="K1218" s="1" t="str">
        <f t="shared" si="306"/>
        <v>قير  PG64-16</v>
      </c>
      <c r="L1218" s="1">
        <v>100</v>
      </c>
      <c r="M1218" s="1" t="str">
        <f t="shared" si="301"/>
        <v>مخازن قير اصفهان</v>
      </c>
      <c r="N1218" s="1">
        <v>8366</v>
      </c>
      <c r="O1218" s="1">
        <v>50034028</v>
      </c>
      <c r="P1218" s="1" t="str">
        <f>"  آبخيزراه ايرانشهر"</f>
        <v xml:space="preserve">  آبخيزراه ايرانشهر</v>
      </c>
      <c r="Q1218" s="1">
        <v>19</v>
      </c>
      <c r="R12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18" s="1" t="str">
        <f t="shared" ref="S1218:S1281" si="311">"قرارداد فروش"</f>
        <v>قرارداد فروش</v>
      </c>
      <c r="T1218" s="1" t="str">
        <f t="shared" ref="T1218:T1281" si="312">"ندارد"</f>
        <v>ندارد</v>
      </c>
      <c r="U1218" s="1" t="str">
        <f>"پورباقري ترابر (4914036)"</f>
        <v>پورباقري ترابر (4914036)</v>
      </c>
      <c r="V1218" s="1">
        <v>951900287</v>
      </c>
      <c r="W1218" s="1">
        <v>951900287</v>
      </c>
      <c r="X1218" s="1" t="str">
        <f>"1395469191"</f>
        <v>1395469191</v>
      </c>
      <c r="Y1218" s="1" t="str">
        <f>"95/12/17"</f>
        <v>95/12/17</v>
      </c>
      <c r="Z1218" s="1" t="str">
        <f>"62384/710"</f>
        <v>62384/710</v>
      </c>
      <c r="AA1218" s="1" t="str">
        <f>"سازمان راهداري وحمل نقل جاده اي"</f>
        <v>سازمان راهداري وحمل نقل جاده اي</v>
      </c>
      <c r="AB1218" s="1" t="str">
        <f>"95/12/09"</f>
        <v>95/12/09</v>
      </c>
      <c r="AC1218" s="1" t="str">
        <f>"ايرانشهر"</f>
        <v>ايرانشهر</v>
      </c>
      <c r="AD1218" s="1" t="str">
        <f>"95/12/16"</f>
        <v>95/12/16</v>
      </c>
      <c r="AE1218" s="1" t="str">
        <f t="shared" si="309"/>
        <v>اختتام</v>
      </c>
      <c r="AF1218" s="1" t="str">
        <f>""</f>
        <v/>
      </c>
      <c r="AG1218" s="1" t="str">
        <f>""</f>
        <v/>
      </c>
      <c r="AH1218" s="1" t="str">
        <f>""</f>
        <v/>
      </c>
      <c r="AI1218" s="1" t="str">
        <f>""</f>
        <v/>
      </c>
      <c r="AJ1218" s="1" t="str">
        <f>""</f>
        <v/>
      </c>
      <c r="AK1218" s="1" t="str">
        <f>""</f>
        <v/>
      </c>
    </row>
    <row r="1219" spans="1:37" x14ac:dyDescent="0.2">
      <c r="A1219" s="1">
        <v>500000</v>
      </c>
      <c r="B1219" s="1">
        <v>951900130</v>
      </c>
      <c r="C1219" s="1" t="str">
        <f>"تخليه -اصفهان -قم كيلومتر10جاده كوه سفيدجنب پل آبنماكارخانه آرين پي سهند"</f>
        <v>تخليه -اصفهان -قم كيلومتر10جاده كوه سفيدجنب پل آبنماكارخانه آرين پي سهند</v>
      </c>
      <c r="D1219" s="1">
        <v>7176</v>
      </c>
      <c r="E1219" s="1">
        <v>498260</v>
      </c>
      <c r="F1219" s="1">
        <v>95</v>
      </c>
      <c r="G1219" s="1">
        <v>1740</v>
      </c>
      <c r="H1219" s="1" t="str">
        <f>"95/06/04"</f>
        <v>95/06/04</v>
      </c>
      <c r="I1219" s="1" t="str">
        <f t="shared" si="310"/>
        <v>كيلوگرم</v>
      </c>
      <c r="J1219" s="1" t="str">
        <f t="shared" si="305"/>
        <v>0000000092</v>
      </c>
      <c r="K1219" s="1" t="str">
        <f t="shared" si="306"/>
        <v>قير  PG64-16</v>
      </c>
      <c r="L1219" s="1">
        <v>100</v>
      </c>
      <c r="M1219" s="1" t="str">
        <f t="shared" si="301"/>
        <v>مخازن قير اصفهان</v>
      </c>
      <c r="N1219" s="1">
        <v>8508</v>
      </c>
      <c r="O1219" s="1">
        <v>50031629</v>
      </c>
      <c r="P1219" s="1" t="str">
        <f>"  آزادراه اميركبير"</f>
        <v xml:space="preserve">  آزادراه اميركبير</v>
      </c>
      <c r="Q1219" s="1">
        <v>19</v>
      </c>
      <c r="R121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19" s="1" t="str">
        <f t="shared" si="311"/>
        <v>قرارداد فروش</v>
      </c>
      <c r="T1219" s="1" t="str">
        <f t="shared" si="312"/>
        <v>ندارد</v>
      </c>
      <c r="U1219" s="1" t="str">
        <f>"اميري علي(2842011)"</f>
        <v>اميري علي(2842011)</v>
      </c>
      <c r="V1219" s="1">
        <v>951900130</v>
      </c>
      <c r="W1219" s="1">
        <v>951900130</v>
      </c>
      <c r="X1219" s="1" t="str">
        <f>"1395426744"</f>
        <v>1395426744</v>
      </c>
      <c r="Y1219" s="1" t="str">
        <f>"95/06/04"</f>
        <v>95/06/04</v>
      </c>
      <c r="Z1219" s="1" t="str">
        <f>"24791/510"</f>
        <v>24791/510</v>
      </c>
      <c r="AA1219" s="1" t="str">
        <f>"سازمان راهداري وحمل نقل جاده اي"</f>
        <v>سازمان راهداري وحمل نقل جاده اي</v>
      </c>
      <c r="AB1219" s="1" t="str">
        <f>"95/05/31"</f>
        <v>95/05/31</v>
      </c>
      <c r="AC1219" s="1" t="str">
        <f>"استان اصفهان"</f>
        <v>استان اصفهان</v>
      </c>
      <c r="AD1219" s="1" t="str">
        <f>"95/06/03"</f>
        <v>95/06/03</v>
      </c>
      <c r="AE1219" s="1" t="str">
        <f t="shared" si="309"/>
        <v>اختتام</v>
      </c>
      <c r="AF1219" s="1" t="str">
        <f>""</f>
        <v/>
      </c>
      <c r="AG1219" s="1" t="str">
        <f>""</f>
        <v/>
      </c>
      <c r="AH1219" s="1" t="str">
        <f>""</f>
        <v/>
      </c>
      <c r="AI1219" s="1" t="str">
        <f>""</f>
        <v/>
      </c>
      <c r="AJ1219" s="1" t="str">
        <f>""</f>
        <v/>
      </c>
      <c r="AK1219" s="1" t="str">
        <f>""</f>
        <v/>
      </c>
    </row>
    <row r="1220" spans="1:37" x14ac:dyDescent="0.2">
      <c r="A1220" s="1">
        <v>1000000</v>
      </c>
      <c r="B1220" s="1">
        <v>951800039</v>
      </c>
      <c r="C1220" s="1" t="str">
        <f>"تخليه -خرم آباد -آزادراه خرم آباد-پل زال"</f>
        <v>تخليه -خرم آباد -آزادراه خرم آباد-پل زال</v>
      </c>
      <c r="D1220" s="1">
        <v>6726</v>
      </c>
      <c r="E1220" s="1">
        <v>1000000</v>
      </c>
      <c r="F1220" s="1">
        <v>95</v>
      </c>
      <c r="G1220" s="1">
        <v>0</v>
      </c>
      <c r="H1220" s="1" t="str">
        <f>"95/05/13"</f>
        <v>95/05/13</v>
      </c>
      <c r="I1220" s="1" t="str">
        <f t="shared" si="310"/>
        <v>كيلوگرم</v>
      </c>
      <c r="J1220" s="1" t="str">
        <f t="shared" si="305"/>
        <v>0000000092</v>
      </c>
      <c r="K1220" s="1" t="str">
        <f t="shared" si="306"/>
        <v>قير  PG64-16</v>
      </c>
      <c r="L1220" s="1">
        <v>100</v>
      </c>
      <c r="M1220" s="1" t="str">
        <f t="shared" si="301"/>
        <v>مخازن قير اصفهان</v>
      </c>
      <c r="N1220" s="1">
        <v>8798</v>
      </c>
      <c r="O1220" s="1">
        <v>50031422</v>
      </c>
      <c r="P1220" s="1" t="str">
        <f>"  احداث نگهداري وبهره برداري آزادراه خرم آباد-پل زال"</f>
        <v xml:space="preserve">  احداث نگهداري وبهره برداري آزادراه خرم آباد-پل زال</v>
      </c>
      <c r="Q1220" s="1">
        <v>18</v>
      </c>
      <c r="R1220" s="1" t="str">
        <f>"فروش داخلي تهران - وزارت راه - شرکت ساخت و توسعه راهها"</f>
        <v>فروش داخلي تهران - وزارت راه - شرکت ساخت و توسعه راهها</v>
      </c>
      <c r="S1220" s="1" t="str">
        <f t="shared" si="311"/>
        <v>قرارداد فروش</v>
      </c>
      <c r="T1220" s="1" t="str">
        <f t="shared" si="312"/>
        <v>ندارد</v>
      </c>
      <c r="U1220" s="1" t="str">
        <f>"فتاح زاده سيداحمد(3843011)"</f>
        <v>فتاح زاده سيداحمد(3843011)</v>
      </c>
      <c r="V1220" s="1">
        <v>951800039</v>
      </c>
      <c r="W1220" s="1">
        <v>951800039</v>
      </c>
      <c r="X1220" s="1" t="str">
        <f>"1395421157"</f>
        <v>1395421157</v>
      </c>
      <c r="Y1220" s="1" t="str">
        <f>"95/05/13"</f>
        <v>95/05/13</v>
      </c>
      <c r="Z1220" s="1" t="str">
        <f>"20823/510"</f>
        <v>20823/510</v>
      </c>
      <c r="AA1220" s="1" t="str">
        <f>"شركت  ساخت وتوسعه راهها"</f>
        <v>شركت  ساخت وتوسعه راهها</v>
      </c>
      <c r="AB1220" s="1" t="str">
        <f>"95/05/11"</f>
        <v>95/05/11</v>
      </c>
      <c r="AC1220" s="1" t="str">
        <f>"لرستان"</f>
        <v>لرستان</v>
      </c>
      <c r="AD1220" s="1" t="str">
        <f>"95/05/13"</f>
        <v>95/05/13</v>
      </c>
      <c r="AE1220" s="1" t="str">
        <f t="shared" si="309"/>
        <v>اختتام</v>
      </c>
      <c r="AF1220" s="1" t="str">
        <f>""</f>
        <v/>
      </c>
      <c r="AG1220" s="1" t="str">
        <f>""</f>
        <v/>
      </c>
      <c r="AH1220" s="1" t="str">
        <f>""</f>
        <v/>
      </c>
      <c r="AI1220" s="1" t="str">
        <f>""</f>
        <v/>
      </c>
      <c r="AJ1220" s="1" t="str">
        <f>""</f>
        <v/>
      </c>
      <c r="AK1220" s="1" t="str">
        <f>""</f>
        <v/>
      </c>
    </row>
    <row r="1221" spans="1:37" x14ac:dyDescent="0.2">
      <c r="A1221" s="1">
        <v>124000</v>
      </c>
      <c r="B1221" s="1">
        <v>951400114</v>
      </c>
      <c r="C1221" s="1" t="str">
        <f>"تخليه كرمان جنوب جاده رودان كهنوج بعدازدوراهي منوجان كارخانه آسفالت شركت پي و پل جنوب"</f>
        <v>تخليه كرمان جنوب جاده رودان كهنوج بعدازدوراهي منوجان كارخانه آسفالت شركت پي و پل جنوب</v>
      </c>
      <c r="D1221" s="1">
        <v>9061</v>
      </c>
      <c r="E1221" s="1">
        <v>123860</v>
      </c>
      <c r="F1221" s="1">
        <v>95</v>
      </c>
      <c r="G1221" s="1">
        <v>140</v>
      </c>
      <c r="H1221" s="1" t="str">
        <f>"95/10/13"</f>
        <v>95/10/13</v>
      </c>
      <c r="I1221" s="1" t="str">
        <f t="shared" si="310"/>
        <v>كيلوگرم</v>
      </c>
      <c r="J1221" s="1" t="str">
        <f t="shared" si="305"/>
        <v>0000000092</v>
      </c>
      <c r="K1221" s="1" t="str">
        <f t="shared" si="306"/>
        <v>قير  PG64-16</v>
      </c>
      <c r="L1221" s="1">
        <v>100</v>
      </c>
      <c r="M1221" s="1" t="str">
        <f t="shared" si="301"/>
        <v>مخازن قير اصفهان</v>
      </c>
      <c r="N1221" s="1">
        <v>11229</v>
      </c>
      <c r="O1221" s="1">
        <v>50033258</v>
      </c>
      <c r="P1221" s="1" t="str">
        <f>"  راهسازان فرازپي پايتخت"</f>
        <v xml:space="preserve">  راهسازان فرازپي پايتخت</v>
      </c>
      <c r="Q1221" s="1">
        <v>14</v>
      </c>
      <c r="R1221" s="1" t="str">
        <f>"فروش داخلي - وزارت راه - حوزه راه روستايي ساخت"</f>
        <v>فروش داخلي - وزارت راه - حوزه راه روستايي ساخت</v>
      </c>
      <c r="S1221" s="1" t="str">
        <f t="shared" si="311"/>
        <v>قرارداد فروش</v>
      </c>
      <c r="T1221" s="1" t="str">
        <f t="shared" si="312"/>
        <v>ندارد</v>
      </c>
      <c r="U1221" s="1" t="str">
        <f>"قره باغي مجيد(1871065)"</f>
        <v>قره باغي مجيد(1871065)</v>
      </c>
      <c r="V1221" s="1">
        <v>951400114</v>
      </c>
      <c r="W1221" s="1">
        <v>951400114</v>
      </c>
      <c r="X1221" s="1" t="str">
        <f>"1395456222"</f>
        <v>1395456222</v>
      </c>
      <c r="Y1221" s="1" t="str">
        <f>"95/10/12"</f>
        <v>95/10/12</v>
      </c>
      <c r="Z1221" s="1" t="str">
        <f>"48982/710"</f>
        <v>48982/710</v>
      </c>
      <c r="AA1221" s="1" t="str">
        <f>"راه وروستايي -ساخت"</f>
        <v>راه وروستايي -ساخت</v>
      </c>
      <c r="AB1221" s="1" t="str">
        <f>"95/10/06"</f>
        <v>95/10/06</v>
      </c>
      <c r="AC1221" s="1" t="str">
        <f>"جنوب کرمان"</f>
        <v>جنوب کرمان</v>
      </c>
      <c r="AD1221" s="1" t="str">
        <f>"95/10/12"</f>
        <v>95/10/12</v>
      </c>
      <c r="AE1221" s="1" t="str">
        <f t="shared" si="309"/>
        <v>اختتام</v>
      </c>
      <c r="AF1221" s="1" t="str">
        <f>""</f>
        <v/>
      </c>
      <c r="AG1221" s="1" t="str">
        <f>""</f>
        <v/>
      </c>
      <c r="AH1221" s="1" t="str">
        <f>""</f>
        <v/>
      </c>
      <c r="AI1221" s="1" t="str">
        <f>""</f>
        <v/>
      </c>
      <c r="AJ1221" s="1" t="str">
        <f>""</f>
        <v/>
      </c>
      <c r="AK1221" s="1" t="str">
        <f>""</f>
        <v/>
      </c>
    </row>
    <row r="1222" spans="1:37" x14ac:dyDescent="0.2">
      <c r="A1222" s="1">
        <v>1000000</v>
      </c>
      <c r="B1222" s="1">
        <v>951400124</v>
      </c>
      <c r="C1222" s="1" t="str">
        <f>"تخليه پروژه خريدواجراي آسفالت راههاي روستايي حوزه حاجي آبادكارخانه آسفالت شركت سازه سازان سمنگان"</f>
        <v>تخليه پروژه خريدواجراي آسفالت راههاي روستايي حوزه حاجي آبادكارخانه آسفالت شركت سازه سازان سمنگان</v>
      </c>
      <c r="D1222" s="1">
        <v>9061</v>
      </c>
      <c r="E1222" s="1">
        <v>998780</v>
      </c>
      <c r="F1222" s="1">
        <v>95</v>
      </c>
      <c r="G1222" s="1">
        <v>1220</v>
      </c>
      <c r="H1222" s="1" t="str">
        <f>"95/10/20"</f>
        <v>95/10/20</v>
      </c>
      <c r="I1222" s="1" t="str">
        <f t="shared" si="310"/>
        <v>كيلوگرم</v>
      </c>
      <c r="J1222" s="1" t="str">
        <f t="shared" si="305"/>
        <v>0000000092</v>
      </c>
      <c r="K1222" s="1" t="str">
        <f t="shared" si="306"/>
        <v>قير  PG64-16</v>
      </c>
      <c r="L1222" s="1">
        <v>100</v>
      </c>
      <c r="M1222" s="1" t="str">
        <f t="shared" si="301"/>
        <v>مخازن قير اصفهان</v>
      </c>
      <c r="N1222" s="1">
        <v>11233</v>
      </c>
      <c r="O1222" s="1">
        <v>50033334</v>
      </c>
      <c r="P1222" s="1" t="str">
        <f>"  پي سازه هرسين"</f>
        <v xml:space="preserve">  پي سازه هرسين</v>
      </c>
      <c r="Q1222" s="1">
        <v>14</v>
      </c>
      <c r="R1222" s="1" t="str">
        <f>"فروش داخلي - وزارت راه - حوزه راه روستايي ساخت"</f>
        <v>فروش داخلي - وزارت راه - حوزه راه روستايي ساخت</v>
      </c>
      <c r="S1222" s="1" t="str">
        <f t="shared" si="311"/>
        <v>قرارداد فروش</v>
      </c>
      <c r="T1222" s="1" t="str">
        <f t="shared" si="312"/>
        <v>ندارد</v>
      </c>
      <c r="U1222" s="1" t="str">
        <f>"حاصليان ترابرجنوب مرتضي حاصلي (4844006)"</f>
        <v>حاصليان ترابرجنوب مرتضي حاصلي (4844006)</v>
      </c>
      <c r="V1222" s="1">
        <v>951400124</v>
      </c>
      <c r="W1222" s="1">
        <v>951400124</v>
      </c>
      <c r="X1222" s="1" t="str">
        <f>"1395457634"</f>
        <v>1395457634</v>
      </c>
      <c r="Y1222" s="1" t="str">
        <f>"95/10/20"</f>
        <v>95/10/20</v>
      </c>
      <c r="Z1222" s="1" t="str">
        <f>"50588/710"</f>
        <v>50588/710</v>
      </c>
      <c r="AA1222" s="1" t="str">
        <f>"راه وروستايي -ساخت"</f>
        <v>راه وروستايي -ساخت</v>
      </c>
      <c r="AB1222" s="1" t="str">
        <f>"95/10/14"</f>
        <v>95/10/14</v>
      </c>
      <c r="AC1222" s="1" t="str">
        <f>"استان هرمزگان"</f>
        <v>استان هرمزگان</v>
      </c>
      <c r="AD1222" s="1" t="str">
        <f>"95/10/19"</f>
        <v>95/10/19</v>
      </c>
      <c r="AE1222" s="1" t="str">
        <f t="shared" si="309"/>
        <v>اختتام</v>
      </c>
      <c r="AF1222" s="1" t="str">
        <f>""</f>
        <v/>
      </c>
      <c r="AG1222" s="1" t="str">
        <f>""</f>
        <v/>
      </c>
      <c r="AH1222" s="1" t="str">
        <f>""</f>
        <v/>
      </c>
      <c r="AI1222" s="1" t="str">
        <f>""</f>
        <v/>
      </c>
      <c r="AJ1222" s="1" t="str">
        <f>""</f>
        <v/>
      </c>
      <c r="AK1222" s="1" t="str">
        <f>""</f>
        <v/>
      </c>
    </row>
    <row r="1223" spans="1:37" x14ac:dyDescent="0.2">
      <c r="A1223" s="1">
        <v>400000</v>
      </c>
      <c r="B1223" s="1">
        <v>951900295</v>
      </c>
      <c r="C1223" s="1" t="str">
        <f>"تخليه لرستان خرم آبادكيلومتر50محورخرم آبادكوهدشت بعدازپل كشكان شركت آبادگران راه خرم"</f>
        <v>تخليه لرستان خرم آبادكيلومتر50محورخرم آبادكوهدشت بعدازپل كشكان شركت آبادگران راه خرم</v>
      </c>
      <c r="D1223" s="1">
        <v>8348</v>
      </c>
      <c r="E1223" s="1">
        <v>399380</v>
      </c>
      <c r="F1223" s="1">
        <v>95</v>
      </c>
      <c r="G1223" s="1">
        <v>620</v>
      </c>
      <c r="H1223" s="1" t="str">
        <f>"95/12/19"</f>
        <v>95/12/19</v>
      </c>
      <c r="I1223" s="1" t="str">
        <f t="shared" si="310"/>
        <v>كيلوگرم</v>
      </c>
      <c r="J1223" s="1" t="str">
        <f t="shared" si="305"/>
        <v>0000000092</v>
      </c>
      <c r="K1223" s="1" t="str">
        <f t="shared" si="306"/>
        <v>قير  PG64-16</v>
      </c>
      <c r="L1223" s="1">
        <v>100</v>
      </c>
      <c r="M1223" s="1" t="str">
        <f t="shared" si="301"/>
        <v>مخازن قير اصفهان</v>
      </c>
      <c r="N1223" s="1">
        <v>11295</v>
      </c>
      <c r="O1223" s="1">
        <v>50034101</v>
      </c>
      <c r="P1223" s="1" t="str">
        <f>"  اداره كل راهداري وحمل ونقل جاده اي لرستان"</f>
        <v xml:space="preserve">  اداره كل راهداري وحمل ونقل جاده اي لرستان</v>
      </c>
      <c r="Q1223" s="1">
        <v>19</v>
      </c>
      <c r="R12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23" s="1" t="str">
        <f t="shared" si="311"/>
        <v>قرارداد فروش</v>
      </c>
      <c r="T1223" s="1" t="str">
        <f t="shared" si="312"/>
        <v>ندارد</v>
      </c>
      <c r="U1223" s="1" t="str">
        <f>"ريسماني حسن(1007ج89)"</f>
        <v>ريسماني حسن(1007ج89)</v>
      </c>
      <c r="V1223" s="1">
        <v>951900295</v>
      </c>
      <c r="W1223" s="1">
        <v>951900295</v>
      </c>
      <c r="X1223" s="1" t="str">
        <f>"1395470074"</f>
        <v>1395470074</v>
      </c>
      <c r="Y1223" s="1" t="str">
        <f>"95/12/19"</f>
        <v>95/12/19</v>
      </c>
      <c r="Z1223" s="1" t="str">
        <f>"64843/710"</f>
        <v>64843/710</v>
      </c>
      <c r="AA1223" s="1" t="str">
        <f>"سازمان راهداري وحمل نقل جاده اي"</f>
        <v>سازمان راهداري وحمل نقل جاده اي</v>
      </c>
      <c r="AB1223" s="1" t="str">
        <f>"95/12/17"</f>
        <v>95/12/17</v>
      </c>
      <c r="AC1223" s="1" t="str">
        <f>"لرستان"</f>
        <v>لرستان</v>
      </c>
      <c r="AD1223" s="1" t="str">
        <f>"95/12/18"</f>
        <v>95/12/18</v>
      </c>
      <c r="AE1223" s="1" t="str">
        <f t="shared" si="309"/>
        <v>اختتام</v>
      </c>
      <c r="AF1223" s="1" t="str">
        <f>""</f>
        <v/>
      </c>
      <c r="AG1223" s="1" t="str">
        <f>""</f>
        <v/>
      </c>
      <c r="AH1223" s="1" t="str">
        <f>""</f>
        <v/>
      </c>
      <c r="AI1223" s="1" t="str">
        <f>""</f>
        <v/>
      </c>
      <c r="AJ1223" s="1" t="str">
        <f>""</f>
        <v/>
      </c>
      <c r="AK1223" s="1" t="str">
        <f>""</f>
        <v/>
      </c>
    </row>
    <row r="1224" spans="1:37" x14ac:dyDescent="0.2">
      <c r="A1224" s="1">
        <v>1632000</v>
      </c>
      <c r="B1224" s="1">
        <v>951400016</v>
      </c>
      <c r="C1224" s="1" t="str">
        <f>"تخليه 100كيلومترمانده به چابهار-محورجكيگور-چابهار-فني مهندسي راهدارصنعت"</f>
        <v>تخليه 100كيلومترمانده به چابهار-محورجكيگور-چابهار-فني مهندسي راهدارصنعت</v>
      </c>
      <c r="D1224" s="1">
        <v>6050</v>
      </c>
      <c r="E1224" s="1">
        <v>1556660</v>
      </c>
      <c r="F1224" s="1">
        <v>95</v>
      </c>
      <c r="G1224" s="1">
        <v>75340</v>
      </c>
      <c r="H1224" s="1" t="str">
        <f>"95/03/22"</f>
        <v>95/03/22</v>
      </c>
      <c r="I1224" s="1" t="str">
        <f t="shared" si="310"/>
        <v>كيلوگرم</v>
      </c>
      <c r="J1224" s="1" t="str">
        <f t="shared" si="305"/>
        <v>0000000092</v>
      </c>
      <c r="K1224" s="1" t="str">
        <f t="shared" si="306"/>
        <v>قير  PG64-16</v>
      </c>
      <c r="L1224" s="1">
        <v>100</v>
      </c>
      <c r="M1224" s="1" t="str">
        <f t="shared" ref="M1224:M1287" si="313">"مخازن قير اصفهان"</f>
        <v>مخازن قير اصفهان</v>
      </c>
      <c r="N1224" s="1">
        <v>9406</v>
      </c>
      <c r="O1224" s="1">
        <v>50031032</v>
      </c>
      <c r="P1224" s="1" t="str">
        <f>"  فني مهندسي راهدارصنعت"</f>
        <v xml:space="preserve">  فني مهندسي راهدارصنعت</v>
      </c>
      <c r="Q1224" s="1">
        <v>14</v>
      </c>
      <c r="R1224" s="1" t="str">
        <f>"فروش داخلي - وزارت راه - حوزه راه روستايي ساخت"</f>
        <v>فروش داخلي - وزارت راه - حوزه راه روستايي ساخت</v>
      </c>
      <c r="S1224" s="1" t="str">
        <f t="shared" si="311"/>
        <v>قرارداد فروش</v>
      </c>
      <c r="T1224" s="1" t="str">
        <f t="shared" si="312"/>
        <v>ندارد</v>
      </c>
      <c r="U1224" s="1" t="str">
        <f>"شهبازي محمدرضا(1029ج89)"</f>
        <v>شهبازي محمدرضا(1029ج89)</v>
      </c>
      <c r="V1224" s="1">
        <v>951400016</v>
      </c>
      <c r="W1224" s="1">
        <v>951400016</v>
      </c>
      <c r="X1224" s="1" t="str">
        <f>"1395408770"</f>
        <v>1395408770</v>
      </c>
      <c r="Y1224" s="1" t="str">
        <f>"95/03/22"</f>
        <v>95/03/22</v>
      </c>
      <c r="Z1224" s="1" t="str">
        <f>"11093/510"</f>
        <v>11093/510</v>
      </c>
      <c r="AA1224" s="1" t="str">
        <f>"راه وروستايي -ساخت"</f>
        <v>راه وروستايي -ساخت</v>
      </c>
      <c r="AB1224" s="1" t="str">
        <f>"95/03/18"</f>
        <v>95/03/18</v>
      </c>
      <c r="AC1224" s="1" t="str">
        <f>"ايرانشهر"</f>
        <v>ايرانشهر</v>
      </c>
      <c r="AD1224" s="1" t="str">
        <f>"95/03/22"</f>
        <v>95/03/22</v>
      </c>
      <c r="AE1224" s="1" t="str">
        <f t="shared" si="309"/>
        <v>اختتام</v>
      </c>
      <c r="AF1224" s="1" t="str">
        <f>""</f>
        <v/>
      </c>
      <c r="AG1224" s="1" t="str">
        <f>""</f>
        <v/>
      </c>
      <c r="AH1224" s="1" t="str">
        <f>""</f>
        <v/>
      </c>
      <c r="AI1224" s="1" t="str">
        <f>""</f>
        <v/>
      </c>
      <c r="AJ1224" s="1" t="str">
        <f>""</f>
        <v/>
      </c>
      <c r="AK1224" s="1" t="str">
        <f>""</f>
        <v/>
      </c>
    </row>
    <row r="1225" spans="1:37" x14ac:dyDescent="0.2">
      <c r="A1225" s="1">
        <v>500000</v>
      </c>
      <c r="B1225" s="1">
        <v>951800043</v>
      </c>
      <c r="C1225" s="1" t="str">
        <f>"تخليه -اصفهان -داران -سه راه فريدون شهر-كيلومتريك به سمت بوئين مياندشت"</f>
        <v>تخليه -اصفهان -داران -سه راه فريدون شهر-كيلومتريك به سمت بوئين مياندشت</v>
      </c>
      <c r="D1225" s="1">
        <v>6726</v>
      </c>
      <c r="E1225" s="1">
        <v>499500</v>
      </c>
      <c r="F1225" s="1">
        <v>95</v>
      </c>
      <c r="G1225" s="1">
        <v>500</v>
      </c>
      <c r="H1225" s="1" t="str">
        <f>"95/05/17"</f>
        <v>95/05/17</v>
      </c>
      <c r="I1225" s="1" t="str">
        <f t="shared" si="310"/>
        <v>كيلوگرم</v>
      </c>
      <c r="J1225" s="1" t="str">
        <f t="shared" si="305"/>
        <v>0000000092</v>
      </c>
      <c r="K1225" s="1" t="str">
        <f t="shared" si="306"/>
        <v>قير  PG64-16</v>
      </c>
      <c r="L1225" s="1">
        <v>100</v>
      </c>
      <c r="M1225" s="1" t="str">
        <f t="shared" si="313"/>
        <v>مخازن قير اصفهان</v>
      </c>
      <c r="N1225" s="1">
        <v>9639</v>
      </c>
      <c r="O1225" s="1">
        <v>50031451</v>
      </c>
      <c r="P1225" s="1" t="str">
        <f>"  بهاران بتن فراگيران"</f>
        <v xml:space="preserve">  بهاران بتن فراگيران</v>
      </c>
      <c r="Q1225" s="1">
        <v>18</v>
      </c>
      <c r="R1225" s="1" t="str">
        <f>"فروش داخلي تهران - وزارت راه - شرکت ساخت و توسعه راهها"</f>
        <v>فروش داخلي تهران - وزارت راه - شرکت ساخت و توسعه راهها</v>
      </c>
      <c r="S1225" s="1" t="str">
        <f t="shared" si="311"/>
        <v>قرارداد فروش</v>
      </c>
      <c r="T1225" s="1" t="str">
        <f t="shared" si="312"/>
        <v>ندارد</v>
      </c>
      <c r="U1225" s="1" t="str">
        <f>"مرادي نجاتعلي(1020ج89)"</f>
        <v>مرادي نجاتعلي(1020ج89)</v>
      </c>
      <c r="V1225" s="1">
        <v>951800043</v>
      </c>
      <c r="W1225" s="1">
        <v>951800043</v>
      </c>
      <c r="X1225" s="1" t="str">
        <f>"1395421753"</f>
        <v>1395421753</v>
      </c>
      <c r="Y1225" s="1" t="str">
        <f>"95/05/17"</f>
        <v>95/05/17</v>
      </c>
      <c r="Z1225" s="1" t="str">
        <f>"21137/510"</f>
        <v>21137/510</v>
      </c>
      <c r="AA1225" s="1" t="str">
        <f>"شركت  ساخت وتوسعه راهها"</f>
        <v>شركت  ساخت وتوسعه راهها</v>
      </c>
      <c r="AB1225" s="1" t="str">
        <f>"95/05/12"</f>
        <v>95/05/12</v>
      </c>
      <c r="AC1225" s="1" t="str">
        <f>"استان اصفهان"</f>
        <v>استان اصفهان</v>
      </c>
      <c r="AD1225" s="1" t="str">
        <f>"95/05/17"</f>
        <v>95/05/17</v>
      </c>
      <c r="AE1225" s="1" t="str">
        <f t="shared" si="309"/>
        <v>اختتام</v>
      </c>
      <c r="AF1225" s="1" t="str">
        <f>""</f>
        <v/>
      </c>
      <c r="AG1225" s="1" t="str">
        <f>""</f>
        <v/>
      </c>
      <c r="AH1225" s="1" t="str">
        <f>""</f>
        <v/>
      </c>
      <c r="AI1225" s="1" t="str">
        <f>""</f>
        <v/>
      </c>
      <c r="AJ1225" s="1" t="str">
        <f>""</f>
        <v/>
      </c>
      <c r="AK1225" s="1" t="str">
        <f>""</f>
        <v/>
      </c>
    </row>
    <row r="1226" spans="1:37" x14ac:dyDescent="0.2">
      <c r="A1226" s="1">
        <v>415000</v>
      </c>
      <c r="B1226" s="1">
        <v>951700052</v>
      </c>
      <c r="C1226" s="1" t="str">
        <f>"تخليه-علي آباد-زرين گل کارخانه فانديشن"</f>
        <v>تخليه-علي آباد-زرين گل کارخانه فانديشن</v>
      </c>
      <c r="D1226" s="1">
        <v>6250</v>
      </c>
      <c r="E1226" s="1">
        <v>414380</v>
      </c>
      <c r="F1226" s="1">
        <v>95</v>
      </c>
      <c r="G1226" s="1">
        <v>620</v>
      </c>
      <c r="H1226" s="1" t="str">
        <f>"95/04/06"</f>
        <v>95/04/06</v>
      </c>
      <c r="I1226" s="1" t="str">
        <f t="shared" si="310"/>
        <v>كيلوگرم</v>
      </c>
      <c r="J1226" s="1" t="str">
        <f>"0000000093"</f>
        <v>0000000093</v>
      </c>
      <c r="K1226" s="1" t="str">
        <f>"قير  PG64-10"</f>
        <v>قير  PG64-10</v>
      </c>
      <c r="L1226" s="1">
        <v>100</v>
      </c>
      <c r="M1226" s="1" t="str">
        <f t="shared" si="313"/>
        <v>مخازن قير اصفهان</v>
      </c>
      <c r="N1226" s="1">
        <v>4101</v>
      </c>
      <c r="O1226" s="1">
        <v>50031118</v>
      </c>
      <c r="P1226" s="1" t="str">
        <f>"  اداره كل راه و شهرسازي گلستان"</f>
        <v xml:space="preserve">  اداره كل راه و شهرسازي گلستان</v>
      </c>
      <c r="Q1226" s="1">
        <v>17</v>
      </c>
      <c r="R1226" s="1" t="str">
        <f>"فروش داخلي تهران - وزارت راه - راه روستايي - روکش"</f>
        <v>فروش داخلي تهران - وزارت راه - راه روستايي - روکش</v>
      </c>
      <c r="S1226" s="1" t="str">
        <f t="shared" si="311"/>
        <v>قرارداد فروش</v>
      </c>
      <c r="T1226" s="1" t="str">
        <f t="shared" si="312"/>
        <v>ندارد</v>
      </c>
      <c r="U1226" s="1" t="str">
        <f>"شيشه بر كريم(1841016)"</f>
        <v>شيشه بر كريم(1841016)</v>
      </c>
      <c r="V1226" s="1">
        <v>951700052</v>
      </c>
      <c r="W1226" s="1">
        <v>951700052</v>
      </c>
      <c r="X1226" s="1" t="str">
        <f>"1395411207"</f>
        <v>1395411207</v>
      </c>
      <c r="Y1226" s="1" t="str">
        <f>"95/04/06"</f>
        <v>95/04/06</v>
      </c>
      <c r="Z1226" s="1" t="str">
        <f>"13251/510"</f>
        <v>13251/510</v>
      </c>
      <c r="AA1226" s="1" t="str">
        <f>"راه روستائي -روكش"</f>
        <v>راه روستائي -روكش</v>
      </c>
      <c r="AB1226" s="1" t="str">
        <f>"95/03/30"</f>
        <v>95/03/30</v>
      </c>
      <c r="AC1226" s="1" t="str">
        <f>"استان گلستان"</f>
        <v>استان گلستان</v>
      </c>
      <c r="AD1226" s="1" t="str">
        <f>"95/04/05"</f>
        <v>95/04/05</v>
      </c>
      <c r="AE1226" s="1" t="str">
        <f t="shared" si="309"/>
        <v>اختتام</v>
      </c>
      <c r="AF1226" s="1" t="str">
        <f>""</f>
        <v/>
      </c>
      <c r="AG1226" s="1" t="str">
        <f>""</f>
        <v/>
      </c>
      <c r="AH1226" s="1" t="str">
        <f>""</f>
        <v/>
      </c>
      <c r="AI1226" s="1" t="str">
        <f>""</f>
        <v/>
      </c>
      <c r="AJ1226" s="1" t="str">
        <f>""</f>
        <v/>
      </c>
      <c r="AK1226" s="1" t="str">
        <f>""</f>
        <v/>
      </c>
    </row>
    <row r="1227" spans="1:37" x14ac:dyDescent="0.2">
      <c r="A1227" s="1">
        <v>81000</v>
      </c>
      <c r="B1227" s="1">
        <v>951300022</v>
      </c>
      <c r="C1227" s="1" t="str">
        <f>"تخليه اصفهان فريدن جاده دامنه داران كارخانه آسفالت شهرداري دامنه"</f>
        <v>تخليه اصفهان فريدن جاده دامنه داران كارخانه آسفالت شهرداري دامنه</v>
      </c>
      <c r="D1227" s="1">
        <v>9511</v>
      </c>
      <c r="E1227" s="1">
        <v>80440</v>
      </c>
      <c r="F1227" s="1">
        <v>95</v>
      </c>
      <c r="G1227" s="1">
        <v>560</v>
      </c>
      <c r="H1227" s="1" t="str">
        <f>"95/11/10"</f>
        <v>95/11/10</v>
      </c>
      <c r="I1227" s="1" t="str">
        <f t="shared" si="310"/>
        <v>كيلوگرم</v>
      </c>
      <c r="J1227" s="1" t="str">
        <f>"0000000092"</f>
        <v>0000000092</v>
      </c>
      <c r="K1227" s="1" t="str">
        <f>"قير  PG64-16"</f>
        <v>قير  PG64-16</v>
      </c>
      <c r="L1227" s="1">
        <v>100</v>
      </c>
      <c r="M1227" s="1" t="str">
        <f t="shared" si="313"/>
        <v>مخازن قير اصفهان</v>
      </c>
      <c r="N1227" s="1">
        <v>9814</v>
      </c>
      <c r="O1227" s="1">
        <v>50033565</v>
      </c>
      <c r="P1227" s="1" t="str">
        <f>"  بنيادمسكن انقلاب اسلامي اصفهان"</f>
        <v xml:space="preserve">  بنيادمسكن انقلاب اسلامي اصفهان</v>
      </c>
      <c r="Q1227" s="1">
        <v>13</v>
      </c>
      <c r="R1227" s="1" t="str">
        <f>"فروش داخلي - وزارت راه - حوزه بنياد مسكن"</f>
        <v>فروش داخلي - وزارت راه - حوزه بنياد مسكن</v>
      </c>
      <c r="S1227" s="1" t="str">
        <f t="shared" si="311"/>
        <v>قرارداد فروش</v>
      </c>
      <c r="T1227" s="1" t="str">
        <f t="shared" si="312"/>
        <v>ندارد</v>
      </c>
      <c r="U1227" s="1" t="str">
        <f>"سيفي پور گودرز(1019ج89)"</f>
        <v>سيفي پور گودرز(1019ج89)</v>
      </c>
      <c r="V1227" s="1">
        <v>951300022</v>
      </c>
      <c r="W1227" s="1">
        <v>951300022</v>
      </c>
      <c r="X1227" s="1" t="str">
        <f>"1395461524"</f>
        <v>1395461524</v>
      </c>
      <c r="Y1227" s="1" t="str">
        <f>"95/11/10"</f>
        <v>95/11/10</v>
      </c>
      <c r="Z1227" s="1" t="str">
        <f>"54372/710"</f>
        <v>54372/710</v>
      </c>
      <c r="AA1227" s="1" t="str">
        <f>"بنياد مسكن -مسكن مهر"</f>
        <v>بنياد مسكن -مسكن مهر</v>
      </c>
      <c r="AB1227" s="1" t="str">
        <f>"95/11/04"</f>
        <v>95/11/04</v>
      </c>
      <c r="AC1227" s="1" t="str">
        <f>"استان اصفهان"</f>
        <v>استان اصفهان</v>
      </c>
      <c r="AD1227" s="1" t="str">
        <f>"95/11/10"</f>
        <v>95/11/10</v>
      </c>
      <c r="AE1227" s="1" t="str">
        <f t="shared" si="309"/>
        <v>اختتام</v>
      </c>
      <c r="AF1227" s="1" t="str">
        <f>""</f>
        <v/>
      </c>
      <c r="AG1227" s="1" t="str">
        <f>""</f>
        <v/>
      </c>
      <c r="AH1227" s="1" t="str">
        <f>""</f>
        <v/>
      </c>
      <c r="AI1227" s="1" t="str">
        <f>""</f>
        <v/>
      </c>
      <c r="AJ1227" s="1" t="str">
        <f>""</f>
        <v/>
      </c>
      <c r="AK1227" s="1" t="str">
        <f>""</f>
        <v/>
      </c>
    </row>
    <row r="1228" spans="1:37" x14ac:dyDescent="0.2">
      <c r="A1228" s="1">
        <v>30000</v>
      </c>
      <c r="B1228" s="1">
        <v>951300034</v>
      </c>
      <c r="C1228" s="1" t="str">
        <f>"تخليه اصفهان كاشان كيلومتر17جاده قمصركارخانه آسفالت بتن آسفالت مهر"</f>
        <v>تخليه اصفهان كاشان كيلومتر17جاده قمصركارخانه آسفالت بتن آسفالت مهر</v>
      </c>
      <c r="D1228" s="1">
        <v>8998</v>
      </c>
      <c r="E1228" s="1">
        <v>29300</v>
      </c>
      <c r="F1228" s="1">
        <v>95</v>
      </c>
      <c r="G1228" s="1">
        <v>700</v>
      </c>
      <c r="H1228" s="1" t="str">
        <f>"95/12/23"</f>
        <v>95/12/23</v>
      </c>
      <c r="I1228" s="1" t="str">
        <f t="shared" si="310"/>
        <v>كيلوگرم</v>
      </c>
      <c r="J1228" s="1" t="str">
        <f>"0000000092"</f>
        <v>0000000092</v>
      </c>
      <c r="K1228" s="1" t="str">
        <f>"قير  PG64-16"</f>
        <v>قير  PG64-16</v>
      </c>
      <c r="L1228" s="1">
        <v>100</v>
      </c>
      <c r="M1228" s="1" t="str">
        <f t="shared" si="313"/>
        <v>مخازن قير اصفهان</v>
      </c>
      <c r="N1228" s="1">
        <v>9814</v>
      </c>
      <c r="O1228" s="1">
        <v>50034181</v>
      </c>
      <c r="P1228" s="1" t="str">
        <f>"  بنيادمسكن انقلاب اسلامي اصفهان"</f>
        <v xml:space="preserve">  بنيادمسكن انقلاب اسلامي اصفهان</v>
      </c>
      <c r="Q1228" s="1">
        <v>13</v>
      </c>
      <c r="R1228" s="1" t="str">
        <f>"فروش داخلي - وزارت راه - حوزه بنياد مسكن"</f>
        <v>فروش داخلي - وزارت راه - حوزه بنياد مسكن</v>
      </c>
      <c r="S1228" s="1" t="str">
        <f t="shared" si="311"/>
        <v>قرارداد فروش</v>
      </c>
      <c r="T1228" s="1" t="str">
        <f t="shared" si="312"/>
        <v>ندارد</v>
      </c>
      <c r="U1228" s="1" t="str">
        <f>"شهبازي محمدرضا(1029ج89)"</f>
        <v>شهبازي محمدرضا(1029ج89)</v>
      </c>
      <c r="V1228" s="1">
        <v>951300034</v>
      </c>
      <c r="W1228" s="1">
        <v>951300034</v>
      </c>
      <c r="X1228" s="1" t="str">
        <f>"1395470893"</f>
        <v>1395470893</v>
      </c>
      <c r="Y1228" s="1" t="str">
        <f>"95/12/23"</f>
        <v>95/12/23</v>
      </c>
      <c r="Z1228" s="1" t="str">
        <f>"65484/710"</f>
        <v>65484/710</v>
      </c>
      <c r="AA1228" s="1" t="str">
        <f>"بنياد مسكن -مسكن مهر"</f>
        <v>بنياد مسكن -مسكن مهر</v>
      </c>
      <c r="AB1228" s="1" t="str">
        <f>"95/12/21"</f>
        <v>95/12/21</v>
      </c>
      <c r="AC1228" s="1" t="str">
        <f>"استان اصفهان"</f>
        <v>استان اصفهان</v>
      </c>
      <c r="AD1228" s="1" t="str">
        <f>"95/12/23"</f>
        <v>95/12/23</v>
      </c>
      <c r="AE1228" s="1" t="str">
        <f t="shared" si="309"/>
        <v>اختتام</v>
      </c>
      <c r="AF1228" s="1" t="str">
        <f>""</f>
        <v/>
      </c>
      <c r="AG1228" s="1" t="str">
        <f>""</f>
        <v/>
      </c>
      <c r="AH1228" s="1" t="str">
        <f>""</f>
        <v/>
      </c>
      <c r="AI1228" s="1" t="str">
        <f>""</f>
        <v/>
      </c>
      <c r="AJ1228" s="1" t="str">
        <f>""</f>
        <v/>
      </c>
      <c r="AK1228" s="1" t="str">
        <f>""</f>
        <v/>
      </c>
    </row>
    <row r="1229" spans="1:37" x14ac:dyDescent="0.2">
      <c r="A1229" s="1">
        <v>400000</v>
      </c>
      <c r="B1229" s="1">
        <v>951900031</v>
      </c>
      <c r="C1229" s="1" t="str">
        <f>"تخليه -ايلام -ايوان سه راهي زرنه -سومار"</f>
        <v>تخليه -ايلام -ايوان سه راهي زرنه -سومار</v>
      </c>
      <c r="D1229" s="1">
        <v>6250</v>
      </c>
      <c r="E1229" s="1">
        <v>400000</v>
      </c>
      <c r="F1229" s="1">
        <v>95</v>
      </c>
      <c r="G1229" s="1">
        <v>0</v>
      </c>
      <c r="H1229" s="1" t="str">
        <f>"95/04/06"</f>
        <v>95/04/06</v>
      </c>
      <c r="I1229" s="1" t="str">
        <f t="shared" si="310"/>
        <v>كيلوگرم</v>
      </c>
      <c r="J1229" s="1" t="str">
        <f>"0000000092"</f>
        <v>0000000092</v>
      </c>
      <c r="K1229" s="1" t="str">
        <f>"قير  PG64-16"</f>
        <v>قير  PG64-16</v>
      </c>
      <c r="L1229" s="1">
        <v>100</v>
      </c>
      <c r="M1229" s="1" t="str">
        <f t="shared" si="313"/>
        <v>مخازن قير اصفهان</v>
      </c>
      <c r="N1229" s="1">
        <v>9857</v>
      </c>
      <c r="O1229" s="1">
        <v>50031145</v>
      </c>
      <c r="P1229" s="1" t="str">
        <f>"  پيمان پويا ايوان"</f>
        <v xml:space="preserve">  پيمان پويا ايوان</v>
      </c>
      <c r="Q1229" s="1">
        <v>19</v>
      </c>
      <c r="R122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29" s="1" t="str">
        <f t="shared" si="311"/>
        <v>قرارداد فروش</v>
      </c>
      <c r="T1229" s="1" t="str">
        <f t="shared" si="312"/>
        <v>ندارد</v>
      </c>
      <c r="U1229" s="1" t="str">
        <f>"عظيمي محمد(2842015)"</f>
        <v>عظيمي محمد(2842015)</v>
      </c>
      <c r="V1229" s="1">
        <v>951900031</v>
      </c>
      <c r="W1229" s="1">
        <v>951900031</v>
      </c>
      <c r="X1229" s="1" t="str">
        <f>"1395411362"</f>
        <v>1395411362</v>
      </c>
      <c r="Y1229" s="1" t="str">
        <f>"95/04/06"</f>
        <v>95/04/06</v>
      </c>
      <c r="Z1229" s="1" t="str">
        <f>"12934/510"</f>
        <v>12934/510</v>
      </c>
      <c r="AA1229" s="1" t="str">
        <f>"سازمان راهداري وحمل نقل جاده اي"</f>
        <v>سازمان راهداري وحمل نقل جاده اي</v>
      </c>
      <c r="AB1229" s="1" t="str">
        <f>"95/03/29"</f>
        <v>95/03/29</v>
      </c>
      <c r="AC1229" s="1" t="str">
        <f>"استان ايلام"</f>
        <v>استان ايلام</v>
      </c>
      <c r="AD1229" s="1" t="str">
        <f>"95/04/06"</f>
        <v>95/04/06</v>
      </c>
      <c r="AE1229" s="1" t="str">
        <f t="shared" si="309"/>
        <v>اختتام</v>
      </c>
      <c r="AF1229" s="1" t="str">
        <f>""</f>
        <v/>
      </c>
      <c r="AG1229" s="1" t="str">
        <f>""</f>
        <v/>
      </c>
      <c r="AH1229" s="1" t="str">
        <f>""</f>
        <v/>
      </c>
      <c r="AI1229" s="1" t="str">
        <f>""</f>
        <v/>
      </c>
      <c r="AJ1229" s="1" t="str">
        <f>""</f>
        <v/>
      </c>
      <c r="AK1229" s="1" t="str">
        <f>""</f>
        <v/>
      </c>
    </row>
    <row r="1230" spans="1:37" x14ac:dyDescent="0.2">
      <c r="A1230" s="1">
        <v>1000000</v>
      </c>
      <c r="B1230" s="1">
        <v>951600036</v>
      </c>
      <c r="C1230" s="1" t="str">
        <f>"تخليه -لرستان آسفالت سازمان همياري شهرداريهاي استان لرستان"</f>
        <v>تخليه -لرستان آسفالت سازمان همياري شهرداريهاي استان لرستان</v>
      </c>
      <c r="D1230" s="1">
        <v>8323</v>
      </c>
      <c r="E1230" s="1">
        <v>998140</v>
      </c>
      <c r="F1230" s="1">
        <v>95</v>
      </c>
      <c r="G1230" s="1">
        <v>1860</v>
      </c>
      <c r="H1230" s="1" t="str">
        <f>"95/08/05"</f>
        <v>95/08/05</v>
      </c>
      <c r="I1230" s="1" t="str">
        <f t="shared" si="310"/>
        <v>كيلوگرم</v>
      </c>
      <c r="J1230" s="1" t="str">
        <f>"0000000092"</f>
        <v>0000000092</v>
      </c>
      <c r="K1230" s="1" t="str">
        <f>"قير  PG64-16"</f>
        <v>قير  PG64-16</v>
      </c>
      <c r="L1230" s="1">
        <v>100</v>
      </c>
      <c r="M1230" s="1" t="str">
        <f t="shared" si="313"/>
        <v>مخازن قير اصفهان</v>
      </c>
      <c r="N1230" s="1">
        <v>9952</v>
      </c>
      <c r="O1230" s="1">
        <v>50032262</v>
      </c>
      <c r="P1230" s="1" t="str">
        <f>"  قرارگاه سازندگي خاتم الانبياء-موسسه اميدپارس"</f>
        <v xml:space="preserve">  قرارگاه سازندگي خاتم الانبياء-موسسه اميدپارس</v>
      </c>
      <c r="Q1230" s="1">
        <v>16</v>
      </c>
      <c r="R1230" s="1" t="str">
        <f>"فروش داخلي تهران - وزارت راه - معاونت اقتصاد"</f>
        <v>فروش داخلي تهران - وزارت راه - معاونت اقتصاد</v>
      </c>
      <c r="S1230" s="1" t="str">
        <f t="shared" si="311"/>
        <v>قرارداد فروش</v>
      </c>
      <c r="T1230" s="1" t="str">
        <f t="shared" si="312"/>
        <v>ندارد</v>
      </c>
      <c r="U1230" s="1" t="str">
        <f>"ريسماني حسن(1007ج89)"</f>
        <v>ريسماني حسن(1007ج89)</v>
      </c>
      <c r="V1230" s="1">
        <v>951600036</v>
      </c>
      <c r="W1230" s="1">
        <v>951600036</v>
      </c>
      <c r="X1230" s="1" t="str">
        <f>"1395441010"</f>
        <v>1395441010</v>
      </c>
      <c r="Y1230" s="1" t="str">
        <f>"95/08/05"</f>
        <v>95/08/05</v>
      </c>
      <c r="Z1230" s="1" t="str">
        <f>"36967/710"</f>
        <v>36967/710</v>
      </c>
      <c r="AA1230" s="1" t="str">
        <f>"معاونت اقتصادوزارت راه وشهرسازي"</f>
        <v>معاونت اقتصادوزارت راه وشهرسازي</v>
      </c>
      <c r="AB1230" s="1" t="str">
        <f>"95/08/02"</f>
        <v>95/08/02</v>
      </c>
      <c r="AC1230" s="1" t="str">
        <f>"لرستان"</f>
        <v>لرستان</v>
      </c>
      <c r="AD1230" s="1" t="str">
        <f>"95/08/05"</f>
        <v>95/08/05</v>
      </c>
      <c r="AE1230" s="1" t="str">
        <f t="shared" si="309"/>
        <v>اختتام</v>
      </c>
      <c r="AF1230" s="1" t="str">
        <f>""</f>
        <v/>
      </c>
      <c r="AG1230" s="1" t="str">
        <f>""</f>
        <v/>
      </c>
      <c r="AH1230" s="1" t="str">
        <f>""</f>
        <v/>
      </c>
      <c r="AI1230" s="1" t="str">
        <f>""</f>
        <v/>
      </c>
      <c r="AJ1230" s="1" t="str">
        <f>""</f>
        <v/>
      </c>
      <c r="AK1230" s="1" t="str">
        <f>""</f>
        <v/>
      </c>
    </row>
    <row r="1231" spans="1:37" x14ac:dyDescent="0.2">
      <c r="A1231" s="1">
        <v>143000</v>
      </c>
      <c r="B1231" s="1">
        <v>952000306</v>
      </c>
      <c r="C1231" s="1" t="str">
        <f>"تخليه -اصفهان جاده سيمان سپاهان شهرك صنعتي"</f>
        <v>تخليه -اصفهان جاده سيمان سپاهان شهرك صنعتي</v>
      </c>
      <c r="D1231" s="1">
        <v>7026</v>
      </c>
      <c r="E1231" s="1">
        <v>142300</v>
      </c>
      <c r="F1231" s="1">
        <v>95</v>
      </c>
      <c r="G1231" s="1">
        <v>700</v>
      </c>
      <c r="H1231" s="1" t="str">
        <f>"95/09/11"</f>
        <v>95/09/11</v>
      </c>
      <c r="I1231" s="1" t="str">
        <f t="shared" si="310"/>
        <v>كيلوگرم</v>
      </c>
      <c r="J1231" s="1" t="str">
        <f>"0000000076"</f>
        <v>0000000076</v>
      </c>
      <c r="K1231" s="1" t="str">
        <f>"قير 60/70 - فله"</f>
        <v>قير 60/70 - فله</v>
      </c>
      <c r="L1231" s="1">
        <v>100</v>
      </c>
      <c r="M1231" s="1" t="str">
        <f t="shared" si="313"/>
        <v>مخازن قير اصفهان</v>
      </c>
      <c r="N1231" s="1">
        <v>9529</v>
      </c>
      <c r="O1231" s="1">
        <v>50032790</v>
      </c>
      <c r="P1231" s="1" t="str">
        <f>"  شهرداري كليشادوسودرجان"</f>
        <v xml:space="preserve">  شهرداري كليشادوسودرجان</v>
      </c>
      <c r="Q1231" s="1">
        <v>20</v>
      </c>
      <c r="R1231" s="1" t="str">
        <f>"فروش داخلي - سازمان شهرداري ها و دهياري هاي كشور"</f>
        <v>فروش داخلي - سازمان شهرداري ها و دهياري هاي كشور</v>
      </c>
      <c r="S1231" s="1" t="str">
        <f t="shared" si="311"/>
        <v>قرارداد فروش</v>
      </c>
      <c r="T1231" s="1" t="str">
        <f t="shared" si="312"/>
        <v>ندارد</v>
      </c>
      <c r="U1231" s="1" t="str">
        <f>"غلام نجفي سيامك‌‌‌‌‌‌(1881082)"</f>
        <v>غلام نجفي سيامك‌‌‌‌‌‌(1881082)</v>
      </c>
      <c r="V1231" s="1">
        <v>952000306</v>
      </c>
      <c r="W1231" s="1">
        <v>952000306</v>
      </c>
      <c r="X1231" s="1" t="str">
        <f>"1395447798"</f>
        <v>1395447798</v>
      </c>
      <c r="Y1231" s="1" t="str">
        <f>"95/09/09"</f>
        <v>95/09/09</v>
      </c>
      <c r="Z1231" s="1" t="str">
        <f>"43380"</f>
        <v>43380</v>
      </c>
      <c r="AA1231" s="1" t="str">
        <f>"شهرداريها"</f>
        <v>شهرداريها</v>
      </c>
      <c r="AB1231" s="1" t="str">
        <f>"95/09/02"</f>
        <v>95/09/02</v>
      </c>
      <c r="AC1231" s="1" t="str">
        <f>"استان اصفهان"</f>
        <v>استان اصفهان</v>
      </c>
      <c r="AD1231" s="1" t="str">
        <f>"95/09/07"</f>
        <v>95/09/07</v>
      </c>
      <c r="AE1231" s="1" t="str">
        <f t="shared" si="309"/>
        <v>اختتام</v>
      </c>
      <c r="AF1231" s="1" t="str">
        <f>""</f>
        <v/>
      </c>
      <c r="AG1231" s="1" t="str">
        <f>""</f>
        <v/>
      </c>
      <c r="AH1231" s="1" t="str">
        <f>""</f>
        <v/>
      </c>
      <c r="AI1231" s="1" t="str">
        <f>""</f>
        <v/>
      </c>
      <c r="AJ1231" s="1" t="str">
        <f>""</f>
        <v/>
      </c>
      <c r="AK1231" s="1" t="str">
        <f>""</f>
        <v/>
      </c>
    </row>
    <row r="1232" spans="1:37" x14ac:dyDescent="0.2">
      <c r="A1232" s="1">
        <v>99000</v>
      </c>
      <c r="B1232" s="1">
        <v>952000247</v>
      </c>
      <c r="C1232" s="1" t="str">
        <f>"تخليه - اصفهان - زرين شهر - کيلومتر 5 زرين شهر-شرکت زرين سپاهان"</f>
        <v>تخليه - اصفهان - زرين شهر - کيلومتر 5 زرين شهر-شرکت زرين سپاهان</v>
      </c>
      <c r="D1232" s="1">
        <v>7026</v>
      </c>
      <c r="E1232" s="1">
        <v>98020</v>
      </c>
      <c r="F1232" s="1">
        <v>95</v>
      </c>
      <c r="G1232" s="1">
        <v>980</v>
      </c>
      <c r="H1232" s="1" t="str">
        <f>"95/09/07"</f>
        <v>95/09/07</v>
      </c>
      <c r="I1232" s="1" t="str">
        <f t="shared" si="310"/>
        <v>كيلوگرم</v>
      </c>
      <c r="J1232" s="1" t="str">
        <f>"0000000076"</f>
        <v>0000000076</v>
      </c>
      <c r="K1232" s="1" t="str">
        <f>"قير 60/70 - فله"</f>
        <v>قير 60/70 - فله</v>
      </c>
      <c r="L1232" s="1">
        <v>100</v>
      </c>
      <c r="M1232" s="1" t="str">
        <f t="shared" si="313"/>
        <v>مخازن قير اصفهان</v>
      </c>
      <c r="N1232" s="1">
        <v>9536</v>
      </c>
      <c r="O1232" s="1">
        <v>50032710</v>
      </c>
      <c r="P1232" s="1" t="str">
        <f>"  شهرداري بهاران"</f>
        <v xml:space="preserve">  شهرداري بهاران</v>
      </c>
      <c r="Q1232" s="1">
        <v>20</v>
      </c>
      <c r="R1232" s="1" t="str">
        <f>"فروش داخلي - سازمان شهرداري ها و دهياري هاي كشور"</f>
        <v>فروش داخلي - سازمان شهرداري ها و دهياري هاي كشور</v>
      </c>
      <c r="S1232" s="1" t="str">
        <f t="shared" si="311"/>
        <v>قرارداد فروش</v>
      </c>
      <c r="T1232" s="1" t="str">
        <f t="shared" si="312"/>
        <v>ندارد</v>
      </c>
      <c r="U1232" s="1" t="str">
        <f>"مرادي نجاتعلي(1020ج89)"</f>
        <v>مرادي نجاتعلي(1020ج89)</v>
      </c>
      <c r="V1232" s="1">
        <v>952000247</v>
      </c>
      <c r="W1232" s="1">
        <v>952000247</v>
      </c>
      <c r="X1232" s="1" t="str">
        <f>"1395447617"</f>
        <v>1395447617</v>
      </c>
      <c r="Y1232" s="1" t="str">
        <f>"95/09/07"</f>
        <v>95/09/07</v>
      </c>
      <c r="Z1232" s="1" t="str">
        <f>"41717"</f>
        <v>41717</v>
      </c>
      <c r="AA1232" s="1" t="str">
        <f>"شهرداريها"</f>
        <v>شهرداريها</v>
      </c>
      <c r="AB1232" s="1" t="str">
        <f>"95/08/23"</f>
        <v>95/08/23</v>
      </c>
      <c r="AC1232" s="1" t="str">
        <f>"استان اصفهان"</f>
        <v>استان اصفهان</v>
      </c>
      <c r="AD1232" s="1" t="str">
        <f>"95/09/06"</f>
        <v>95/09/06</v>
      </c>
      <c r="AE1232" s="1" t="str">
        <f t="shared" si="309"/>
        <v>اختتام</v>
      </c>
      <c r="AF1232" s="1" t="str">
        <f>""</f>
        <v/>
      </c>
      <c r="AG1232" s="1" t="str">
        <f>""</f>
        <v/>
      </c>
      <c r="AH1232" s="1" t="str">
        <f>""</f>
        <v/>
      </c>
      <c r="AI1232" s="1" t="str">
        <f>""</f>
        <v/>
      </c>
      <c r="AJ1232" s="1" t="str">
        <f>""</f>
        <v/>
      </c>
      <c r="AK1232" s="1" t="str">
        <f>""</f>
        <v/>
      </c>
    </row>
    <row r="1233" spans="1:37" x14ac:dyDescent="0.2">
      <c r="A1233" s="1">
        <v>400000</v>
      </c>
      <c r="B1233" s="1">
        <v>951800026</v>
      </c>
      <c r="C1233" s="1" t="str">
        <f>"تخليه -گلستان شهرگاليكش جاده روستاي ميرزاپنك"</f>
        <v>تخليه -گلستان شهرگاليكش جاده روستاي ميرزاپنك</v>
      </c>
      <c r="D1233" s="1">
        <v>6250</v>
      </c>
      <c r="E1233" s="1">
        <v>382700</v>
      </c>
      <c r="F1233" s="1">
        <v>95</v>
      </c>
      <c r="G1233" s="1">
        <v>17300</v>
      </c>
      <c r="H1233" s="1" t="str">
        <f>"95/04/09"</f>
        <v>95/04/09</v>
      </c>
      <c r="I1233" s="1" t="str">
        <f t="shared" si="310"/>
        <v>كيلوگرم</v>
      </c>
      <c r="J1233" s="1" t="str">
        <f>"0000000093"</f>
        <v>0000000093</v>
      </c>
      <c r="K1233" s="1" t="str">
        <f>"قير  PG64-10"</f>
        <v>قير  PG64-10</v>
      </c>
      <c r="L1233" s="1">
        <v>100</v>
      </c>
      <c r="M1233" s="1" t="str">
        <f t="shared" si="313"/>
        <v>مخازن قير اصفهان</v>
      </c>
      <c r="N1233" s="1">
        <v>10253</v>
      </c>
      <c r="O1233" s="1">
        <v>50031174</v>
      </c>
      <c r="P1233" s="1" t="str">
        <f>"  مهندسي پروژه هاي آب ونيروي ايران (پانير)"</f>
        <v xml:space="preserve">  مهندسي پروژه هاي آب ونيروي ايران (پانير)</v>
      </c>
      <c r="Q1233" s="1">
        <v>18</v>
      </c>
      <c r="R1233" s="1" t="str">
        <f>"فروش داخلي تهران - وزارت راه - شرکت ساخت و توسعه راهها"</f>
        <v>فروش داخلي تهران - وزارت راه - شرکت ساخت و توسعه راهها</v>
      </c>
      <c r="S1233" s="1" t="str">
        <f t="shared" si="311"/>
        <v>قرارداد فروش</v>
      </c>
      <c r="T1233" s="1" t="str">
        <f t="shared" si="312"/>
        <v>ندارد</v>
      </c>
      <c r="U1233" s="1" t="str">
        <f>"غلام نجفي سيامك‌‌‌‌‌‌(1881082)"</f>
        <v>غلام نجفي سيامك‌‌‌‌‌‌(1881082)</v>
      </c>
      <c r="V1233" s="1">
        <v>951800026</v>
      </c>
      <c r="W1233" s="1">
        <v>951800026</v>
      </c>
      <c r="X1233" s="1" t="str">
        <f>"1395412283"</f>
        <v>1395412283</v>
      </c>
      <c r="Y1233" s="1" t="str">
        <f>"95/04/09"</f>
        <v>95/04/09</v>
      </c>
      <c r="Z1233" s="1" t="str">
        <f>"12307/510"</f>
        <v>12307/510</v>
      </c>
      <c r="AA1233" s="1" t="str">
        <f>"شركت  ساخت وتوسعه راهها"</f>
        <v>شركت  ساخت وتوسعه راهها</v>
      </c>
      <c r="AB1233" s="1" t="str">
        <f>"95/03/25"</f>
        <v>95/03/25</v>
      </c>
      <c r="AC1233" s="1" t="str">
        <f>"استان گلستان"</f>
        <v>استان گلستان</v>
      </c>
      <c r="AD1233" s="1" t="str">
        <f>"95/04/09"</f>
        <v>95/04/09</v>
      </c>
      <c r="AE1233" s="1" t="str">
        <f t="shared" si="309"/>
        <v>اختتام</v>
      </c>
      <c r="AF1233" s="1" t="str">
        <f>""</f>
        <v/>
      </c>
      <c r="AG1233" s="1" t="str">
        <f>""</f>
        <v/>
      </c>
      <c r="AH1233" s="1" t="str">
        <f>""</f>
        <v/>
      </c>
      <c r="AI1233" s="1" t="str">
        <f>""</f>
        <v/>
      </c>
      <c r="AJ1233" s="1" t="str">
        <f>""</f>
        <v/>
      </c>
      <c r="AK1233" s="1" t="str">
        <f>""</f>
        <v/>
      </c>
    </row>
    <row r="1234" spans="1:37" x14ac:dyDescent="0.2">
      <c r="A1234" s="1">
        <v>1015000</v>
      </c>
      <c r="B1234" s="1">
        <v>951400064</v>
      </c>
      <c r="C1234" s="1" t="str">
        <f>"تخليه-ياسوج-دارشاهي"</f>
        <v>تخليه-ياسوج-دارشاهي</v>
      </c>
      <c r="D1234" s="1">
        <v>7176</v>
      </c>
      <c r="E1234" s="1">
        <v>1013280</v>
      </c>
      <c r="F1234" s="1">
        <v>95</v>
      </c>
      <c r="G1234" s="1">
        <v>1720</v>
      </c>
      <c r="H1234" s="1" t="str">
        <f>"95/06/09"</f>
        <v>95/06/09</v>
      </c>
      <c r="I1234" s="1" t="str">
        <f t="shared" si="310"/>
        <v>كيلوگرم</v>
      </c>
      <c r="J1234" s="1" t="str">
        <f>"0000000093"</f>
        <v>0000000093</v>
      </c>
      <c r="K1234" s="1" t="str">
        <f>"قير  PG64-10"</f>
        <v>قير  PG64-10</v>
      </c>
      <c r="L1234" s="1">
        <v>100</v>
      </c>
      <c r="M1234" s="1" t="str">
        <f t="shared" si="313"/>
        <v>مخازن قير اصفهان</v>
      </c>
      <c r="N1234" s="1">
        <v>10438</v>
      </c>
      <c r="O1234" s="1">
        <v>50031732</v>
      </c>
      <c r="P1234" s="1" t="str">
        <f>"  سعادت هيوا"</f>
        <v xml:space="preserve">  سعادت هيوا</v>
      </c>
      <c r="Q1234" s="1">
        <v>14</v>
      </c>
      <c r="R1234" s="1" t="str">
        <f>"فروش داخلي - وزارت راه - حوزه راه روستايي ساخت"</f>
        <v>فروش داخلي - وزارت راه - حوزه راه روستايي ساخت</v>
      </c>
      <c r="S1234" s="1" t="str">
        <f t="shared" si="311"/>
        <v>قرارداد فروش</v>
      </c>
      <c r="T1234" s="1" t="str">
        <f t="shared" si="312"/>
        <v>ندارد</v>
      </c>
      <c r="U1234" s="1" t="str">
        <f>"غلام نجفي سيامك‌‌‌‌‌‌(1881082)"</f>
        <v>غلام نجفي سيامك‌‌‌‌‌‌(1881082)</v>
      </c>
      <c r="V1234" s="1">
        <v>951400064</v>
      </c>
      <c r="W1234" s="1">
        <v>951400064</v>
      </c>
      <c r="X1234" s="1" t="str">
        <f>"1395427783"</f>
        <v>1395427783</v>
      </c>
      <c r="Y1234" s="1" t="str">
        <f>"95/06/09"</f>
        <v>95/06/09</v>
      </c>
      <c r="Z1234" s="1" t="str">
        <f>"26661/510"</f>
        <v>26661/510</v>
      </c>
      <c r="AA1234" s="1" t="str">
        <f>"راه وروستايي -ساخت"</f>
        <v>راه وروستايي -ساخت</v>
      </c>
      <c r="AB1234" s="1" t="str">
        <f>"95/06/08"</f>
        <v>95/06/08</v>
      </c>
      <c r="AC1234" s="1" t="str">
        <f>"كهكيلويه و بوير احمد"</f>
        <v>كهكيلويه و بوير احمد</v>
      </c>
      <c r="AD1234" s="1" t="str">
        <f>"95/06/09"</f>
        <v>95/06/09</v>
      </c>
      <c r="AE1234" s="1" t="str">
        <f t="shared" si="309"/>
        <v>اختتام</v>
      </c>
      <c r="AF1234" s="1" t="str">
        <f>""</f>
        <v/>
      </c>
      <c r="AG1234" s="1" t="str">
        <f>""</f>
        <v/>
      </c>
      <c r="AH1234" s="1" t="str">
        <f>""</f>
        <v/>
      </c>
      <c r="AI1234" s="1" t="str">
        <f>""</f>
        <v/>
      </c>
      <c r="AJ1234" s="1" t="str">
        <f>""</f>
        <v/>
      </c>
      <c r="AK1234" s="1" t="str">
        <f>""</f>
        <v/>
      </c>
    </row>
    <row r="1235" spans="1:37" x14ac:dyDescent="0.2">
      <c r="A1235" s="1">
        <v>900000</v>
      </c>
      <c r="B1235" s="1">
        <v>951600002</v>
      </c>
      <c r="C1235" s="1" t="str">
        <f>"تخليه -ياسوج -كارخانه آسفالت روستاي دارشاهي"</f>
        <v>تخليه -ياسوج -كارخانه آسفالت روستاي دارشاهي</v>
      </c>
      <c r="D1235" s="1">
        <v>6050</v>
      </c>
      <c r="E1235" s="1">
        <v>899800</v>
      </c>
      <c r="F1235" s="1">
        <v>95</v>
      </c>
      <c r="G1235" s="1">
        <v>200</v>
      </c>
      <c r="H1235" s="1" t="str">
        <f>"95/03/12"</f>
        <v>95/03/12</v>
      </c>
      <c r="I1235" s="1" t="str">
        <f t="shared" si="310"/>
        <v>كيلوگرم</v>
      </c>
      <c r="J1235" s="1" t="str">
        <f>"0000000093"</f>
        <v>0000000093</v>
      </c>
      <c r="K1235" s="1" t="str">
        <f>"قير  PG64-10"</f>
        <v>قير  PG64-10</v>
      </c>
      <c r="L1235" s="1">
        <v>100</v>
      </c>
      <c r="M1235" s="1" t="str">
        <f t="shared" si="313"/>
        <v>مخازن قير اصفهان</v>
      </c>
      <c r="N1235" s="1">
        <v>10515</v>
      </c>
      <c r="O1235" s="1">
        <v>50030949</v>
      </c>
      <c r="P1235" s="1" t="str">
        <f>"   سماسازه زاگرس"</f>
        <v xml:space="preserve">   سماسازه زاگرس</v>
      </c>
      <c r="Q1235" s="1">
        <v>16</v>
      </c>
      <c r="R1235" s="1" t="str">
        <f>"فروش داخلي تهران - وزارت راه - معاونت اقتصاد"</f>
        <v>فروش داخلي تهران - وزارت راه - معاونت اقتصاد</v>
      </c>
      <c r="S1235" s="1" t="str">
        <f t="shared" si="311"/>
        <v>قرارداد فروش</v>
      </c>
      <c r="T1235" s="1" t="str">
        <f t="shared" si="312"/>
        <v>ندارد</v>
      </c>
      <c r="U1235" s="1" t="str">
        <f>"غلام نجفي سيامك‌‌‌‌‌‌(1881082)"</f>
        <v>غلام نجفي سيامك‌‌‌‌‌‌(1881082)</v>
      </c>
      <c r="V1235" s="1">
        <v>951600002</v>
      </c>
      <c r="W1235" s="1">
        <v>951600002</v>
      </c>
      <c r="X1235" s="1" t="str">
        <f>"1395407391"</f>
        <v>1395407391</v>
      </c>
      <c r="Y1235" s="1" t="str">
        <f>"95/03/12"</f>
        <v>95/03/12</v>
      </c>
      <c r="Z1235" s="1" t="str">
        <f>"67024/510"</f>
        <v>67024/510</v>
      </c>
      <c r="AA1235" s="1" t="str">
        <f>"معاونت اقتصادوزارت راه وشهرسازي"</f>
        <v>معاونت اقتصادوزارت راه وشهرسازي</v>
      </c>
      <c r="AB1235" s="1" t="str">
        <f>"94/12/05"</f>
        <v>94/12/05</v>
      </c>
      <c r="AC1235" s="1" t="str">
        <f>"كهكيلويه و بوير احمد"</f>
        <v>كهكيلويه و بوير احمد</v>
      </c>
      <c r="AD1235" s="1" t="str">
        <f>"95/03/12"</f>
        <v>95/03/12</v>
      </c>
      <c r="AE1235" s="1" t="str">
        <f t="shared" si="309"/>
        <v>اختتام</v>
      </c>
      <c r="AF1235" s="1" t="str">
        <f>""</f>
        <v/>
      </c>
      <c r="AG1235" s="1" t="str">
        <f>""</f>
        <v/>
      </c>
      <c r="AH1235" s="1" t="str">
        <f>""</f>
        <v/>
      </c>
      <c r="AI1235" s="1" t="str">
        <f>""</f>
        <v/>
      </c>
      <c r="AJ1235" s="1" t="str">
        <f>""</f>
        <v/>
      </c>
      <c r="AK1235" s="1" t="str">
        <f>""</f>
        <v/>
      </c>
    </row>
    <row r="1236" spans="1:37" x14ac:dyDescent="0.2">
      <c r="A1236" s="1">
        <v>700000</v>
      </c>
      <c r="B1236" s="1">
        <v>951700167</v>
      </c>
      <c r="C1236" s="1" t="str">
        <f>"تخليه -جنوب كرمان -منوجان -بعدازشهرك صنعتي -كارخانه آسفالت زرين شن منوجان"</f>
        <v>تخليه -جنوب كرمان -منوجان -بعدازشهرك صنعتي -كارخانه آسفالت زرين شن منوجان</v>
      </c>
      <c r="D1236" s="1">
        <v>7176</v>
      </c>
      <c r="E1236" s="1">
        <v>698500</v>
      </c>
      <c r="F1236" s="1">
        <v>95</v>
      </c>
      <c r="G1236" s="1">
        <v>1500</v>
      </c>
      <c r="H1236" s="1" t="str">
        <f>"95/06/04"</f>
        <v>95/06/04</v>
      </c>
      <c r="I1236" s="1" t="str">
        <f t="shared" si="310"/>
        <v>كيلوگرم</v>
      </c>
      <c r="J1236" s="1" t="str">
        <f>"0000000093"</f>
        <v>0000000093</v>
      </c>
      <c r="K1236" s="1" t="str">
        <f>"قير  PG64-10"</f>
        <v>قير  PG64-10</v>
      </c>
      <c r="L1236" s="1">
        <v>100</v>
      </c>
      <c r="M1236" s="1" t="str">
        <f t="shared" si="313"/>
        <v>مخازن قير اصفهان</v>
      </c>
      <c r="N1236" s="1">
        <v>10547</v>
      </c>
      <c r="O1236" s="1">
        <v>50031626</v>
      </c>
      <c r="P1236" s="1" t="str">
        <f>"  پي و پل جنوب"</f>
        <v xml:space="preserve">  پي و پل جنوب</v>
      </c>
      <c r="Q1236" s="1">
        <v>17</v>
      </c>
      <c r="R1236" s="1" t="str">
        <f>"فروش داخلي تهران - وزارت راه - راه روستايي - روکش"</f>
        <v>فروش داخلي تهران - وزارت راه - راه روستايي - روکش</v>
      </c>
      <c r="S1236" s="1" t="str">
        <f t="shared" si="311"/>
        <v>قرارداد فروش</v>
      </c>
      <c r="T1236" s="1" t="str">
        <f t="shared" si="312"/>
        <v>ندارد</v>
      </c>
      <c r="U1236" s="1" t="str">
        <f>"حاصليان ترابرجنوب مرتضي حاصلي (4844006)"</f>
        <v>حاصليان ترابرجنوب مرتضي حاصلي (4844006)</v>
      </c>
      <c r="V1236" s="1">
        <v>951700167</v>
      </c>
      <c r="W1236" s="1">
        <v>951700167</v>
      </c>
      <c r="X1236" s="1" t="str">
        <f>"1395426700"</f>
        <v>1395426700</v>
      </c>
      <c r="Y1236" s="1" t="str">
        <f>"95/06/04"</f>
        <v>95/06/04</v>
      </c>
      <c r="Z1236" s="1" t="str">
        <f>"24842/510"</f>
        <v>24842/510</v>
      </c>
      <c r="AA1236" s="1" t="str">
        <f>"راه روستائي -روكش"</f>
        <v>راه روستائي -روكش</v>
      </c>
      <c r="AB1236" s="1" t="str">
        <f>"95/05/31"</f>
        <v>95/05/31</v>
      </c>
      <c r="AC1236" s="1" t="str">
        <f>"جنوب کرمان"</f>
        <v>جنوب کرمان</v>
      </c>
      <c r="AD1236" s="1" t="str">
        <f>"95/06/03"</f>
        <v>95/06/03</v>
      </c>
      <c r="AE1236" s="1" t="str">
        <f t="shared" si="309"/>
        <v>اختتام</v>
      </c>
      <c r="AF1236" s="1" t="str">
        <f>""</f>
        <v/>
      </c>
      <c r="AG1236" s="1" t="str">
        <f>""</f>
        <v/>
      </c>
      <c r="AH1236" s="1" t="str">
        <f>""</f>
        <v/>
      </c>
      <c r="AI1236" s="1" t="str">
        <f>""</f>
        <v/>
      </c>
      <c r="AJ1236" s="1" t="str">
        <f>""</f>
        <v/>
      </c>
      <c r="AK1236" s="1" t="str">
        <f>""</f>
        <v/>
      </c>
    </row>
    <row r="1237" spans="1:37" x14ac:dyDescent="0.2">
      <c r="A1237" s="1">
        <v>689000</v>
      </c>
      <c r="B1237" s="1">
        <v>951700034</v>
      </c>
      <c r="C1237" s="1" t="str">
        <f>"تخليه -هرمزگان -بستك -كيلومتر5جاده جناح -خلوص كارخانه شركت راهسازگوده"</f>
        <v>تخليه -هرمزگان -بستك -كيلومتر5جاده جناح -خلوص كارخانه شركت راهسازگوده</v>
      </c>
      <c r="D1237" s="1">
        <v>6050</v>
      </c>
      <c r="E1237" s="1">
        <v>687960</v>
      </c>
      <c r="F1237" s="1">
        <v>95</v>
      </c>
      <c r="G1237" s="1">
        <v>1040</v>
      </c>
      <c r="H1237" s="1" t="str">
        <f>"95/03/22"</f>
        <v>95/03/22</v>
      </c>
      <c r="I1237" s="1" t="str">
        <f t="shared" si="310"/>
        <v>كيلوگرم</v>
      </c>
      <c r="J1237" s="1" t="str">
        <f t="shared" ref="J1237:J1243" si="314">"0000000092"</f>
        <v>0000000092</v>
      </c>
      <c r="K1237" s="1" t="str">
        <f t="shared" ref="K1237:K1243" si="315">"قير  PG64-16"</f>
        <v>قير  PG64-16</v>
      </c>
      <c r="L1237" s="1">
        <v>100</v>
      </c>
      <c r="M1237" s="1" t="str">
        <f t="shared" si="313"/>
        <v>مخازن قير اصفهان</v>
      </c>
      <c r="N1237" s="1">
        <v>10212</v>
      </c>
      <c r="O1237" s="1">
        <v>50031002</v>
      </c>
      <c r="P1237" s="1" t="str">
        <f>"  اداره كل راه وشهرسازي هرمزگان"</f>
        <v xml:space="preserve">  اداره كل راه وشهرسازي هرمزگان</v>
      </c>
      <c r="Q1237" s="1">
        <v>17</v>
      </c>
      <c r="R1237" s="1" t="str">
        <f>"فروش داخلي تهران - وزارت راه - راه روستايي - روکش"</f>
        <v>فروش داخلي تهران - وزارت راه - راه روستايي - روکش</v>
      </c>
      <c r="S1237" s="1" t="str">
        <f t="shared" si="311"/>
        <v>قرارداد فروش</v>
      </c>
      <c r="T1237" s="1" t="str">
        <f t="shared" si="312"/>
        <v>ندارد</v>
      </c>
      <c r="U1237" s="1" t="str">
        <f>"حاصليان ترابرجنوب مرتضي حاصلي (4844006)"</f>
        <v>حاصليان ترابرجنوب مرتضي حاصلي (4844006)</v>
      </c>
      <c r="V1237" s="1">
        <v>951700034</v>
      </c>
      <c r="W1237" s="1">
        <v>951700034</v>
      </c>
      <c r="X1237" s="1" t="str">
        <f>"1395408774"</f>
        <v>1395408774</v>
      </c>
      <c r="Y1237" s="1" t="str">
        <f>"95/03/22"</f>
        <v>95/03/22</v>
      </c>
      <c r="Z1237" s="1" t="str">
        <f>"10785/510"</f>
        <v>10785/510</v>
      </c>
      <c r="AA1237" s="1" t="str">
        <f>"راه روستائي -روكش"</f>
        <v>راه روستائي -روكش</v>
      </c>
      <c r="AB1237" s="1" t="str">
        <f>"95/03/17"</f>
        <v>95/03/17</v>
      </c>
      <c r="AC1237" s="1" t="str">
        <f>"استان هرمزگان"</f>
        <v>استان هرمزگان</v>
      </c>
      <c r="AD1237" s="1" t="str">
        <f>"95/03/22"</f>
        <v>95/03/22</v>
      </c>
      <c r="AE1237" s="1" t="str">
        <f t="shared" si="309"/>
        <v>اختتام</v>
      </c>
      <c r="AF1237" s="1" t="str">
        <f>""</f>
        <v/>
      </c>
      <c r="AG1237" s="1" t="str">
        <f>""</f>
        <v/>
      </c>
      <c r="AH1237" s="1" t="str">
        <f>""</f>
        <v/>
      </c>
      <c r="AI1237" s="1" t="str">
        <f>""</f>
        <v/>
      </c>
      <c r="AJ1237" s="1" t="str">
        <f>""</f>
        <v/>
      </c>
      <c r="AK1237" s="1" t="str">
        <f>""</f>
        <v/>
      </c>
    </row>
    <row r="1238" spans="1:37" x14ac:dyDescent="0.2">
      <c r="A1238" s="1">
        <v>2754000</v>
      </c>
      <c r="B1238" s="1">
        <v>951700285</v>
      </c>
      <c r="C1238" s="1" t="str">
        <f>"تخليه -هرمزگان -بستك -كيلومتر5جاده جناح -خلوص كارخانه شركت راهسازگوده"</f>
        <v>تخليه -هرمزگان -بستك -كيلومتر5جاده جناح -خلوص كارخانه شركت راهسازگوده</v>
      </c>
      <c r="D1238" s="1">
        <v>8323</v>
      </c>
      <c r="E1238" s="1">
        <v>2752820</v>
      </c>
      <c r="F1238" s="1">
        <v>95</v>
      </c>
      <c r="G1238" s="1">
        <v>1180</v>
      </c>
      <c r="H1238" s="1" t="str">
        <f>"95/08/10"</f>
        <v>95/08/10</v>
      </c>
      <c r="I1238" s="1" t="str">
        <f t="shared" si="310"/>
        <v>كيلوگرم</v>
      </c>
      <c r="J1238" s="1" t="str">
        <f t="shared" si="314"/>
        <v>0000000092</v>
      </c>
      <c r="K1238" s="1" t="str">
        <f t="shared" si="315"/>
        <v>قير  PG64-16</v>
      </c>
      <c r="L1238" s="1">
        <v>100</v>
      </c>
      <c r="M1238" s="1" t="str">
        <f t="shared" si="313"/>
        <v>مخازن قير اصفهان</v>
      </c>
      <c r="N1238" s="1">
        <v>10212</v>
      </c>
      <c r="O1238" s="1">
        <v>50032591</v>
      </c>
      <c r="P1238" s="1" t="str">
        <f>"  اداره كل راه وشهرسازي هرمزگان"</f>
        <v xml:space="preserve">  اداره كل راه وشهرسازي هرمزگان</v>
      </c>
      <c r="Q1238" s="1">
        <v>17</v>
      </c>
      <c r="R1238" s="1" t="str">
        <f>"فروش داخلي تهران - وزارت راه - راه روستايي - روکش"</f>
        <v>فروش داخلي تهران - وزارت راه - راه روستايي - روکش</v>
      </c>
      <c r="S1238" s="1" t="str">
        <f t="shared" si="311"/>
        <v>قرارداد فروش</v>
      </c>
      <c r="T1238" s="1" t="str">
        <f t="shared" si="312"/>
        <v>ندارد</v>
      </c>
      <c r="U1238" s="1" t="str">
        <f>"حاصليان ترابرجنوب مرتضي حاصلي (4844006)"</f>
        <v>حاصليان ترابرجنوب مرتضي حاصلي (4844006)</v>
      </c>
      <c r="V1238" s="1">
        <v>951700285</v>
      </c>
      <c r="W1238" s="1">
        <v>951700285</v>
      </c>
      <c r="X1238" s="1" t="str">
        <f>"1395441025"</f>
        <v>1395441025</v>
      </c>
      <c r="Y1238" s="1" t="str">
        <f>"95/08/10"</f>
        <v>95/08/10</v>
      </c>
      <c r="Z1238" s="1" t="str">
        <f>"37219/710"</f>
        <v>37219/710</v>
      </c>
      <c r="AA1238" s="1" t="str">
        <f>"راه روستائي -روكش"</f>
        <v>راه روستائي -روكش</v>
      </c>
      <c r="AB1238" s="1" t="str">
        <f>"95/08/03"</f>
        <v>95/08/03</v>
      </c>
      <c r="AC1238" s="1" t="str">
        <f>"استان هرمزگان"</f>
        <v>استان هرمزگان</v>
      </c>
      <c r="AD1238" s="1" t="str">
        <f>"95/08/05"</f>
        <v>95/08/05</v>
      </c>
      <c r="AE1238" s="1" t="str">
        <f t="shared" si="309"/>
        <v>اختتام</v>
      </c>
      <c r="AF1238" s="1" t="str">
        <f>""</f>
        <v/>
      </c>
      <c r="AG1238" s="1" t="str">
        <f>""</f>
        <v/>
      </c>
      <c r="AH1238" s="1" t="str">
        <f>""</f>
        <v/>
      </c>
      <c r="AI1238" s="1" t="str">
        <f>""</f>
        <v/>
      </c>
      <c r="AJ1238" s="1" t="str">
        <f>""</f>
        <v/>
      </c>
      <c r="AK1238" s="1" t="str">
        <f>""</f>
        <v/>
      </c>
    </row>
    <row r="1239" spans="1:37" x14ac:dyDescent="0.2">
      <c r="A1239" s="1">
        <v>500000</v>
      </c>
      <c r="B1239" s="1">
        <v>951900316</v>
      </c>
      <c r="C1239" s="1" t="str">
        <f>"تخليه ايلام مخازن قيرشركت سي يول ارگ"</f>
        <v>تخليه ايلام مخازن قيرشركت سي يول ارگ</v>
      </c>
      <c r="D1239" s="1">
        <v>9068</v>
      </c>
      <c r="E1239" s="1">
        <v>500000</v>
      </c>
      <c r="F1239" s="1">
        <v>95</v>
      </c>
      <c r="G1239" s="1">
        <v>0</v>
      </c>
      <c r="H1239" s="1" t="str">
        <f>"95/12/25"</f>
        <v>95/12/25</v>
      </c>
      <c r="I1239" s="1" t="str">
        <f t="shared" si="310"/>
        <v>كيلوگرم</v>
      </c>
      <c r="J1239" s="1" t="str">
        <f t="shared" si="314"/>
        <v>0000000092</v>
      </c>
      <c r="K1239" s="1" t="str">
        <f t="shared" si="315"/>
        <v>قير  PG64-16</v>
      </c>
      <c r="L1239" s="1">
        <v>100</v>
      </c>
      <c r="M1239" s="1" t="str">
        <f t="shared" si="313"/>
        <v>مخازن قير اصفهان</v>
      </c>
      <c r="N1239" s="1">
        <v>10303</v>
      </c>
      <c r="O1239" s="1">
        <v>50034263</v>
      </c>
      <c r="P1239" s="1" t="str">
        <f>"  سي يول ارگ"</f>
        <v xml:space="preserve">  سي يول ارگ</v>
      </c>
      <c r="Q1239" s="1">
        <v>19</v>
      </c>
      <c r="R123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39" s="1" t="str">
        <f t="shared" si="311"/>
        <v>قرارداد فروش</v>
      </c>
      <c r="T1239" s="1" t="str">
        <f t="shared" si="312"/>
        <v>ندارد</v>
      </c>
      <c r="U1239" s="1" t="str">
        <f>"عظيمي محمد(2842015)"</f>
        <v>عظيمي محمد(2842015)</v>
      </c>
      <c r="V1239" s="1">
        <v>951900316</v>
      </c>
      <c r="W1239" s="1">
        <v>951900316</v>
      </c>
      <c r="X1239" s="1" t="str">
        <f>"1395470955"</f>
        <v>1395470955</v>
      </c>
      <c r="Y1239" s="1" t="str">
        <f>"95/12/25"</f>
        <v>95/12/25</v>
      </c>
      <c r="Z1239" s="1" t="str">
        <f>"66009/710"</f>
        <v>66009/710</v>
      </c>
      <c r="AA1239" s="1" t="str">
        <f>"سازمان راهداري وحمل نقل جاده اي"</f>
        <v>سازمان راهداري وحمل نقل جاده اي</v>
      </c>
      <c r="AB1239" s="1" t="str">
        <f>"95/12/23"</f>
        <v>95/12/23</v>
      </c>
      <c r="AC1239" s="1" t="str">
        <f>"استان ايلام"</f>
        <v>استان ايلام</v>
      </c>
      <c r="AD1239" s="1" t="str">
        <f>"95/12/24"</f>
        <v>95/12/24</v>
      </c>
      <c r="AE1239" s="1" t="str">
        <f t="shared" si="309"/>
        <v>اختتام</v>
      </c>
      <c r="AF1239" s="1" t="str">
        <f>""</f>
        <v/>
      </c>
      <c r="AG1239" s="1" t="str">
        <f>""</f>
        <v/>
      </c>
      <c r="AH1239" s="1" t="str">
        <f>""</f>
        <v/>
      </c>
      <c r="AI1239" s="1" t="str">
        <f>""</f>
        <v/>
      </c>
      <c r="AJ1239" s="1" t="str">
        <f>""</f>
        <v/>
      </c>
      <c r="AK1239" s="1" t="str">
        <f>""</f>
        <v/>
      </c>
    </row>
    <row r="1240" spans="1:37" x14ac:dyDescent="0.2">
      <c r="A1240" s="1">
        <v>140000</v>
      </c>
      <c r="B1240" s="1">
        <v>956100025</v>
      </c>
      <c r="C1240" s="1" t="str">
        <f>"تخليه -سيستان وبلوچستان -شهرستان هامون -شهرمحمدشهر-كيلومتر5جاده شهرك معدن -شركت سيستان سازه زابل"</f>
        <v>تخليه -سيستان وبلوچستان -شهرستان هامون -شهرمحمدشهر-كيلومتر5جاده شهرك معدن -شركت سيستان سازه زابل</v>
      </c>
      <c r="D1240" s="1">
        <v>9068</v>
      </c>
      <c r="E1240" s="1">
        <v>138900</v>
      </c>
      <c r="F1240" s="1">
        <v>95</v>
      </c>
      <c r="G1240" s="1">
        <v>1100</v>
      </c>
      <c r="H1240" s="1" t="str">
        <f>"95/12/25"</f>
        <v>95/12/25</v>
      </c>
      <c r="I1240" s="1" t="str">
        <f t="shared" si="310"/>
        <v>كيلوگرم</v>
      </c>
      <c r="J1240" s="1" t="str">
        <f t="shared" si="314"/>
        <v>0000000092</v>
      </c>
      <c r="K1240" s="1" t="str">
        <f t="shared" si="315"/>
        <v>قير  PG64-16</v>
      </c>
      <c r="L1240" s="1">
        <v>100</v>
      </c>
      <c r="M1240" s="1" t="str">
        <f t="shared" si="313"/>
        <v>مخازن قير اصفهان</v>
      </c>
      <c r="N1240" s="1">
        <v>10421</v>
      </c>
      <c r="O1240" s="1">
        <v>50034262</v>
      </c>
      <c r="P1240" s="1" t="str">
        <f>"  تعاوني راه وساختمان  3136سيستان سازه زابل"</f>
        <v xml:space="preserve">  تعاوني راه وساختمان  3136سيستان سازه زابل</v>
      </c>
      <c r="Q1240" s="1">
        <v>61</v>
      </c>
      <c r="R1240" s="1" t="str">
        <f>"فروش داخلي - وزارت راه - مسكن مهر"</f>
        <v>فروش داخلي - وزارت راه - مسكن مهر</v>
      </c>
      <c r="S1240" s="1" t="str">
        <f t="shared" si="311"/>
        <v>قرارداد فروش</v>
      </c>
      <c r="T1240" s="1" t="str">
        <f t="shared" si="312"/>
        <v>ندارد</v>
      </c>
      <c r="U1240" s="1" t="str">
        <f>"قانعي محمدرضا(1011ج89)"</f>
        <v>قانعي محمدرضا(1011ج89)</v>
      </c>
      <c r="V1240" s="1">
        <v>956100025</v>
      </c>
      <c r="W1240" s="1">
        <v>956100025</v>
      </c>
      <c r="X1240" s="1" t="str">
        <f>"1395471041"</f>
        <v>1395471041</v>
      </c>
      <c r="Y1240" s="1" t="str">
        <f>"95/12/25"</f>
        <v>95/12/25</v>
      </c>
      <c r="Z1240" s="1" t="str">
        <f>"64690/710"</f>
        <v>64690/710</v>
      </c>
      <c r="AA1240" s="1" t="str">
        <f>"مسكن مهر-وزارت راه"</f>
        <v>مسكن مهر-وزارت راه</v>
      </c>
      <c r="AB1240" s="1" t="str">
        <f>"95/12/17"</f>
        <v>95/12/17</v>
      </c>
      <c r="AC1240" s="1" t="str">
        <f>"استان سيستان بلوچستان"</f>
        <v>استان سيستان بلوچستان</v>
      </c>
      <c r="AD1240" s="1" t="str">
        <f>"95/12/25"</f>
        <v>95/12/25</v>
      </c>
      <c r="AE1240" s="1" t="str">
        <f t="shared" si="309"/>
        <v>اختتام</v>
      </c>
      <c r="AF1240" s="1" t="str">
        <f>""</f>
        <v/>
      </c>
      <c r="AG1240" s="1" t="str">
        <f>""</f>
        <v/>
      </c>
      <c r="AH1240" s="1" t="str">
        <f>""</f>
        <v/>
      </c>
      <c r="AI1240" s="1" t="str">
        <f>""</f>
        <v/>
      </c>
      <c r="AJ1240" s="1" t="str">
        <f>""</f>
        <v/>
      </c>
      <c r="AK1240" s="1" t="str">
        <f>""</f>
        <v/>
      </c>
    </row>
    <row r="1241" spans="1:37" x14ac:dyDescent="0.2">
      <c r="A1241" s="1">
        <v>1500000</v>
      </c>
      <c r="B1241" s="1">
        <v>951900064</v>
      </c>
      <c r="C1241" s="1" t="str">
        <f>"تخليه - کارخانه تکميل راه کيلومتر 14 بوئين زهرا"</f>
        <v>تخليه - کارخانه تکميل راه کيلومتر 14 بوئين زهرا</v>
      </c>
      <c r="D1241" s="1">
        <v>6726</v>
      </c>
      <c r="E1241" s="1">
        <v>1498060</v>
      </c>
      <c r="F1241" s="1">
        <v>95</v>
      </c>
      <c r="G1241" s="1">
        <v>1940</v>
      </c>
      <c r="H1241" s="1" t="str">
        <f>"95/05/04"</f>
        <v>95/05/04</v>
      </c>
      <c r="I1241" s="1" t="str">
        <f t="shared" si="310"/>
        <v>كيلوگرم</v>
      </c>
      <c r="J1241" s="1" t="str">
        <f t="shared" si="314"/>
        <v>0000000092</v>
      </c>
      <c r="K1241" s="1" t="str">
        <f t="shared" si="315"/>
        <v>قير  PG64-16</v>
      </c>
      <c r="L1241" s="1">
        <v>100</v>
      </c>
      <c r="M1241" s="1" t="str">
        <f t="shared" si="313"/>
        <v>مخازن قير اصفهان</v>
      </c>
      <c r="N1241" s="1">
        <v>10438</v>
      </c>
      <c r="O1241" s="1">
        <v>50031341</v>
      </c>
      <c r="P1241" s="1" t="str">
        <f>"  سعادت هيوا"</f>
        <v xml:space="preserve">  سعادت هيوا</v>
      </c>
      <c r="Q1241" s="1">
        <v>19</v>
      </c>
      <c r="R12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1" s="1" t="str">
        <f t="shared" si="311"/>
        <v>قرارداد فروش</v>
      </c>
      <c r="T1241" s="1" t="str">
        <f t="shared" si="312"/>
        <v>ندارد</v>
      </c>
      <c r="U1241" s="1" t="str">
        <f>"غلام نجفي سيامك‌‌‌‌‌‌(1881082)"</f>
        <v>غلام نجفي سيامك‌‌‌‌‌‌(1881082)</v>
      </c>
      <c r="V1241" s="1">
        <v>951900064</v>
      </c>
      <c r="W1241" s="1">
        <v>951900064</v>
      </c>
      <c r="X1241" s="1" t="str">
        <f>"1395417772"</f>
        <v>1395417772</v>
      </c>
      <c r="Y1241" s="1" t="str">
        <f>"95/05/04"</f>
        <v>95/05/04</v>
      </c>
      <c r="Z1241" s="1" t="str">
        <f>"18386/510"</f>
        <v>18386/510</v>
      </c>
      <c r="AA1241" s="1" t="str">
        <f>"سازمان راهداري وحمل نقل جاده اي"</f>
        <v>سازمان راهداري وحمل نقل جاده اي</v>
      </c>
      <c r="AB1241" s="1" t="str">
        <f>"95/04/28"</f>
        <v>95/04/28</v>
      </c>
      <c r="AC1241" s="1" t="str">
        <f>"قزوين"</f>
        <v>قزوين</v>
      </c>
      <c r="AD1241" s="1" t="str">
        <f>"95/05/04"</f>
        <v>95/05/04</v>
      </c>
      <c r="AE1241" s="1" t="str">
        <f t="shared" si="309"/>
        <v>اختتام</v>
      </c>
      <c r="AF1241" s="1" t="str">
        <f>""</f>
        <v/>
      </c>
      <c r="AG1241" s="1" t="str">
        <f>""</f>
        <v/>
      </c>
      <c r="AH1241" s="1" t="str">
        <f>""</f>
        <v/>
      </c>
      <c r="AI1241" s="1" t="str">
        <f>""</f>
        <v/>
      </c>
      <c r="AJ1241" s="1" t="str">
        <f>""</f>
        <v/>
      </c>
      <c r="AK1241" s="1" t="str">
        <f>""</f>
        <v/>
      </c>
    </row>
    <row r="1242" spans="1:37" x14ac:dyDescent="0.2">
      <c r="A1242" s="1">
        <v>24120</v>
      </c>
      <c r="B1242" s="1">
        <v>951900231</v>
      </c>
      <c r="C1242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1242" s="1">
        <v>9061</v>
      </c>
      <c r="E1242" s="1">
        <v>23440</v>
      </c>
      <c r="F1242" s="1">
        <v>95</v>
      </c>
      <c r="G1242" s="1">
        <v>680</v>
      </c>
      <c r="H1242" s="1" t="str">
        <f>"95/10/05"</f>
        <v>95/10/05</v>
      </c>
      <c r="I1242" s="1" t="str">
        <f t="shared" si="310"/>
        <v>كيلوگرم</v>
      </c>
      <c r="J1242" s="1" t="str">
        <f t="shared" si="314"/>
        <v>0000000092</v>
      </c>
      <c r="K1242" s="1" t="str">
        <f t="shared" si="315"/>
        <v>قير  PG64-16</v>
      </c>
      <c r="L1242" s="1">
        <v>100</v>
      </c>
      <c r="M1242" s="1" t="str">
        <f t="shared" si="313"/>
        <v>مخازن قير اصفهان</v>
      </c>
      <c r="N1242" s="1">
        <v>10521</v>
      </c>
      <c r="O1242" s="1">
        <v>50033155</v>
      </c>
      <c r="P1242" s="1" t="str">
        <f>"  ساختماني يافته كوه"</f>
        <v xml:space="preserve">  ساختماني يافته كوه</v>
      </c>
      <c r="Q1242" s="1">
        <v>19</v>
      </c>
      <c r="R12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2" s="1" t="str">
        <f t="shared" si="311"/>
        <v>قرارداد فروش</v>
      </c>
      <c r="T1242" s="1" t="str">
        <f t="shared" si="312"/>
        <v>ندارد</v>
      </c>
      <c r="U1242" s="1" t="str">
        <f>"ريسماني حسن(1007ج89)"</f>
        <v>ريسماني حسن(1007ج89)</v>
      </c>
      <c r="V1242" s="1">
        <v>951900231</v>
      </c>
      <c r="W1242" s="1">
        <v>951900231</v>
      </c>
      <c r="X1242" s="1" t="str">
        <f>"1395446287"</f>
        <v>1395446287</v>
      </c>
      <c r="Y1242" s="1" t="str">
        <f>"95/10/05"</f>
        <v>95/10/05</v>
      </c>
      <c r="Z1242" s="1" t="str">
        <f>"39769/710"</f>
        <v>39769/710</v>
      </c>
      <c r="AA1242" s="1" t="str">
        <f>"سازمان راهداري وحمل نقل جاده اي"</f>
        <v>سازمان راهداري وحمل نقل جاده اي</v>
      </c>
      <c r="AB1242" s="1" t="str">
        <f>"95/08/15"</f>
        <v>95/08/15</v>
      </c>
      <c r="AC1242" s="1" t="str">
        <f>"لرستان"</f>
        <v>لرستان</v>
      </c>
      <c r="AD1242" s="1" t="str">
        <f>"95/08/29"</f>
        <v>95/08/29</v>
      </c>
      <c r="AE1242" s="1" t="str">
        <f t="shared" ref="AE1242:AE1273" si="316">"اختتام"</f>
        <v>اختتام</v>
      </c>
      <c r="AF1242" s="1" t="str">
        <f>""</f>
        <v/>
      </c>
      <c r="AG1242" s="1" t="str">
        <f>""</f>
        <v/>
      </c>
      <c r="AH1242" s="1" t="str">
        <f>""</f>
        <v/>
      </c>
      <c r="AI1242" s="1" t="str">
        <f>""</f>
        <v/>
      </c>
      <c r="AJ1242" s="1" t="str">
        <f>""</f>
        <v/>
      </c>
      <c r="AK1242" s="1" t="str">
        <f>""</f>
        <v/>
      </c>
    </row>
    <row r="1243" spans="1:37" x14ac:dyDescent="0.2">
      <c r="A1243" s="1">
        <v>1300000</v>
      </c>
      <c r="B1243" s="1">
        <v>951900257</v>
      </c>
      <c r="C1243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243" s="1">
        <v>9511</v>
      </c>
      <c r="E1243" s="1">
        <v>1300000</v>
      </c>
      <c r="F1243" s="1">
        <v>95</v>
      </c>
      <c r="G1243" s="1">
        <v>0</v>
      </c>
      <c r="H1243" s="1" t="str">
        <f>"95/11/04"</f>
        <v>95/11/04</v>
      </c>
      <c r="I1243" s="1" t="str">
        <f t="shared" si="310"/>
        <v>كيلوگرم</v>
      </c>
      <c r="J1243" s="1" t="str">
        <f t="shared" si="314"/>
        <v>0000000092</v>
      </c>
      <c r="K1243" s="1" t="str">
        <f t="shared" si="315"/>
        <v>قير  PG64-16</v>
      </c>
      <c r="L1243" s="1">
        <v>100</v>
      </c>
      <c r="M1243" s="1" t="str">
        <f t="shared" si="313"/>
        <v>مخازن قير اصفهان</v>
      </c>
      <c r="N1243" s="1">
        <v>10547</v>
      </c>
      <c r="O1243" s="1">
        <v>50033498</v>
      </c>
      <c r="P1243" s="1" t="str">
        <f>"  پي و پل جنوب"</f>
        <v xml:space="preserve">  پي و پل جنوب</v>
      </c>
      <c r="Q1243" s="1">
        <v>19</v>
      </c>
      <c r="R12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3" s="1" t="str">
        <f t="shared" si="311"/>
        <v>قرارداد فروش</v>
      </c>
      <c r="T1243" s="1" t="str">
        <f t="shared" si="312"/>
        <v>ندارد</v>
      </c>
      <c r="U1243" s="1" t="str">
        <f>"قره باغي مجيد(1871065)"</f>
        <v>قره باغي مجيد(1871065)</v>
      </c>
      <c r="V1243" s="1">
        <v>951900257</v>
      </c>
      <c r="W1243" s="1">
        <v>951900257</v>
      </c>
      <c r="X1243" s="1" t="str">
        <f>"1395460244"</f>
        <v>1395460244</v>
      </c>
      <c r="Y1243" s="1" t="str">
        <f>"95/11/04"</f>
        <v>95/11/04</v>
      </c>
      <c r="Z1243" s="1" t="str">
        <f>"53153/710"</f>
        <v>53153/710</v>
      </c>
      <c r="AA1243" s="1" t="str">
        <f>"سازمان راهداري وحمل نقل جاده اي"</f>
        <v>سازمان راهداري وحمل نقل جاده اي</v>
      </c>
      <c r="AB1243" s="1" t="str">
        <f>"95/10/26"</f>
        <v>95/10/26</v>
      </c>
      <c r="AC1243" s="1" t="str">
        <f>"جنوب کرمان"</f>
        <v>جنوب کرمان</v>
      </c>
      <c r="AD1243" s="1" t="str">
        <f>"95/11/04"</f>
        <v>95/11/04</v>
      </c>
      <c r="AE1243" s="1" t="str">
        <f t="shared" si="316"/>
        <v>اختتام</v>
      </c>
      <c r="AF1243" s="1" t="str">
        <f>""</f>
        <v/>
      </c>
      <c r="AG1243" s="1" t="str">
        <f>""</f>
        <v/>
      </c>
      <c r="AH1243" s="1" t="str">
        <f>""</f>
        <v/>
      </c>
      <c r="AI1243" s="1" t="str">
        <f>""</f>
        <v/>
      </c>
      <c r="AJ1243" s="1" t="str">
        <f>""</f>
        <v/>
      </c>
      <c r="AK1243" s="1" t="str">
        <f>""</f>
        <v/>
      </c>
    </row>
    <row r="1244" spans="1:37" x14ac:dyDescent="0.2">
      <c r="A1244" s="1">
        <v>290000</v>
      </c>
      <c r="B1244" s="1">
        <v>951700113</v>
      </c>
      <c r="C1244" s="1" t="str">
        <f>"تخليه - ياسوج -کارخانه آسفالت ساحلي"</f>
        <v>تخليه - ياسوج -کارخانه آسفالت ساحلي</v>
      </c>
      <c r="D1244" s="1">
        <v>6250</v>
      </c>
      <c r="E1244" s="1">
        <v>288020</v>
      </c>
      <c r="F1244" s="1">
        <v>95</v>
      </c>
      <c r="G1244" s="1">
        <v>1980</v>
      </c>
      <c r="H1244" s="1" t="str">
        <f>"95/04/29"</f>
        <v>95/04/29</v>
      </c>
      <c r="I1244" s="1" t="str">
        <f t="shared" si="310"/>
        <v>كيلوگرم</v>
      </c>
      <c r="J1244" s="1" t="str">
        <f t="shared" ref="J1244:J1249" si="317">"0000000093"</f>
        <v>0000000093</v>
      </c>
      <c r="K1244" s="1" t="str">
        <f t="shared" ref="K1244:K1249" si="318">"قير  PG64-10"</f>
        <v>قير  PG64-10</v>
      </c>
      <c r="L1244" s="1">
        <v>100</v>
      </c>
      <c r="M1244" s="1" t="str">
        <f t="shared" si="313"/>
        <v>مخازن قير اصفهان</v>
      </c>
      <c r="N1244" s="1">
        <v>10935</v>
      </c>
      <c r="O1244" s="1">
        <v>50031323</v>
      </c>
      <c r="P1244" s="1" t="str">
        <f>"  پارس سهندجنوب"</f>
        <v xml:space="preserve">  پارس سهندجنوب</v>
      </c>
      <c r="Q1244" s="1">
        <v>17</v>
      </c>
      <c r="R1244" s="1" t="str">
        <f>"فروش داخلي تهران - وزارت راه - راه روستايي - روکش"</f>
        <v>فروش داخلي تهران - وزارت راه - راه روستايي - روکش</v>
      </c>
      <c r="S1244" s="1" t="str">
        <f t="shared" si="311"/>
        <v>قرارداد فروش</v>
      </c>
      <c r="T1244" s="1" t="str">
        <f t="shared" si="312"/>
        <v>ندارد</v>
      </c>
      <c r="U1244" s="1" t="str">
        <f>"غلام نجفي سيامك‌‌‌‌‌‌(1881082)"</f>
        <v>غلام نجفي سيامك‌‌‌‌‌‌(1881082)</v>
      </c>
      <c r="V1244" s="1">
        <v>951700113</v>
      </c>
      <c r="W1244" s="1">
        <v>951700113</v>
      </c>
      <c r="X1244" s="1" t="str">
        <f>"1395416542"</f>
        <v>1395416542</v>
      </c>
      <c r="Y1244" s="1" t="str">
        <f>"95/04/29"</f>
        <v>95/04/29</v>
      </c>
      <c r="Z1244" s="1" t="str">
        <f>"17897/510"</f>
        <v>17897/510</v>
      </c>
      <c r="AA1244" s="1" t="str">
        <f>"راه روستائي -روكش"</f>
        <v>راه روستائي -روكش</v>
      </c>
      <c r="AB1244" s="1" t="str">
        <f>"95/04/26"</f>
        <v>95/04/26</v>
      </c>
      <c r="AC1244" s="1" t="str">
        <f>"كهكيلويه و بوير احمد"</f>
        <v>كهكيلويه و بوير احمد</v>
      </c>
      <c r="AD1244" s="1" t="str">
        <f>"95/04/29"</f>
        <v>95/04/29</v>
      </c>
      <c r="AE1244" s="1" t="str">
        <f t="shared" si="316"/>
        <v>اختتام</v>
      </c>
      <c r="AF1244" s="1" t="str">
        <f>""</f>
        <v/>
      </c>
      <c r="AG1244" s="1" t="str">
        <f>""</f>
        <v/>
      </c>
      <c r="AH1244" s="1" t="str">
        <f>""</f>
        <v/>
      </c>
      <c r="AI1244" s="1" t="str">
        <f>""</f>
        <v/>
      </c>
      <c r="AJ1244" s="1" t="str">
        <f>""</f>
        <v/>
      </c>
      <c r="AK1244" s="1" t="str">
        <f>""</f>
        <v/>
      </c>
    </row>
    <row r="1245" spans="1:37" x14ac:dyDescent="0.2">
      <c r="A1245" s="1">
        <v>65000</v>
      </c>
      <c r="B1245" s="1">
        <v>951600019</v>
      </c>
      <c r="C1245" s="1" t="str">
        <f>"تخليه خراسان جنوبي بيرجندكارخانه آسفالت شماره 2راه وشهرسازي بيرجند"</f>
        <v>تخليه خراسان جنوبي بيرجندكارخانه آسفالت شماره 2راه وشهرسازي بيرجند</v>
      </c>
      <c r="D1245" s="1">
        <v>7176</v>
      </c>
      <c r="E1245" s="1">
        <v>62760</v>
      </c>
      <c r="F1245" s="1">
        <v>95</v>
      </c>
      <c r="G1245" s="1">
        <v>2240</v>
      </c>
      <c r="H1245" s="1" t="str">
        <f>"95/06/04"</f>
        <v>95/06/04</v>
      </c>
      <c r="I1245" s="1" t="str">
        <f t="shared" si="310"/>
        <v>كيلوگرم</v>
      </c>
      <c r="J1245" s="1" t="str">
        <f t="shared" si="317"/>
        <v>0000000093</v>
      </c>
      <c r="K1245" s="1" t="str">
        <f t="shared" si="318"/>
        <v>قير  PG64-10</v>
      </c>
      <c r="L1245" s="1">
        <v>100</v>
      </c>
      <c r="M1245" s="1" t="str">
        <f t="shared" si="313"/>
        <v>مخازن قير اصفهان</v>
      </c>
      <c r="N1245" s="1">
        <v>11037</v>
      </c>
      <c r="O1245" s="1">
        <v>50031631</v>
      </c>
      <c r="P1245" s="1" t="str">
        <f>"  مهندسي عمران پيام طوس"</f>
        <v xml:space="preserve">  مهندسي عمران پيام طوس</v>
      </c>
      <c r="Q1245" s="1">
        <v>16</v>
      </c>
      <c r="R1245" s="1" t="str">
        <f>"فروش داخلي تهران - وزارت راه - معاونت اقتصاد"</f>
        <v>فروش داخلي تهران - وزارت راه - معاونت اقتصاد</v>
      </c>
      <c r="S1245" s="1" t="str">
        <f t="shared" si="311"/>
        <v>قرارداد فروش</v>
      </c>
      <c r="T1245" s="1" t="str">
        <f t="shared" si="312"/>
        <v>ندارد</v>
      </c>
      <c r="U1245" s="1" t="str">
        <f>"عزيزي صفر(1006ج 89)"</f>
        <v>عزيزي صفر(1006ج 89)</v>
      </c>
      <c r="V1245" s="1">
        <v>951600019</v>
      </c>
      <c r="W1245" s="1">
        <v>951600019</v>
      </c>
      <c r="X1245" s="1" t="str">
        <f>"1395426744"</f>
        <v>1395426744</v>
      </c>
      <c r="Y1245" s="1" t="str">
        <f>"95/06/04"</f>
        <v>95/06/04</v>
      </c>
      <c r="Z1245" s="1" t="str">
        <f>"23592/510"</f>
        <v>23592/510</v>
      </c>
      <c r="AA1245" s="1" t="str">
        <f>"معاونت اقتصادوزارت راه وشهرسازي"</f>
        <v>معاونت اقتصادوزارت راه وشهرسازي</v>
      </c>
      <c r="AB1245" s="1" t="str">
        <f>"95/05/25"</f>
        <v>95/05/25</v>
      </c>
      <c r="AC1245" s="1" t="str">
        <f>"خراسان جنوبي"</f>
        <v>خراسان جنوبي</v>
      </c>
      <c r="AD1245" s="1" t="str">
        <f>"95/06/03"</f>
        <v>95/06/03</v>
      </c>
      <c r="AE1245" s="1" t="str">
        <f t="shared" si="316"/>
        <v>اختتام</v>
      </c>
      <c r="AF1245" s="1" t="str">
        <f>""</f>
        <v/>
      </c>
      <c r="AG1245" s="1" t="str">
        <f>""</f>
        <v/>
      </c>
      <c r="AH1245" s="1" t="str">
        <f>""</f>
        <v/>
      </c>
      <c r="AI1245" s="1" t="str">
        <f>""</f>
        <v/>
      </c>
      <c r="AJ1245" s="1" t="str">
        <f>""</f>
        <v/>
      </c>
      <c r="AK1245" s="1" t="str">
        <f>""</f>
        <v/>
      </c>
    </row>
    <row r="1246" spans="1:37" x14ac:dyDescent="0.2">
      <c r="A1246" s="1">
        <v>90000</v>
      </c>
      <c r="B1246" s="1">
        <v>951400039</v>
      </c>
      <c r="C1246" s="1" t="str">
        <f>"تخليه- ياسوج-کارخانه آسفالت دارشاهي"</f>
        <v>تخليه- ياسوج-کارخانه آسفالت دارشاهي</v>
      </c>
      <c r="D1246" s="1">
        <v>6250</v>
      </c>
      <c r="E1246" s="1">
        <v>89700</v>
      </c>
      <c r="F1246" s="1">
        <v>95</v>
      </c>
      <c r="G1246" s="1">
        <v>300</v>
      </c>
      <c r="H1246" s="1" t="str">
        <f>"95/04/23"</f>
        <v>95/04/23</v>
      </c>
      <c r="I1246" s="1" t="str">
        <f t="shared" si="310"/>
        <v>كيلوگرم</v>
      </c>
      <c r="J1246" s="1" t="str">
        <f t="shared" si="317"/>
        <v>0000000093</v>
      </c>
      <c r="K1246" s="1" t="str">
        <f t="shared" si="318"/>
        <v>قير  PG64-10</v>
      </c>
      <c r="L1246" s="1">
        <v>100</v>
      </c>
      <c r="M1246" s="1" t="str">
        <f t="shared" si="313"/>
        <v>مخازن قير اصفهان</v>
      </c>
      <c r="N1246" s="1">
        <v>11043</v>
      </c>
      <c r="O1246" s="1">
        <v>50031285</v>
      </c>
      <c r="P1246" s="1" t="str">
        <f>"  كاوه كاركوهستان"</f>
        <v xml:space="preserve">  كاوه كاركوهستان</v>
      </c>
      <c r="Q1246" s="1">
        <v>14</v>
      </c>
      <c r="R1246" s="1" t="str">
        <f>"فروش داخلي - وزارت راه - حوزه راه روستايي ساخت"</f>
        <v>فروش داخلي - وزارت راه - حوزه راه روستايي ساخت</v>
      </c>
      <c r="S1246" s="1" t="str">
        <f t="shared" si="311"/>
        <v>قرارداد فروش</v>
      </c>
      <c r="T1246" s="1" t="str">
        <f t="shared" si="312"/>
        <v>ندارد</v>
      </c>
      <c r="U1246" s="1" t="str">
        <f>"غلام نجفي سيامك‌‌‌‌‌‌(1881082)"</f>
        <v>غلام نجفي سيامك‌‌‌‌‌‌(1881082)</v>
      </c>
      <c r="V1246" s="1">
        <v>951400039</v>
      </c>
      <c r="W1246" s="1">
        <v>951400039</v>
      </c>
      <c r="X1246" s="1" t="str">
        <f>"1395414666"</f>
        <v>1395414666</v>
      </c>
      <c r="Y1246" s="1" t="str">
        <f>"95/04/23"</f>
        <v>95/04/23</v>
      </c>
      <c r="Z1246" s="1" t="str">
        <f>"15884/510"</f>
        <v>15884/510</v>
      </c>
      <c r="AA1246" s="1" t="str">
        <f>"راه وروستايي -ساخت"</f>
        <v>راه وروستايي -ساخت</v>
      </c>
      <c r="AB1246" s="1" t="str">
        <f>"95/04/13"</f>
        <v>95/04/13</v>
      </c>
      <c r="AC1246" s="1" t="str">
        <f>"كهكيلويه و بوير احمد"</f>
        <v>كهكيلويه و بوير احمد</v>
      </c>
      <c r="AD1246" s="1" t="str">
        <f>"95/04/22"</f>
        <v>95/04/22</v>
      </c>
      <c r="AE1246" s="1" t="str">
        <f t="shared" si="316"/>
        <v>اختتام</v>
      </c>
      <c r="AF1246" s="1" t="str">
        <f>""</f>
        <v/>
      </c>
      <c r="AG1246" s="1" t="str">
        <f>""</f>
        <v/>
      </c>
      <c r="AH1246" s="1" t="str">
        <f>""</f>
        <v/>
      </c>
      <c r="AI1246" s="1" t="str">
        <f>""</f>
        <v/>
      </c>
      <c r="AJ1246" s="1" t="str">
        <f>""</f>
        <v/>
      </c>
      <c r="AK1246" s="1" t="str">
        <f>""</f>
        <v/>
      </c>
    </row>
    <row r="1247" spans="1:37" x14ac:dyDescent="0.2">
      <c r="A1247" s="1">
        <v>400000</v>
      </c>
      <c r="B1247" s="1">
        <v>956100004</v>
      </c>
      <c r="C1247" s="1" t="str">
        <f>"تخليه گيلان -لاهيجان بازكياگوراب -مجتمع 184واحدي مسكن مهرايشكاء"</f>
        <v>تخليه گيلان -لاهيجان بازكياگوراب -مجتمع 184واحدي مسكن مهرايشكاء</v>
      </c>
      <c r="D1247" s="1">
        <v>6250</v>
      </c>
      <c r="E1247" s="1">
        <v>399260</v>
      </c>
      <c r="F1247" s="1">
        <v>95</v>
      </c>
      <c r="G1247" s="1">
        <v>740</v>
      </c>
      <c r="H1247" s="1" t="str">
        <f>"95/04/06"</f>
        <v>95/04/06</v>
      </c>
      <c r="I1247" s="1" t="str">
        <f t="shared" si="310"/>
        <v>كيلوگرم</v>
      </c>
      <c r="J1247" s="1" t="str">
        <f t="shared" si="317"/>
        <v>0000000093</v>
      </c>
      <c r="K1247" s="1" t="str">
        <f t="shared" si="318"/>
        <v>قير  PG64-10</v>
      </c>
      <c r="L1247" s="1">
        <v>100</v>
      </c>
      <c r="M1247" s="1" t="str">
        <f t="shared" si="313"/>
        <v>مخازن قير اصفهان</v>
      </c>
      <c r="N1247" s="1">
        <v>11123</v>
      </c>
      <c r="O1247" s="1">
        <v>50031135</v>
      </c>
      <c r="P1247" s="1" t="str">
        <f>"  ماهان مهرتجارت"</f>
        <v xml:space="preserve">  ماهان مهرتجارت</v>
      </c>
      <c r="Q1247" s="1">
        <v>61</v>
      </c>
      <c r="R1247" s="1" t="str">
        <f>"فروش داخلي - وزارت راه - مسكن مهر"</f>
        <v>فروش داخلي - وزارت راه - مسكن مهر</v>
      </c>
      <c r="S1247" s="1" t="str">
        <f t="shared" si="311"/>
        <v>قرارداد فروش</v>
      </c>
      <c r="T1247" s="1" t="str">
        <f t="shared" si="312"/>
        <v>ندارد</v>
      </c>
      <c r="U1247" s="1" t="str">
        <f>"قره باغي مجيد(1871065)"</f>
        <v>قره باغي مجيد(1871065)</v>
      </c>
      <c r="V1247" s="1">
        <v>956100004</v>
      </c>
      <c r="W1247" s="1">
        <v>956100004</v>
      </c>
      <c r="X1247" s="1" t="str">
        <f>"1395411207"</f>
        <v>1395411207</v>
      </c>
      <c r="Y1247" s="1" t="str">
        <f>"95/04/05"</f>
        <v>95/04/05</v>
      </c>
      <c r="Z1247" s="1" t="str">
        <f>"65334/510"</f>
        <v>65334/510</v>
      </c>
      <c r="AA1247" s="1" t="str">
        <f>"مسكن مهر-وزارت راه"</f>
        <v>مسكن مهر-وزارت راه</v>
      </c>
      <c r="AB1247" s="1" t="str">
        <f>"94/11/26"</f>
        <v>94/11/26</v>
      </c>
      <c r="AC1247" s="1" t="str">
        <f>"استان گيلان"</f>
        <v>استان گيلان</v>
      </c>
      <c r="AD1247" s="1" t="str">
        <f>"95/04/05"</f>
        <v>95/04/05</v>
      </c>
      <c r="AE1247" s="1" t="str">
        <f t="shared" si="316"/>
        <v>اختتام</v>
      </c>
      <c r="AF1247" s="1" t="str">
        <f>""</f>
        <v/>
      </c>
      <c r="AG1247" s="1" t="str">
        <f>""</f>
        <v/>
      </c>
      <c r="AH1247" s="1" t="str">
        <f>""</f>
        <v/>
      </c>
      <c r="AI1247" s="1" t="str">
        <f>""</f>
        <v/>
      </c>
      <c r="AJ1247" s="1" t="str">
        <f>""</f>
        <v/>
      </c>
      <c r="AK1247" s="1" t="str">
        <f>""</f>
        <v/>
      </c>
    </row>
    <row r="1248" spans="1:37" x14ac:dyDescent="0.2">
      <c r="A1248" s="1">
        <v>1000000</v>
      </c>
      <c r="B1248" s="1">
        <v>951600011</v>
      </c>
      <c r="C1248" s="1" t="str">
        <f>"تخليه - محور ديهوک-راور روستاي زنوغان-کارخانه آسفالت شرکت"</f>
        <v>تخليه - محور ديهوک-راور روستاي زنوغان-کارخانه آسفالت شرکت</v>
      </c>
      <c r="D1248" s="1">
        <v>6726</v>
      </c>
      <c r="E1248" s="1">
        <v>999140</v>
      </c>
      <c r="F1248" s="1">
        <v>95</v>
      </c>
      <c r="G1248" s="1">
        <v>860</v>
      </c>
      <c r="H1248" s="1" t="str">
        <f>"95/05/06"</f>
        <v>95/05/06</v>
      </c>
      <c r="I1248" s="1" t="str">
        <f t="shared" si="310"/>
        <v>كيلوگرم</v>
      </c>
      <c r="J1248" s="1" t="str">
        <f t="shared" si="317"/>
        <v>0000000093</v>
      </c>
      <c r="K1248" s="1" t="str">
        <f t="shared" si="318"/>
        <v>قير  PG64-10</v>
      </c>
      <c r="L1248" s="1">
        <v>100</v>
      </c>
      <c r="M1248" s="1" t="str">
        <f t="shared" si="313"/>
        <v>مخازن قير اصفهان</v>
      </c>
      <c r="N1248" s="1">
        <v>11144</v>
      </c>
      <c r="O1248" s="1">
        <v>50031390</v>
      </c>
      <c r="P1248" s="1" t="str">
        <f>"  فني وساختماني صالحکاران سپاهان"</f>
        <v xml:space="preserve">  فني وساختماني صالحکاران سپاهان</v>
      </c>
      <c r="Q1248" s="1">
        <v>16</v>
      </c>
      <c r="R1248" s="1" t="str">
        <f>"فروش داخلي تهران - وزارت راه - معاونت اقتصاد"</f>
        <v>فروش داخلي تهران - وزارت راه - معاونت اقتصاد</v>
      </c>
      <c r="S1248" s="1" t="str">
        <f t="shared" si="311"/>
        <v>قرارداد فروش</v>
      </c>
      <c r="T1248" s="1" t="str">
        <f t="shared" si="312"/>
        <v>ندارد</v>
      </c>
      <c r="U1248" s="1" t="str">
        <f>"حسيني سيدجواد(1841076)"</f>
        <v>حسيني سيدجواد(1841076)</v>
      </c>
      <c r="V1248" s="1">
        <v>951600011</v>
      </c>
      <c r="W1248" s="1">
        <v>951600011</v>
      </c>
      <c r="X1248" s="1" t="str">
        <f>"1395419176"</f>
        <v>1395419176</v>
      </c>
      <c r="Y1248" s="1" t="str">
        <f>"95/05/06"</f>
        <v>95/05/06</v>
      </c>
      <c r="Z1248" s="1" t="str">
        <f>"18956/510"</f>
        <v>18956/510</v>
      </c>
      <c r="AA1248" s="1" t="str">
        <f>"معاونت اقتصادوزارت راه وشهرسازي"</f>
        <v>معاونت اقتصادوزارت راه وشهرسازي</v>
      </c>
      <c r="AB1248" s="1" t="str">
        <f>"95/04/30"</f>
        <v>95/04/30</v>
      </c>
      <c r="AC1248" s="1" t="str">
        <f>"خراسان جنوبي"</f>
        <v>خراسان جنوبي</v>
      </c>
      <c r="AD1248" s="1" t="str">
        <f>"95/05/06"</f>
        <v>95/05/06</v>
      </c>
      <c r="AE1248" s="1" t="str">
        <f t="shared" si="316"/>
        <v>اختتام</v>
      </c>
      <c r="AF1248" s="1" t="str">
        <f>""</f>
        <v/>
      </c>
      <c r="AG1248" s="1" t="str">
        <f>""</f>
        <v/>
      </c>
      <c r="AH1248" s="1" t="str">
        <f>""</f>
        <v/>
      </c>
      <c r="AI1248" s="1" t="str">
        <f>""</f>
        <v/>
      </c>
      <c r="AJ1248" s="1" t="str">
        <f>""</f>
        <v/>
      </c>
      <c r="AK1248" s="1" t="str">
        <f>""</f>
        <v/>
      </c>
    </row>
    <row r="1249" spans="1:37" x14ac:dyDescent="0.2">
      <c r="A1249" s="1">
        <v>250000</v>
      </c>
      <c r="B1249" s="1">
        <v>951600086</v>
      </c>
      <c r="C1249" s="1" t="str">
        <f>"تخليه كهكيلويه وبويراحمدپروژه قطعه اول سي سخت ياسوج"</f>
        <v>تخليه كهكيلويه وبويراحمدپروژه قطعه اول سي سخت ياسوج</v>
      </c>
      <c r="D1249" s="1">
        <v>9354</v>
      </c>
      <c r="E1249" s="1">
        <v>248840</v>
      </c>
      <c r="F1249" s="1">
        <v>95</v>
      </c>
      <c r="G1249" s="1">
        <v>1160</v>
      </c>
      <c r="H1249" s="1" t="str">
        <f>"95/11/06"</f>
        <v>95/11/06</v>
      </c>
      <c r="I1249" s="1" t="str">
        <f t="shared" si="310"/>
        <v>كيلوگرم</v>
      </c>
      <c r="J1249" s="1" t="str">
        <f t="shared" si="317"/>
        <v>0000000093</v>
      </c>
      <c r="K1249" s="1" t="str">
        <f t="shared" si="318"/>
        <v>قير  PG64-10</v>
      </c>
      <c r="L1249" s="1">
        <v>100</v>
      </c>
      <c r="M1249" s="1" t="str">
        <f t="shared" si="313"/>
        <v>مخازن قير اصفهان</v>
      </c>
      <c r="N1249" s="1">
        <v>11241</v>
      </c>
      <c r="O1249" s="1">
        <v>50033549</v>
      </c>
      <c r="P1249" s="1" t="str">
        <f>"  راه وساختمان وتاسيسات ساسان بناء ياسوج"</f>
        <v xml:space="preserve">  راه وساختمان وتاسيسات ساسان بناء ياسوج</v>
      </c>
      <c r="Q1249" s="1">
        <v>16</v>
      </c>
      <c r="R1249" s="1" t="str">
        <f>"فروش داخلي تهران - وزارت راه - معاونت اقتصاد"</f>
        <v>فروش داخلي تهران - وزارت راه - معاونت اقتصاد</v>
      </c>
      <c r="S1249" s="1" t="str">
        <f t="shared" si="311"/>
        <v>قرارداد فروش</v>
      </c>
      <c r="T1249" s="1" t="str">
        <f t="shared" si="312"/>
        <v>ندارد</v>
      </c>
      <c r="U1249" s="1" t="str">
        <f>"غلام نجفي سيامك‌‌‌‌‌‌(1881082)"</f>
        <v>غلام نجفي سيامك‌‌‌‌‌‌(1881082)</v>
      </c>
      <c r="V1249" s="1">
        <v>951600086</v>
      </c>
      <c r="W1249" s="1">
        <v>951600086</v>
      </c>
      <c r="X1249" s="1" t="str">
        <f>"1395461167"</f>
        <v>1395461167</v>
      </c>
      <c r="Y1249" s="1" t="str">
        <f>"95/11/06"</f>
        <v>95/11/06</v>
      </c>
      <c r="Z1249" s="1" t="str">
        <f>"53669/710"</f>
        <v>53669/710</v>
      </c>
      <c r="AA1249" s="1" t="str">
        <f>"معاونت اقتصادوزارت راه وشهرسازي"</f>
        <v>معاونت اقتصادوزارت راه وشهرسازي</v>
      </c>
      <c r="AB1249" s="1" t="str">
        <f>"95/10/28"</f>
        <v>95/10/28</v>
      </c>
      <c r="AC1249" s="1" t="str">
        <f>"كهكيلويه و بوير احمد"</f>
        <v>كهكيلويه و بوير احمد</v>
      </c>
      <c r="AD1249" s="1" t="str">
        <f>"95/11/06"</f>
        <v>95/11/06</v>
      </c>
      <c r="AE1249" s="1" t="str">
        <f t="shared" si="316"/>
        <v>اختتام</v>
      </c>
      <c r="AF1249" s="1" t="str">
        <f>""</f>
        <v/>
      </c>
      <c r="AG1249" s="1" t="str">
        <f>""</f>
        <v/>
      </c>
      <c r="AH1249" s="1" t="str">
        <f>""</f>
        <v/>
      </c>
      <c r="AI1249" s="1" t="str">
        <f>""</f>
        <v/>
      </c>
      <c r="AJ1249" s="1" t="str">
        <f>""</f>
        <v/>
      </c>
      <c r="AK1249" s="1" t="str">
        <f>""</f>
        <v/>
      </c>
    </row>
    <row r="1250" spans="1:37" x14ac:dyDescent="0.2">
      <c r="A1250" s="1">
        <v>700000</v>
      </c>
      <c r="B1250" s="1">
        <v>951900271</v>
      </c>
      <c r="C1250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50" s="1">
        <v>8998</v>
      </c>
      <c r="E1250" s="1">
        <v>700000</v>
      </c>
      <c r="F1250" s="1">
        <v>95</v>
      </c>
      <c r="G1250" s="1">
        <v>0</v>
      </c>
      <c r="H1250" s="1" t="str">
        <f>"95/12/10"</f>
        <v>95/12/10</v>
      </c>
      <c r="I1250" s="1" t="str">
        <f t="shared" si="310"/>
        <v>كيلوگرم</v>
      </c>
      <c r="J1250" s="1" t="str">
        <f t="shared" ref="J1250:J1255" si="319">"0000000092"</f>
        <v>0000000092</v>
      </c>
      <c r="K1250" s="1" t="str">
        <f t="shared" ref="K1250:K1255" si="320">"قير  PG64-16"</f>
        <v>قير  PG64-16</v>
      </c>
      <c r="L1250" s="1">
        <v>100</v>
      </c>
      <c r="M1250" s="1" t="str">
        <f t="shared" si="313"/>
        <v>مخازن قير اصفهان</v>
      </c>
      <c r="N1250" s="1">
        <v>10547</v>
      </c>
      <c r="O1250" s="1">
        <v>50033942</v>
      </c>
      <c r="P1250" s="1" t="str">
        <f>"  پي و پل جنوب"</f>
        <v xml:space="preserve">  پي و پل جنوب</v>
      </c>
      <c r="Q1250" s="1">
        <v>19</v>
      </c>
      <c r="R12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0" s="1" t="str">
        <f t="shared" si="311"/>
        <v>قرارداد فروش</v>
      </c>
      <c r="T1250" s="1" t="str">
        <f t="shared" si="312"/>
        <v>ندارد</v>
      </c>
      <c r="U1250" s="1" t="str">
        <f>"قره باغي مجيد(1871065)"</f>
        <v>قره باغي مجيد(1871065)</v>
      </c>
      <c r="V1250" s="1">
        <v>951900271</v>
      </c>
      <c r="W1250" s="1">
        <v>951900271</v>
      </c>
      <c r="X1250" s="1" t="str">
        <f>"1395468355"</f>
        <v>1395468355</v>
      </c>
      <c r="Y1250" s="1" t="str">
        <f>"95/12/10"</f>
        <v>95/12/10</v>
      </c>
      <c r="Z1250" s="1" t="str">
        <f>"62346/710"</f>
        <v>62346/710</v>
      </c>
      <c r="AA1250" s="1" t="str">
        <f>"سازمان راهداري وحمل نقل جاده اي"</f>
        <v>سازمان راهداري وحمل نقل جاده اي</v>
      </c>
      <c r="AB1250" s="1" t="str">
        <f>"95/12/09"</f>
        <v>95/12/09</v>
      </c>
      <c r="AC1250" s="1" t="str">
        <f>"استان هرمزگان"</f>
        <v>استان هرمزگان</v>
      </c>
      <c r="AD1250" s="1" t="str">
        <f>"95/12/10"</f>
        <v>95/12/10</v>
      </c>
      <c r="AE1250" s="1" t="str">
        <f t="shared" si="316"/>
        <v>اختتام</v>
      </c>
      <c r="AF1250" s="1" t="str">
        <f>""</f>
        <v/>
      </c>
      <c r="AG1250" s="1" t="str">
        <f>""</f>
        <v/>
      </c>
      <c r="AH1250" s="1" t="str">
        <f>""</f>
        <v/>
      </c>
      <c r="AI1250" s="1" t="str">
        <f>""</f>
        <v/>
      </c>
      <c r="AJ1250" s="1" t="str">
        <f>""</f>
        <v/>
      </c>
      <c r="AK1250" s="1" t="str">
        <f>""</f>
        <v/>
      </c>
    </row>
    <row r="1251" spans="1:37" x14ac:dyDescent="0.2">
      <c r="A1251" s="1">
        <v>330220</v>
      </c>
      <c r="B1251" s="1">
        <v>951900229</v>
      </c>
      <c r="C1251" s="1" t="str">
        <f>"تخليه-ايلام-جاده ايلام-بدره کارخانه آسفالت شرکت ايلام راه بان"</f>
        <v>تخليه-ايلام-جاده ايلام-بدره کارخانه آسفالت شرکت ايلام راه بان</v>
      </c>
      <c r="D1251" s="1">
        <v>9061</v>
      </c>
      <c r="E1251" s="1">
        <v>329020</v>
      </c>
      <c r="F1251" s="1">
        <v>95</v>
      </c>
      <c r="G1251" s="1">
        <v>1200</v>
      </c>
      <c r="H1251" s="1" t="str">
        <f>"95/10/05"</f>
        <v>95/10/05</v>
      </c>
      <c r="I1251" s="1" t="str">
        <f t="shared" si="310"/>
        <v>كيلوگرم</v>
      </c>
      <c r="J1251" s="1" t="str">
        <f t="shared" si="319"/>
        <v>0000000092</v>
      </c>
      <c r="K1251" s="1" t="str">
        <f t="shared" si="320"/>
        <v>قير  PG64-16</v>
      </c>
      <c r="L1251" s="1">
        <v>100</v>
      </c>
      <c r="M1251" s="1" t="str">
        <f t="shared" si="313"/>
        <v>مخازن قير اصفهان</v>
      </c>
      <c r="N1251" s="1">
        <v>10629</v>
      </c>
      <c r="O1251" s="1">
        <v>50033153</v>
      </c>
      <c r="P1251" s="1" t="str">
        <f>"  سازه كاران ايلام"</f>
        <v xml:space="preserve">  سازه كاران ايلام</v>
      </c>
      <c r="Q1251" s="1">
        <v>19</v>
      </c>
      <c r="R12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1" s="1" t="str">
        <f t="shared" si="311"/>
        <v>قرارداد فروش</v>
      </c>
      <c r="T1251" s="1" t="str">
        <f t="shared" si="312"/>
        <v>ندارد</v>
      </c>
      <c r="U1251" s="1" t="str">
        <f>"عظيمي محمد(2842015)"</f>
        <v>عظيمي محمد(2842015)</v>
      </c>
      <c r="V1251" s="1">
        <v>951900229</v>
      </c>
      <c r="W1251" s="1">
        <v>951900229</v>
      </c>
      <c r="X1251" s="1" t="str">
        <f>"1395446086"</f>
        <v>1395446086</v>
      </c>
      <c r="Y1251" s="1" t="str">
        <f>"95/10/05"</f>
        <v>95/10/05</v>
      </c>
      <c r="Z1251" s="1" t="str">
        <f>"38480/710"</f>
        <v>38480/710</v>
      </c>
      <c r="AA1251" s="1" t="str">
        <f>"سازمان راهداري وحمل نقل جاده اي"</f>
        <v>سازمان راهداري وحمل نقل جاده اي</v>
      </c>
      <c r="AB1251" s="1" t="str">
        <f>"95/08/10"</f>
        <v>95/08/10</v>
      </c>
      <c r="AC1251" s="1" t="str">
        <f>"استان ايلام"</f>
        <v>استان ايلام</v>
      </c>
      <c r="AD1251" s="1" t="str">
        <f>"95/08/26"</f>
        <v>95/08/26</v>
      </c>
      <c r="AE1251" s="1" t="str">
        <f t="shared" si="316"/>
        <v>اختتام</v>
      </c>
      <c r="AF1251" s="1" t="str">
        <f>""</f>
        <v/>
      </c>
      <c r="AG1251" s="1" t="str">
        <f>""</f>
        <v/>
      </c>
      <c r="AH1251" s="1" t="str">
        <f>""</f>
        <v/>
      </c>
      <c r="AI1251" s="1" t="str">
        <f>""</f>
        <v/>
      </c>
      <c r="AJ1251" s="1" t="str">
        <f>""</f>
        <v/>
      </c>
      <c r="AK1251" s="1" t="str">
        <f>""</f>
        <v/>
      </c>
    </row>
    <row r="1252" spans="1:37" x14ac:dyDescent="0.2">
      <c r="A1252" s="1">
        <v>300000</v>
      </c>
      <c r="B1252" s="1">
        <v>951900153</v>
      </c>
      <c r="C1252" s="1" t="str">
        <f>"تخليه ايلام شهرك سرطاف جاده قديم صالح آبادكارخانه ايلام قيرپاش"</f>
        <v>تخليه ايلام شهرك سرطاف جاده قديم صالح آبادكارخانه ايلام قيرپاش</v>
      </c>
      <c r="D1252" s="1">
        <v>7276</v>
      </c>
      <c r="E1252" s="1">
        <v>298840</v>
      </c>
      <c r="F1252" s="1">
        <v>95</v>
      </c>
      <c r="G1252" s="1">
        <v>1160</v>
      </c>
      <c r="H1252" s="1" t="str">
        <f>"95/07/04"</f>
        <v>95/07/04</v>
      </c>
      <c r="I1252" s="1" t="str">
        <f t="shared" si="310"/>
        <v>كيلوگرم</v>
      </c>
      <c r="J1252" s="1" t="str">
        <f t="shared" si="319"/>
        <v>0000000092</v>
      </c>
      <c r="K1252" s="1" t="str">
        <f t="shared" si="320"/>
        <v>قير  PG64-16</v>
      </c>
      <c r="L1252" s="1">
        <v>100</v>
      </c>
      <c r="M1252" s="1" t="str">
        <f t="shared" si="313"/>
        <v>مخازن قير اصفهان</v>
      </c>
      <c r="N1252" s="1">
        <v>10913</v>
      </c>
      <c r="O1252" s="1">
        <v>50031939</v>
      </c>
      <c r="P1252" s="1" t="str">
        <f>"  ايلام راه رود"</f>
        <v xml:space="preserve">  ايلام راه رود</v>
      </c>
      <c r="Q1252" s="1">
        <v>19</v>
      </c>
      <c r="R125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2" s="1" t="str">
        <f t="shared" si="311"/>
        <v>قرارداد فروش</v>
      </c>
      <c r="T1252" s="1" t="str">
        <f t="shared" si="312"/>
        <v>ندارد</v>
      </c>
      <c r="U1252" s="1" t="str">
        <f>"عظيمي محمد(2842015)"</f>
        <v>عظيمي محمد(2842015)</v>
      </c>
      <c r="V1252" s="1">
        <v>951900153</v>
      </c>
      <c r="W1252" s="1">
        <v>951900153</v>
      </c>
      <c r="X1252" s="1" t="str">
        <f>"1395433648"</f>
        <v>1395433648</v>
      </c>
      <c r="Y1252" s="1" t="str">
        <f>"95/07/04"</f>
        <v>95/07/04</v>
      </c>
      <c r="Z1252" s="1" t="str">
        <f>"30957/510"</f>
        <v>30957/510</v>
      </c>
      <c r="AA1252" s="1" t="str">
        <f>"سازمان راهداري وحمل نقل جاده اي"</f>
        <v>سازمان راهداري وحمل نقل جاده اي</v>
      </c>
      <c r="AB1252" s="1" t="str">
        <f>"95/06/29"</f>
        <v>95/06/29</v>
      </c>
      <c r="AC1252" s="1" t="str">
        <f>"استان ايلام"</f>
        <v>استان ايلام</v>
      </c>
      <c r="AD1252" s="1" t="str">
        <f>"95/07/04"</f>
        <v>95/07/04</v>
      </c>
      <c r="AE1252" s="1" t="str">
        <f t="shared" si="316"/>
        <v>اختتام</v>
      </c>
      <c r="AF1252" s="1" t="str">
        <f>""</f>
        <v/>
      </c>
      <c r="AG1252" s="1" t="str">
        <f>""</f>
        <v/>
      </c>
      <c r="AH1252" s="1" t="str">
        <f>""</f>
        <v/>
      </c>
      <c r="AI1252" s="1" t="str">
        <f>""</f>
        <v/>
      </c>
      <c r="AJ1252" s="1" t="str">
        <f>""</f>
        <v/>
      </c>
      <c r="AK1252" s="1" t="str">
        <f>""</f>
        <v/>
      </c>
    </row>
    <row r="1253" spans="1:37" x14ac:dyDescent="0.2">
      <c r="A1253" s="1">
        <v>200000</v>
      </c>
      <c r="B1253" s="1">
        <v>951600090</v>
      </c>
      <c r="C1253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253" s="1">
        <v>8998</v>
      </c>
      <c r="E1253" s="1">
        <v>200000</v>
      </c>
      <c r="F1253" s="1">
        <v>95</v>
      </c>
      <c r="G1253" s="1">
        <v>0</v>
      </c>
      <c r="H1253" s="1" t="str">
        <f>"95/11/25"</f>
        <v>95/11/25</v>
      </c>
      <c r="I1253" s="1" t="str">
        <f t="shared" si="310"/>
        <v>كيلوگرم</v>
      </c>
      <c r="J1253" s="1" t="str">
        <f t="shared" si="319"/>
        <v>0000000092</v>
      </c>
      <c r="K1253" s="1" t="str">
        <f t="shared" si="320"/>
        <v>قير  PG64-16</v>
      </c>
      <c r="L1253" s="1">
        <v>100</v>
      </c>
      <c r="M1253" s="1" t="str">
        <f t="shared" si="313"/>
        <v>مخازن قير اصفهان</v>
      </c>
      <c r="N1253" s="1">
        <v>11038</v>
      </c>
      <c r="O1253" s="1">
        <v>50033722</v>
      </c>
      <c r="P1253" s="1" t="str">
        <f>"  پل پي ساحل"</f>
        <v xml:space="preserve">  پل پي ساحل</v>
      </c>
      <c r="Q1253" s="1">
        <v>16</v>
      </c>
      <c r="R1253" s="1" t="str">
        <f>"فروش داخلي تهران - وزارت راه - معاونت اقتصاد"</f>
        <v>فروش داخلي تهران - وزارت راه - معاونت اقتصاد</v>
      </c>
      <c r="S1253" s="1" t="str">
        <f t="shared" si="311"/>
        <v>قرارداد فروش</v>
      </c>
      <c r="T1253" s="1" t="str">
        <f t="shared" si="312"/>
        <v>ندارد</v>
      </c>
      <c r="U1253" s="1" t="str">
        <f>"حاصليان ترابرجنوب مرتضي حاصلي (4844006)"</f>
        <v>حاصليان ترابرجنوب مرتضي حاصلي (4844006)</v>
      </c>
      <c r="V1253" s="1">
        <v>951600090</v>
      </c>
      <c r="W1253" s="1">
        <v>951600090</v>
      </c>
      <c r="X1253" s="1" t="str">
        <f>"1395464566"</f>
        <v>1395464566</v>
      </c>
      <c r="Y1253" s="1" t="str">
        <f>"95/11/25"</f>
        <v>95/11/25</v>
      </c>
      <c r="Z1253" s="1" t="str">
        <f>"57834/710"</f>
        <v>57834/710</v>
      </c>
      <c r="AA1253" s="1" t="str">
        <f>"معاونت اقتصادوزارت راه وشهرسازي"</f>
        <v>معاونت اقتصادوزارت راه وشهرسازي</v>
      </c>
      <c r="AB1253" s="1" t="str">
        <f>"95/11/19"</f>
        <v>95/11/19</v>
      </c>
      <c r="AC1253" s="1" t="str">
        <f>"استان هرمزگان"</f>
        <v>استان هرمزگان</v>
      </c>
      <c r="AD1253" s="1" t="str">
        <f>"95/11/24"</f>
        <v>95/11/24</v>
      </c>
      <c r="AE1253" s="1" t="str">
        <f t="shared" si="316"/>
        <v>اختتام</v>
      </c>
      <c r="AF1253" s="1" t="str">
        <f>""</f>
        <v/>
      </c>
      <c r="AG1253" s="1" t="str">
        <f>""</f>
        <v/>
      </c>
      <c r="AH1253" s="1" t="str">
        <f>""</f>
        <v/>
      </c>
      <c r="AI1253" s="1" t="str">
        <f>""</f>
        <v/>
      </c>
      <c r="AJ1253" s="1" t="str">
        <f>""</f>
        <v/>
      </c>
      <c r="AK1253" s="1" t="str">
        <f>""</f>
        <v/>
      </c>
    </row>
    <row r="1254" spans="1:37" x14ac:dyDescent="0.2">
      <c r="A1254" s="1">
        <v>800000</v>
      </c>
      <c r="B1254" s="1">
        <v>951900289</v>
      </c>
      <c r="C1254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254" s="1">
        <v>8348</v>
      </c>
      <c r="E1254" s="1">
        <v>798340</v>
      </c>
      <c r="F1254" s="1">
        <v>95</v>
      </c>
      <c r="G1254" s="1">
        <v>1660</v>
      </c>
      <c r="H1254" s="1" t="str">
        <f>"95/12/19"</f>
        <v>95/12/19</v>
      </c>
      <c r="I1254" s="1" t="str">
        <f t="shared" si="310"/>
        <v>كيلوگرم</v>
      </c>
      <c r="J1254" s="1" t="str">
        <f t="shared" si="319"/>
        <v>0000000092</v>
      </c>
      <c r="K1254" s="1" t="str">
        <f t="shared" si="320"/>
        <v>قير  PG64-16</v>
      </c>
      <c r="L1254" s="1">
        <v>100</v>
      </c>
      <c r="M1254" s="1" t="str">
        <f t="shared" si="313"/>
        <v>مخازن قير اصفهان</v>
      </c>
      <c r="N1254" s="1">
        <v>11038</v>
      </c>
      <c r="O1254" s="1">
        <v>50034064</v>
      </c>
      <c r="P1254" s="1" t="str">
        <f>"  پل پي ساحل"</f>
        <v xml:space="preserve">  پل پي ساحل</v>
      </c>
      <c r="Q1254" s="1">
        <v>19</v>
      </c>
      <c r="R12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4" s="1" t="str">
        <f t="shared" si="311"/>
        <v>قرارداد فروش</v>
      </c>
      <c r="T1254" s="1" t="str">
        <f t="shared" si="312"/>
        <v>ندارد</v>
      </c>
      <c r="U1254" s="1" t="str">
        <f>"حاصليان ترابرجنوب مرتضي حاصلي (4844006)"</f>
        <v>حاصليان ترابرجنوب مرتضي حاصلي (4844006)</v>
      </c>
      <c r="V1254" s="1">
        <v>951900289</v>
      </c>
      <c r="W1254" s="1">
        <v>951900289</v>
      </c>
      <c r="X1254" s="1" t="str">
        <f>"1395470082"</f>
        <v>1395470082</v>
      </c>
      <c r="Y1254" s="1" t="str">
        <f>"95/12/19"</f>
        <v>95/12/19</v>
      </c>
      <c r="Z1254" s="1" t="str">
        <f>"64337/710"</f>
        <v>64337/710</v>
      </c>
      <c r="AA1254" s="1" t="str">
        <f>"سازمان راهداري وحمل نقل جاده اي"</f>
        <v>سازمان راهداري وحمل نقل جاده اي</v>
      </c>
      <c r="AB1254" s="1" t="str">
        <f>"95/12/16"</f>
        <v>95/12/16</v>
      </c>
      <c r="AC1254" s="1" t="str">
        <f>"استان هرمزگان"</f>
        <v>استان هرمزگان</v>
      </c>
      <c r="AD1254" s="1" t="str">
        <f>"95/12/18"</f>
        <v>95/12/18</v>
      </c>
      <c r="AE1254" s="1" t="str">
        <f t="shared" si="316"/>
        <v>اختتام</v>
      </c>
      <c r="AF1254" s="1" t="str">
        <f>""</f>
        <v/>
      </c>
      <c r="AG1254" s="1" t="str">
        <f>""</f>
        <v/>
      </c>
      <c r="AH1254" s="1" t="str">
        <f>""</f>
        <v/>
      </c>
      <c r="AI1254" s="1" t="str">
        <f>""</f>
        <v/>
      </c>
      <c r="AJ1254" s="1" t="str">
        <f>""</f>
        <v/>
      </c>
      <c r="AK1254" s="1" t="str">
        <f>""</f>
        <v/>
      </c>
    </row>
    <row r="1255" spans="1:37" x14ac:dyDescent="0.2">
      <c r="A1255" s="1">
        <v>620000</v>
      </c>
      <c r="B1255" s="1">
        <v>951700033</v>
      </c>
      <c r="C1255" s="1" t="str">
        <f>"تخليه جنوب كرمان محورجيرفت كهنوج پل بهادرآبادكارخانه سدسازسيرجان"</f>
        <v>تخليه جنوب كرمان محورجيرفت كهنوج پل بهادرآبادكارخانه سدسازسيرجان</v>
      </c>
      <c r="D1255" s="1">
        <v>6050</v>
      </c>
      <c r="E1255" s="1">
        <v>619900</v>
      </c>
      <c r="F1255" s="1">
        <v>95</v>
      </c>
      <c r="G1255" s="1">
        <v>100</v>
      </c>
      <c r="H1255" s="1" t="str">
        <f>"95/03/19"</f>
        <v>95/03/19</v>
      </c>
      <c r="I1255" s="1" t="str">
        <f t="shared" si="310"/>
        <v>كيلوگرم</v>
      </c>
      <c r="J1255" s="1" t="str">
        <f t="shared" si="319"/>
        <v>0000000092</v>
      </c>
      <c r="K1255" s="1" t="str">
        <f t="shared" si="320"/>
        <v>قير  PG64-16</v>
      </c>
      <c r="L1255" s="1">
        <v>100</v>
      </c>
      <c r="M1255" s="1" t="str">
        <f t="shared" si="313"/>
        <v>مخازن قير اصفهان</v>
      </c>
      <c r="N1255" s="1">
        <v>11106</v>
      </c>
      <c r="O1255" s="1">
        <v>50030986</v>
      </c>
      <c r="P1255" s="1" t="str">
        <f>"  آرين بتن سيرجان"</f>
        <v xml:space="preserve">  آرين بتن سيرجان</v>
      </c>
      <c r="Q1255" s="1">
        <v>17</v>
      </c>
      <c r="R1255" s="1" t="str">
        <f>"فروش داخلي تهران - وزارت راه - راه روستايي - روکش"</f>
        <v>فروش داخلي تهران - وزارت راه - راه روستايي - روکش</v>
      </c>
      <c r="S1255" s="1" t="str">
        <f t="shared" si="311"/>
        <v>قرارداد فروش</v>
      </c>
      <c r="T1255" s="1" t="str">
        <f t="shared" si="312"/>
        <v>ندارد</v>
      </c>
      <c r="U1255" s="1" t="str">
        <f>"حاصليان ترابرجنوب مرتضي حاصلي (4844006)"</f>
        <v>حاصليان ترابرجنوب مرتضي حاصلي (4844006)</v>
      </c>
      <c r="V1255" s="1">
        <v>951700033</v>
      </c>
      <c r="W1255" s="1">
        <v>951700033</v>
      </c>
      <c r="X1255" s="1" t="str">
        <f>"1395408512"</f>
        <v>1395408512</v>
      </c>
      <c r="Y1255" s="1" t="str">
        <f>"95/03/19"</f>
        <v>95/03/19</v>
      </c>
      <c r="Z1255" s="1" t="str">
        <f>"65357/510"</f>
        <v>65357/510</v>
      </c>
      <c r="AA1255" s="1" t="str">
        <f>"راه روستائي -روكش"</f>
        <v>راه روستائي -روكش</v>
      </c>
      <c r="AB1255" s="1" t="str">
        <f>"94/11/26"</f>
        <v>94/11/26</v>
      </c>
      <c r="AC1255" s="1" t="str">
        <f>"جنوب کرمان"</f>
        <v>جنوب کرمان</v>
      </c>
      <c r="AD1255" s="1" t="str">
        <f>"95/03/19"</f>
        <v>95/03/19</v>
      </c>
      <c r="AE1255" s="1" t="str">
        <f t="shared" si="316"/>
        <v>اختتام</v>
      </c>
      <c r="AF1255" s="1" t="str">
        <f>""</f>
        <v/>
      </c>
      <c r="AG1255" s="1" t="str">
        <f>""</f>
        <v/>
      </c>
      <c r="AH1255" s="1" t="str">
        <f>""</f>
        <v/>
      </c>
      <c r="AI1255" s="1" t="str">
        <f>""</f>
        <v/>
      </c>
      <c r="AJ1255" s="1" t="str">
        <f>""</f>
        <v/>
      </c>
      <c r="AK1255" s="1" t="str">
        <f>""</f>
        <v/>
      </c>
    </row>
    <row r="1256" spans="1:37" x14ac:dyDescent="0.2">
      <c r="A1256" s="1">
        <v>500000</v>
      </c>
      <c r="B1256" s="1">
        <v>951800144</v>
      </c>
      <c r="C1256" s="1" t="str">
        <f>"تخليه - شيراز -کازرون-بعداز بيمارستان ولي العصر(عج)-کارخانه آسفالت امام علي(ع)"</f>
        <v>تخليه - شيراز -کازرون-بعداز بيمارستان ولي العصر(عج)-کارخانه آسفالت امام علي(ع)</v>
      </c>
      <c r="D1256" s="1">
        <v>9654</v>
      </c>
      <c r="E1256" s="1">
        <v>498840</v>
      </c>
      <c r="F1256" s="1">
        <v>95</v>
      </c>
      <c r="G1256" s="1">
        <v>1160</v>
      </c>
      <c r="H1256" s="1" t="str">
        <f>"95/12/09"</f>
        <v>95/12/09</v>
      </c>
      <c r="I1256" s="1" t="str">
        <f t="shared" si="310"/>
        <v>كيلوگرم</v>
      </c>
      <c r="J1256" s="1" t="str">
        <f>"0000000094"</f>
        <v>0000000094</v>
      </c>
      <c r="K1256" s="1" t="str">
        <f>"قير  PG70-10"</f>
        <v>قير  PG70-10</v>
      </c>
      <c r="L1256" s="1">
        <v>100</v>
      </c>
      <c r="M1256" s="1" t="str">
        <f t="shared" si="313"/>
        <v>مخازن قير اصفهان</v>
      </c>
      <c r="N1256" s="1">
        <v>8005</v>
      </c>
      <c r="O1256" s="1">
        <v>50033917</v>
      </c>
      <c r="P1256" s="1" t="str">
        <f>"  جهاد نصرخراسان(1841074)"</f>
        <v xml:space="preserve">  جهاد نصرخراسان(1841074)</v>
      </c>
      <c r="Q1256" s="1">
        <v>18</v>
      </c>
      <c r="R1256" s="1" t="str">
        <f>"فروش داخلي تهران - وزارت راه - شرکت ساخت و توسعه راهها"</f>
        <v>فروش داخلي تهران - وزارت راه - شرکت ساخت و توسعه راهها</v>
      </c>
      <c r="S1256" s="1" t="str">
        <f t="shared" si="311"/>
        <v>قرارداد فروش</v>
      </c>
      <c r="T1256" s="1" t="str">
        <f t="shared" si="312"/>
        <v>ندارد</v>
      </c>
      <c r="U1256" s="1" t="str">
        <f>"اژدري مسعود(4844011)"</f>
        <v>اژدري مسعود(4844011)</v>
      </c>
      <c r="V1256" s="1">
        <v>951800144</v>
      </c>
      <c r="W1256" s="1">
        <v>951800144</v>
      </c>
      <c r="X1256" s="1" t="str">
        <f>"1395467973"</f>
        <v>1395467973</v>
      </c>
      <c r="Y1256" s="1" t="str">
        <f>"95/12/09"</f>
        <v>95/12/09</v>
      </c>
      <c r="Z1256" s="1" t="str">
        <f>"60543/710"</f>
        <v>60543/710</v>
      </c>
      <c r="AA1256" s="1" t="str">
        <f>"شركت  ساخت وتوسعه راهها"</f>
        <v>شركت  ساخت وتوسعه راهها</v>
      </c>
      <c r="AB1256" s="1" t="str">
        <f>"95/12/02"</f>
        <v>95/12/02</v>
      </c>
      <c r="AC1256" s="1" t="str">
        <f>"استان فارس"</f>
        <v>استان فارس</v>
      </c>
      <c r="AD1256" s="1" t="str">
        <f>"95/12/09"</f>
        <v>95/12/09</v>
      </c>
      <c r="AE1256" s="1" t="str">
        <f t="shared" si="316"/>
        <v>اختتام</v>
      </c>
      <c r="AF1256" s="1" t="str">
        <f>""</f>
        <v/>
      </c>
      <c r="AG1256" s="1" t="str">
        <f>""</f>
        <v/>
      </c>
      <c r="AH1256" s="1" t="str">
        <f>""</f>
        <v/>
      </c>
      <c r="AI1256" s="1" t="str">
        <f>""</f>
        <v/>
      </c>
      <c r="AJ1256" s="1" t="str">
        <f>""</f>
        <v/>
      </c>
      <c r="AK1256" s="1" t="str">
        <f>""</f>
        <v/>
      </c>
    </row>
    <row r="1257" spans="1:37" x14ac:dyDescent="0.2">
      <c r="A1257" s="1">
        <v>1000000</v>
      </c>
      <c r="B1257" s="1">
        <v>951600055</v>
      </c>
      <c r="C1257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57" s="1">
        <v>7576</v>
      </c>
      <c r="E1257" s="1">
        <v>976400</v>
      </c>
      <c r="F1257" s="1">
        <v>95</v>
      </c>
      <c r="G1257" s="1">
        <v>23600</v>
      </c>
      <c r="H1257" s="1" t="str">
        <f>"95/09/13"</f>
        <v>95/09/13</v>
      </c>
      <c r="I1257" s="1" t="str">
        <f t="shared" si="310"/>
        <v>كيلوگرم</v>
      </c>
      <c r="J1257" s="1" t="str">
        <f>"0000000094"</f>
        <v>0000000094</v>
      </c>
      <c r="K1257" s="1" t="str">
        <f>"قير  PG70-10"</f>
        <v>قير  PG70-10</v>
      </c>
      <c r="L1257" s="1">
        <v>100</v>
      </c>
      <c r="M1257" s="1" t="str">
        <f t="shared" si="313"/>
        <v>مخازن قير اصفهان</v>
      </c>
      <c r="N1257" s="1">
        <v>10547</v>
      </c>
      <c r="O1257" s="1">
        <v>50032816</v>
      </c>
      <c r="P1257" s="1" t="str">
        <f>"  پي و پل جنوب"</f>
        <v xml:space="preserve">  پي و پل جنوب</v>
      </c>
      <c r="Q1257" s="1">
        <v>16</v>
      </c>
      <c r="R1257" s="1" t="str">
        <f>"فروش داخلي تهران - وزارت راه - معاونت اقتصاد"</f>
        <v>فروش داخلي تهران - وزارت راه - معاونت اقتصاد</v>
      </c>
      <c r="S1257" s="1" t="str">
        <f t="shared" si="311"/>
        <v>قرارداد فروش</v>
      </c>
      <c r="T1257" s="1" t="str">
        <f t="shared" si="312"/>
        <v>ندارد</v>
      </c>
      <c r="U1257" s="1" t="str">
        <f>"قره باغي مجيد(1871065)"</f>
        <v>قره باغي مجيد(1871065)</v>
      </c>
      <c r="V1257" s="1">
        <v>951600055</v>
      </c>
      <c r="W1257" s="1">
        <v>951600055</v>
      </c>
      <c r="X1257" s="1" t="str">
        <f>"1395449102"</f>
        <v>1395449102</v>
      </c>
      <c r="Y1257" s="1" t="str">
        <f>"95/09/13"</f>
        <v>95/09/13</v>
      </c>
      <c r="Z1257" s="1" t="str">
        <f>"43293/710"</f>
        <v>43293/710</v>
      </c>
      <c r="AA1257" s="1" t="str">
        <f>"معاونت اقتصادوزارت راه وشهرسازي"</f>
        <v>معاونت اقتصادوزارت راه وشهرسازي</v>
      </c>
      <c r="AB1257" s="1" t="str">
        <f>"95/09/06"</f>
        <v>95/09/06</v>
      </c>
      <c r="AC1257" s="1" t="str">
        <f>"استان هرمزگان"</f>
        <v>استان هرمزگان</v>
      </c>
      <c r="AD1257" s="1" t="str">
        <f>"95/09/13"</f>
        <v>95/09/13</v>
      </c>
      <c r="AE1257" s="1" t="str">
        <f t="shared" si="316"/>
        <v>اختتام</v>
      </c>
      <c r="AF1257" s="1" t="str">
        <f>""</f>
        <v/>
      </c>
      <c r="AG1257" s="1" t="str">
        <f>""</f>
        <v/>
      </c>
      <c r="AH1257" s="1" t="str">
        <f>""</f>
        <v/>
      </c>
      <c r="AI1257" s="1" t="str">
        <f>""</f>
        <v/>
      </c>
      <c r="AJ1257" s="1" t="str">
        <f>""</f>
        <v/>
      </c>
      <c r="AK1257" s="1" t="str">
        <f>""</f>
        <v/>
      </c>
    </row>
    <row r="1258" spans="1:37" x14ac:dyDescent="0.2">
      <c r="A1258" s="1">
        <v>77000</v>
      </c>
      <c r="B1258" s="1">
        <v>952000354</v>
      </c>
      <c r="C1258" s="1" t="str">
        <f>"تخليه-قم- جاده کاشان-نرسيده به پاسگاه لنگرودشهرک سنگبري ها-30کيلومتري اميرکبير-کارخانه آسفالت اميرکبير"</f>
        <v>تخليه-قم- جاده کاشان-نرسيده به پاسگاه لنگرودشهرک سنگبري ها-30کيلومتري اميرکبير-کارخانه آسفالت اميرکبير</v>
      </c>
      <c r="D1258" s="1">
        <v>8848</v>
      </c>
      <c r="E1258" s="1">
        <v>75380</v>
      </c>
      <c r="F1258" s="1">
        <v>95</v>
      </c>
      <c r="G1258" s="1">
        <v>1620</v>
      </c>
      <c r="H1258" s="1" t="str">
        <f>"95/12/11"</f>
        <v>95/12/11</v>
      </c>
      <c r="I1258" s="1" t="str">
        <f t="shared" si="310"/>
        <v>كيلوگرم</v>
      </c>
      <c r="J1258" s="1" t="str">
        <f>"0000000076"</f>
        <v>0000000076</v>
      </c>
      <c r="K1258" s="1" t="str">
        <f>"قير 60/70 - فله"</f>
        <v>قير 60/70 - فله</v>
      </c>
      <c r="L1258" s="1">
        <v>100</v>
      </c>
      <c r="M1258" s="1" t="str">
        <f t="shared" si="313"/>
        <v>مخازن قير اصفهان</v>
      </c>
      <c r="N1258" s="1">
        <v>9667</v>
      </c>
      <c r="O1258" s="1">
        <v>50033964</v>
      </c>
      <c r="P1258" s="1" t="str">
        <f>"  شهرداري قنوات"</f>
        <v xml:space="preserve">  شهرداري قنوات</v>
      </c>
      <c r="Q1258" s="1">
        <v>20</v>
      </c>
      <c r="R1258" s="1" t="str">
        <f>"فروش داخلي - سازمان شهرداري ها و دهياري هاي كشور"</f>
        <v>فروش داخلي - سازمان شهرداري ها و دهياري هاي كشور</v>
      </c>
      <c r="S1258" s="1" t="str">
        <f t="shared" si="311"/>
        <v>قرارداد فروش</v>
      </c>
      <c r="T1258" s="1" t="str">
        <f t="shared" si="312"/>
        <v>ندارد</v>
      </c>
      <c r="U1258" s="1" t="str">
        <f>"اميري علي(2842011)"</f>
        <v>اميري علي(2842011)</v>
      </c>
      <c r="V1258" s="1">
        <v>952000354</v>
      </c>
      <c r="W1258" s="1">
        <v>952000354</v>
      </c>
      <c r="X1258" s="1" t="str">
        <f>"1395468779"</f>
        <v>1395468779</v>
      </c>
      <c r="Y1258" s="1" t="str">
        <f>"95/12/11"</f>
        <v>95/12/11</v>
      </c>
      <c r="Z1258" s="1" t="str">
        <f>"34989"</f>
        <v>34989</v>
      </c>
      <c r="AA1258" s="1" t="str">
        <f>"شهرداريها"</f>
        <v>شهرداريها</v>
      </c>
      <c r="AB1258" s="1" t="str">
        <f>"95/07/18"</f>
        <v>95/07/18</v>
      </c>
      <c r="AC1258" s="1" t="str">
        <f>"قم"</f>
        <v>قم</v>
      </c>
      <c r="AD1258" s="1" t="str">
        <f>"95/12/11"</f>
        <v>95/12/11</v>
      </c>
      <c r="AE1258" s="1" t="str">
        <f t="shared" si="316"/>
        <v>اختتام</v>
      </c>
      <c r="AF1258" s="1" t="str">
        <f>""</f>
        <v/>
      </c>
      <c r="AG1258" s="1" t="str">
        <f>""</f>
        <v/>
      </c>
      <c r="AH1258" s="1" t="str">
        <f>""</f>
        <v/>
      </c>
      <c r="AI1258" s="1" t="str">
        <f>""</f>
        <v/>
      </c>
      <c r="AJ1258" s="1" t="str">
        <f>""</f>
        <v/>
      </c>
      <c r="AK1258" s="1" t="str">
        <f>""</f>
        <v/>
      </c>
    </row>
    <row r="1259" spans="1:37" x14ac:dyDescent="0.2">
      <c r="A1259" s="1">
        <v>200000</v>
      </c>
      <c r="B1259" s="1">
        <v>951900299</v>
      </c>
      <c r="C1259" s="1" t="str">
        <f>"تخليه لرستان پل دخترسراب جهان گيرنرسيده به روستاي ولي عصرشركت يافته كوه"</f>
        <v>تخليه لرستان پل دخترسراب جهان گيرنرسيده به روستاي ولي عصرشركت يافته كوه</v>
      </c>
      <c r="D1259" s="1">
        <v>9354</v>
      </c>
      <c r="E1259" s="1">
        <v>199640</v>
      </c>
      <c r="F1259" s="1">
        <v>95</v>
      </c>
      <c r="G1259" s="1">
        <v>360</v>
      </c>
      <c r="H1259" s="1" t="str">
        <f>"95/12/19"</f>
        <v>95/12/19</v>
      </c>
      <c r="I1259" s="1" t="str">
        <f t="shared" si="310"/>
        <v>كيلوگرم</v>
      </c>
      <c r="J1259" s="1" t="str">
        <f>"0000000092"</f>
        <v>0000000092</v>
      </c>
      <c r="K1259" s="1" t="str">
        <f>"قير  PG64-16"</f>
        <v>قير  PG64-16</v>
      </c>
      <c r="L1259" s="1">
        <v>100</v>
      </c>
      <c r="M1259" s="1" t="str">
        <f t="shared" si="313"/>
        <v>مخازن قير اصفهان</v>
      </c>
      <c r="N1259" s="1">
        <v>11295</v>
      </c>
      <c r="O1259" s="1">
        <v>50034106</v>
      </c>
      <c r="P1259" s="1" t="str">
        <f>"  اداره كل راهداري وحمل ونقل جاده اي لرستان"</f>
        <v xml:space="preserve">  اداره كل راهداري وحمل ونقل جاده اي لرستان</v>
      </c>
      <c r="Q1259" s="1">
        <v>19</v>
      </c>
      <c r="R12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9" s="1" t="str">
        <f t="shared" si="311"/>
        <v>قرارداد فروش</v>
      </c>
      <c r="T1259" s="1" t="str">
        <f t="shared" si="312"/>
        <v>ندارد</v>
      </c>
      <c r="U1259" s="1" t="str">
        <f>"ريسماني حسن(1007ج89)"</f>
        <v>ريسماني حسن(1007ج89)</v>
      </c>
      <c r="V1259" s="1">
        <v>951900299</v>
      </c>
      <c r="W1259" s="1">
        <v>951900299</v>
      </c>
      <c r="X1259" s="1" t="str">
        <f>"1395470074"</f>
        <v>1395470074</v>
      </c>
      <c r="Y1259" s="1" t="str">
        <f>"95/12/19"</f>
        <v>95/12/19</v>
      </c>
      <c r="Z1259" s="1" t="str">
        <f>"64778/710"</f>
        <v>64778/710</v>
      </c>
      <c r="AA1259" s="1" t="str">
        <f>"سازمان راهداري وحمل نقل جاده اي"</f>
        <v>سازمان راهداري وحمل نقل جاده اي</v>
      </c>
      <c r="AB1259" s="1" t="str">
        <f>"95/12/17"</f>
        <v>95/12/17</v>
      </c>
      <c r="AC1259" s="1" t="str">
        <f>"لرستان"</f>
        <v>لرستان</v>
      </c>
      <c r="AD1259" s="1" t="str">
        <f>"95/12/18"</f>
        <v>95/12/18</v>
      </c>
      <c r="AE1259" s="1" t="str">
        <f t="shared" si="316"/>
        <v>اختتام</v>
      </c>
      <c r="AF1259" s="1" t="str">
        <f>""</f>
        <v/>
      </c>
      <c r="AG1259" s="1" t="str">
        <f>""</f>
        <v/>
      </c>
      <c r="AH1259" s="1" t="str">
        <f>""</f>
        <v/>
      </c>
      <c r="AI1259" s="1" t="str">
        <f>""</f>
        <v/>
      </c>
      <c r="AJ1259" s="1" t="str">
        <f>""</f>
        <v/>
      </c>
      <c r="AK1259" s="1" t="str">
        <f>""</f>
        <v/>
      </c>
    </row>
    <row r="1260" spans="1:37" x14ac:dyDescent="0.2">
      <c r="A1260" s="1">
        <v>1500000</v>
      </c>
      <c r="B1260" s="1">
        <v>951300008</v>
      </c>
      <c r="C1260" s="1" t="str">
        <f>"تخليه يزد-شركت آسفالت شهرداري هاي استان يزدوشركت هاي طرف قراردادبابنيادانقلاب اسلامي يزد"</f>
        <v>تخليه يزد-شركت آسفالت شهرداري هاي استان يزدوشركت هاي طرف قراردادبابنيادانقلاب اسلامي يزد</v>
      </c>
      <c r="D1260" s="1">
        <v>6250</v>
      </c>
      <c r="E1260" s="1">
        <v>1258140</v>
      </c>
      <c r="F1260" s="1">
        <v>95</v>
      </c>
      <c r="G1260" s="1">
        <v>241860</v>
      </c>
      <c r="H1260" s="1" t="str">
        <f>"95/04/09"</f>
        <v>95/04/09</v>
      </c>
      <c r="I1260" s="1" t="str">
        <f t="shared" si="310"/>
        <v>كيلوگرم</v>
      </c>
      <c r="J1260" s="1" t="str">
        <f>"0000000093"</f>
        <v>0000000093</v>
      </c>
      <c r="K1260" s="1" t="str">
        <f>"قير  PG64-10"</f>
        <v>قير  PG64-10</v>
      </c>
      <c r="L1260" s="1">
        <v>100</v>
      </c>
      <c r="M1260" s="1" t="str">
        <f t="shared" si="313"/>
        <v>مخازن قير اصفهان</v>
      </c>
      <c r="N1260" s="1">
        <v>9875</v>
      </c>
      <c r="O1260" s="1">
        <v>50031173</v>
      </c>
      <c r="P1260" s="1" t="str">
        <f>"  بنيادمسكن انقلاب اسلامي يزد"</f>
        <v xml:space="preserve">  بنيادمسكن انقلاب اسلامي يزد</v>
      </c>
      <c r="Q1260" s="1">
        <v>13</v>
      </c>
      <c r="R1260" s="1" t="str">
        <f>"فروش داخلي - وزارت راه - حوزه بنياد مسكن"</f>
        <v>فروش داخلي - وزارت راه - حوزه بنياد مسكن</v>
      </c>
      <c r="S1260" s="1" t="str">
        <f t="shared" si="311"/>
        <v>قرارداد فروش</v>
      </c>
      <c r="T1260" s="1" t="str">
        <f t="shared" si="312"/>
        <v>ندارد</v>
      </c>
      <c r="U1260" s="1" t="str">
        <f>"قانعي محمدرضا(1011ج89)"</f>
        <v>قانعي محمدرضا(1011ج89)</v>
      </c>
      <c r="V1260" s="1">
        <v>951300008</v>
      </c>
      <c r="W1260" s="1">
        <v>951300008</v>
      </c>
      <c r="X1260" s="1" t="str">
        <f>"1395412246"</f>
        <v>1395412246</v>
      </c>
      <c r="Y1260" s="1" t="str">
        <f>"95/04/09"</f>
        <v>95/04/09</v>
      </c>
      <c r="Z1260" s="1" t="str">
        <f>"12102/510"</f>
        <v>12102/510</v>
      </c>
      <c r="AA1260" s="1" t="str">
        <f>"بنياد مسكن -مسكن مهر"</f>
        <v>بنياد مسكن -مسكن مهر</v>
      </c>
      <c r="AB1260" s="1" t="str">
        <f>"95/03/24"</f>
        <v>95/03/24</v>
      </c>
      <c r="AC1260" s="1" t="str">
        <f>"استان يزد"</f>
        <v>استان يزد</v>
      </c>
      <c r="AD1260" s="1" t="str">
        <f>"95/04/09"</f>
        <v>95/04/09</v>
      </c>
      <c r="AE1260" s="1" t="str">
        <f t="shared" si="316"/>
        <v>اختتام</v>
      </c>
      <c r="AF1260" s="1" t="str">
        <f>""</f>
        <v/>
      </c>
      <c r="AG1260" s="1" t="str">
        <f>""</f>
        <v/>
      </c>
      <c r="AH1260" s="1" t="str">
        <f>""</f>
        <v/>
      </c>
      <c r="AI1260" s="1" t="str">
        <f>""</f>
        <v/>
      </c>
      <c r="AJ1260" s="1" t="str">
        <f>""</f>
        <v/>
      </c>
      <c r="AK1260" s="1" t="str">
        <f>""</f>
        <v/>
      </c>
    </row>
    <row r="1261" spans="1:37" x14ac:dyDescent="0.2">
      <c r="A1261" s="1">
        <v>14360</v>
      </c>
      <c r="B1261" s="1">
        <v>951600038</v>
      </c>
      <c r="C1261" s="1" t="str">
        <f>"تخليه-ياسوج-دارشاهي"</f>
        <v>تخليه-ياسوج-دارشاهي</v>
      </c>
      <c r="D1261" s="1">
        <v>8323</v>
      </c>
      <c r="E1261" s="1">
        <v>13380</v>
      </c>
      <c r="F1261" s="1">
        <v>95</v>
      </c>
      <c r="G1261" s="1">
        <v>980</v>
      </c>
      <c r="H1261" s="1" t="str">
        <f>"95/08/08"</f>
        <v>95/08/08</v>
      </c>
      <c r="I1261" s="1" t="str">
        <f t="shared" si="310"/>
        <v>كيلوگرم</v>
      </c>
      <c r="J1261" s="1" t="str">
        <f>"0000000093"</f>
        <v>0000000093</v>
      </c>
      <c r="K1261" s="1" t="str">
        <f>"قير  PG64-10"</f>
        <v>قير  PG64-10</v>
      </c>
      <c r="L1261" s="1">
        <v>100</v>
      </c>
      <c r="M1261" s="1" t="str">
        <f t="shared" si="313"/>
        <v>مخازن قير اصفهان</v>
      </c>
      <c r="N1261" s="1">
        <v>11138</v>
      </c>
      <c r="O1261" s="1">
        <v>50032348</v>
      </c>
      <c r="P1261" s="1" t="str">
        <f>"  کنکاش دنا"</f>
        <v xml:space="preserve">  کنکاش دنا</v>
      </c>
      <c r="Q1261" s="1">
        <v>16</v>
      </c>
      <c r="R1261" s="1" t="str">
        <f>"فروش داخلي تهران - وزارت راه - معاونت اقتصاد"</f>
        <v>فروش داخلي تهران - وزارت راه - معاونت اقتصاد</v>
      </c>
      <c r="S1261" s="1" t="str">
        <f t="shared" si="311"/>
        <v>قرارداد فروش</v>
      </c>
      <c r="T1261" s="1" t="str">
        <f t="shared" si="312"/>
        <v>ندارد</v>
      </c>
      <c r="U1261" s="1" t="str">
        <f>"غلام نجفي سيامك‌‌‌‌‌‌(1881082)"</f>
        <v>غلام نجفي سيامك‌‌‌‌‌‌(1881082)</v>
      </c>
      <c r="V1261" s="1">
        <v>951600038</v>
      </c>
      <c r="W1261" s="1">
        <v>951600038</v>
      </c>
      <c r="X1261" s="1" t="str">
        <f>"1395415792"</f>
        <v>1395415792</v>
      </c>
      <c r="Y1261" s="1" t="str">
        <f>"95/08/08"</f>
        <v>95/08/08</v>
      </c>
      <c r="Z1261" s="1" t="str">
        <f>"16914/510"</f>
        <v>16914/510</v>
      </c>
      <c r="AA1261" s="1" t="str">
        <f>"معاونت اقتصادوزارت راه وشهرسازي"</f>
        <v>معاونت اقتصادوزارت راه وشهرسازي</v>
      </c>
      <c r="AB1261" s="1" t="str">
        <f>"95/04/20"</f>
        <v>95/04/20</v>
      </c>
      <c r="AC1261" s="1" t="str">
        <f>"كهكيلويه و بوير احمد"</f>
        <v>كهكيلويه و بوير احمد</v>
      </c>
      <c r="AD1261" s="1" t="str">
        <f>"95/04/26"</f>
        <v>95/04/26</v>
      </c>
      <c r="AE1261" s="1" t="str">
        <f t="shared" si="316"/>
        <v>اختتام</v>
      </c>
      <c r="AF1261" s="1" t="str">
        <f>""</f>
        <v/>
      </c>
      <c r="AG1261" s="1" t="str">
        <f>""</f>
        <v/>
      </c>
      <c r="AH1261" s="1" t="str">
        <f>""</f>
        <v/>
      </c>
      <c r="AI1261" s="1" t="str">
        <f>""</f>
        <v/>
      </c>
      <c r="AJ1261" s="1" t="str">
        <f>""</f>
        <v/>
      </c>
      <c r="AK1261" s="1" t="str">
        <f>""</f>
        <v/>
      </c>
    </row>
    <row r="1262" spans="1:37" x14ac:dyDescent="0.2">
      <c r="A1262" s="1">
        <v>228000</v>
      </c>
      <c r="B1262" s="1">
        <v>951700342</v>
      </c>
      <c r="C1262" s="1" t="str">
        <f>"تخليه ايلام موسيان كارخانه آسفالت شهرداري موسيان"</f>
        <v>تخليه ايلام موسيان كارخانه آسفالت شهرداري موسيان</v>
      </c>
      <c r="D1262" s="1">
        <v>9368</v>
      </c>
      <c r="E1262" s="1">
        <v>227220</v>
      </c>
      <c r="F1262" s="1">
        <v>95</v>
      </c>
      <c r="G1262" s="1">
        <v>780</v>
      </c>
      <c r="H1262" s="1" t="str">
        <f>"95/12/04"</f>
        <v>95/12/04</v>
      </c>
      <c r="I1262" s="1" t="str">
        <f t="shared" si="310"/>
        <v>كيلوگرم</v>
      </c>
      <c r="J1262" s="1" t="str">
        <f>"0000000094"</f>
        <v>0000000094</v>
      </c>
      <c r="K1262" s="1" t="str">
        <f>"قير  PG70-10"</f>
        <v>قير  PG70-10</v>
      </c>
      <c r="L1262" s="1">
        <v>100</v>
      </c>
      <c r="M1262" s="1" t="str">
        <f t="shared" si="313"/>
        <v>مخازن قير اصفهان</v>
      </c>
      <c r="N1262" s="1">
        <v>8353</v>
      </c>
      <c r="O1262" s="1">
        <v>50033850</v>
      </c>
      <c r="P1262" s="1" t="str">
        <f>"  اداره كل راه و شهرسازي  ايلام"</f>
        <v xml:space="preserve">  اداره كل راه و شهرسازي  ايلام</v>
      </c>
      <c r="Q1262" s="1">
        <v>17</v>
      </c>
      <c r="R1262" s="1" t="str">
        <f>"فروش داخلي تهران - وزارت راه - راه روستايي - روکش"</f>
        <v>فروش داخلي تهران - وزارت راه - راه روستايي - روکش</v>
      </c>
      <c r="S1262" s="1" t="str">
        <f t="shared" si="311"/>
        <v>قرارداد فروش</v>
      </c>
      <c r="T1262" s="1" t="str">
        <f t="shared" si="312"/>
        <v>ندارد</v>
      </c>
      <c r="U1262" s="1" t="str">
        <f>"عظيمي محمد(2842015)"</f>
        <v>عظيمي محمد(2842015)</v>
      </c>
      <c r="V1262" s="1">
        <v>951700342</v>
      </c>
      <c r="W1262" s="1">
        <v>951700342</v>
      </c>
      <c r="X1262" s="1" t="str">
        <f>"1395467355"</f>
        <v>1395467355</v>
      </c>
      <c r="Y1262" s="1" t="str">
        <f>"95/12/04"</f>
        <v>95/12/04</v>
      </c>
      <c r="Z1262" s="1" t="str">
        <f>"60551/710"</f>
        <v>60551/710</v>
      </c>
      <c r="AA1262" s="1" t="str">
        <f>"راه روستائي -روكش"</f>
        <v>راه روستائي -روكش</v>
      </c>
      <c r="AB1262" s="1" t="str">
        <f>"95/12/02"</f>
        <v>95/12/02</v>
      </c>
      <c r="AC1262" s="1" t="str">
        <f>"استان ايلام"</f>
        <v>استان ايلام</v>
      </c>
      <c r="AD1262" s="1" t="str">
        <f>"95/12/04"</f>
        <v>95/12/04</v>
      </c>
      <c r="AE1262" s="1" t="str">
        <f t="shared" si="316"/>
        <v>اختتام</v>
      </c>
      <c r="AF1262" s="1" t="str">
        <f>""</f>
        <v/>
      </c>
      <c r="AG1262" s="1" t="str">
        <f>""</f>
        <v/>
      </c>
      <c r="AH1262" s="1" t="str">
        <f>""</f>
        <v/>
      </c>
      <c r="AI1262" s="1" t="str">
        <f>""</f>
        <v/>
      </c>
      <c r="AJ1262" s="1" t="str">
        <f>""</f>
        <v/>
      </c>
      <c r="AK1262" s="1" t="str">
        <f>""</f>
        <v/>
      </c>
    </row>
    <row r="1263" spans="1:37" x14ac:dyDescent="0.2">
      <c r="A1263" s="1">
        <v>100000</v>
      </c>
      <c r="B1263" s="1">
        <v>951100006</v>
      </c>
      <c r="C1263" s="1" t="str">
        <f>"تخليه -قم جاده كاشان -جاده كهك -بعدازروستاي صرم -شركت راه گستراميدصرم"</f>
        <v>تخليه -قم جاده كاشان -جاده كهك -بعدازروستاي صرم -شركت راه گستراميدصرم</v>
      </c>
      <c r="D1263" s="1">
        <v>5200</v>
      </c>
      <c r="E1263" s="1">
        <v>97920</v>
      </c>
      <c r="F1263" s="1">
        <v>95</v>
      </c>
      <c r="G1263" s="1">
        <v>2080</v>
      </c>
      <c r="H1263" s="1" t="str">
        <f>"95/01/28"</f>
        <v>95/01/28</v>
      </c>
      <c r="I1263" s="1" t="str">
        <f t="shared" si="310"/>
        <v>كيلوگرم</v>
      </c>
      <c r="J1263" s="1" t="str">
        <f>"0000000076"</f>
        <v>0000000076</v>
      </c>
      <c r="K1263" s="1" t="str">
        <f>"قير 60/70 - فله"</f>
        <v>قير 60/70 - فله</v>
      </c>
      <c r="L1263" s="1">
        <v>100</v>
      </c>
      <c r="M1263" s="1" t="str">
        <f t="shared" si="313"/>
        <v>مخازن قير اصفهان</v>
      </c>
      <c r="N1263" s="1">
        <v>9116</v>
      </c>
      <c r="O1263" s="1">
        <v>50030529</v>
      </c>
      <c r="P1263" s="1" t="str">
        <f>"  راه گستراميدصرم"</f>
        <v xml:space="preserve">  راه گستراميدصرم</v>
      </c>
      <c r="Q1263" s="1">
        <v>11</v>
      </c>
      <c r="R1263" s="1" t="str">
        <f>"فروش داخلي تهران - بورس"</f>
        <v>فروش داخلي تهران - بورس</v>
      </c>
      <c r="S1263" s="1" t="str">
        <f t="shared" si="311"/>
        <v>قرارداد فروش</v>
      </c>
      <c r="T1263" s="1" t="str">
        <f t="shared" si="312"/>
        <v>ندارد</v>
      </c>
      <c r="U1263" s="1" t="str">
        <f>"محمدي نژاد خداوردي(2842024)"</f>
        <v>محمدي نژاد خداوردي(2842024)</v>
      </c>
      <c r="V1263" s="1">
        <v>951100006</v>
      </c>
      <c r="W1263" s="1">
        <v>951100006</v>
      </c>
      <c r="X1263" s="1" t="str">
        <f>"1395399109"</f>
        <v>1395399109</v>
      </c>
      <c r="Y1263" s="1" t="str">
        <f>"95/01/25"</f>
        <v>95/01/25</v>
      </c>
      <c r="Z1263" s="1" t="str">
        <f>"95-34196"</f>
        <v>95-34196</v>
      </c>
      <c r="AA1263" s="1" t="str">
        <f>"آسفالت سازان"</f>
        <v>آسفالت سازان</v>
      </c>
      <c r="AB1263" s="1" t="str">
        <f>"94/01/25"</f>
        <v>94/01/25</v>
      </c>
      <c r="AC1263" s="1" t="str">
        <f>"قم"</f>
        <v>قم</v>
      </c>
      <c r="AD1263" s="1" t="str">
        <f>"95/01/24"</f>
        <v>95/01/24</v>
      </c>
      <c r="AE1263" s="1" t="str">
        <f t="shared" si="316"/>
        <v>اختتام</v>
      </c>
      <c r="AF1263" s="1" t="str">
        <f>""</f>
        <v/>
      </c>
      <c r="AG1263" s="1" t="str">
        <f>""</f>
        <v/>
      </c>
      <c r="AH1263" s="1" t="str">
        <f>""</f>
        <v/>
      </c>
      <c r="AI1263" s="1" t="str">
        <f>""</f>
        <v/>
      </c>
      <c r="AJ1263" s="1" t="str">
        <f>""</f>
        <v/>
      </c>
      <c r="AK1263" s="1" t="str">
        <f>""</f>
        <v/>
      </c>
    </row>
    <row r="1264" spans="1:37" x14ac:dyDescent="0.2">
      <c r="A1264" s="1">
        <v>300000</v>
      </c>
      <c r="B1264" s="1">
        <v>951900087</v>
      </c>
      <c r="C1264" s="1" t="str">
        <f>"تخليه -سيستان وبلوچستان كيلومتر5جاده محورزابل نهبندان كارخانه آسفالت اداره راه"</f>
        <v>تخليه -سيستان وبلوچستان كيلومتر5جاده محورزابل نهبندان كارخانه آسفالت اداره راه</v>
      </c>
      <c r="D1264" s="1">
        <v>7026</v>
      </c>
      <c r="E1264" s="1">
        <v>294400</v>
      </c>
      <c r="F1264" s="1">
        <v>95</v>
      </c>
      <c r="G1264" s="1">
        <v>5600</v>
      </c>
      <c r="H1264" s="1" t="str">
        <f>"95/05/16"</f>
        <v>95/05/16</v>
      </c>
      <c r="I1264" s="1" t="str">
        <f t="shared" si="310"/>
        <v>كيلوگرم</v>
      </c>
      <c r="J1264" s="1" t="str">
        <f>"0000000094"</f>
        <v>0000000094</v>
      </c>
      <c r="K1264" s="1" t="str">
        <f>"قير  PG70-10"</f>
        <v>قير  PG70-10</v>
      </c>
      <c r="L1264" s="1">
        <v>100</v>
      </c>
      <c r="M1264" s="1" t="str">
        <f t="shared" si="313"/>
        <v>مخازن قير اصفهان</v>
      </c>
      <c r="N1264" s="1">
        <v>10518</v>
      </c>
      <c r="O1264" s="1">
        <v>50031429</v>
      </c>
      <c r="P1264" s="1" t="str">
        <f>"  دنابنيان بيرجند"</f>
        <v xml:space="preserve">  دنابنيان بيرجند</v>
      </c>
      <c r="Q1264" s="1">
        <v>19</v>
      </c>
      <c r="R126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64" s="1" t="str">
        <f t="shared" si="311"/>
        <v>قرارداد فروش</v>
      </c>
      <c r="T1264" s="1" t="str">
        <f t="shared" si="312"/>
        <v>ندارد</v>
      </c>
      <c r="U1264" s="1" t="str">
        <f>"بابامحمدي عنايت اله(4844000)"</f>
        <v>بابامحمدي عنايت اله(4844000)</v>
      </c>
      <c r="V1264" s="1">
        <v>951900087</v>
      </c>
      <c r="W1264" s="1">
        <v>951900087</v>
      </c>
      <c r="X1264" s="1" t="str">
        <f>"1395421167"</f>
        <v>1395421167</v>
      </c>
      <c r="Y1264" s="1" t="str">
        <f>"95/05/16"</f>
        <v>95/05/16</v>
      </c>
      <c r="Z1264" s="1" t="str">
        <f>"19446/510"</f>
        <v>19446/510</v>
      </c>
      <c r="AA1264" s="1" t="str">
        <f>"سازمان راهداري وحمل نقل جاده اي"</f>
        <v>سازمان راهداري وحمل نقل جاده اي</v>
      </c>
      <c r="AB1264" s="1" t="str">
        <f>"95/05/03"</f>
        <v>95/05/03</v>
      </c>
      <c r="AC1264" s="1" t="str">
        <f>"استان سيستان بلوچستان"</f>
        <v>استان سيستان بلوچستان</v>
      </c>
      <c r="AD1264" s="1" t="str">
        <f>"95/05/13"</f>
        <v>95/05/13</v>
      </c>
      <c r="AE1264" s="1" t="str">
        <f t="shared" si="316"/>
        <v>اختتام</v>
      </c>
      <c r="AF1264" s="1" t="str">
        <f>""</f>
        <v/>
      </c>
      <c r="AG1264" s="1" t="str">
        <f>""</f>
        <v/>
      </c>
      <c r="AH1264" s="1" t="str">
        <f>""</f>
        <v/>
      </c>
      <c r="AI1264" s="1" t="str">
        <f>""</f>
        <v/>
      </c>
      <c r="AJ1264" s="1" t="str">
        <f>""</f>
        <v/>
      </c>
      <c r="AK1264" s="1" t="str">
        <f>""</f>
        <v/>
      </c>
    </row>
    <row r="1265" spans="1:37" x14ac:dyDescent="0.2">
      <c r="A1265" s="1">
        <v>350000</v>
      </c>
      <c r="B1265" s="1">
        <v>951900187</v>
      </c>
      <c r="C1265" s="1" t="str">
        <f>"تخليه كرمانشاه پروژه بهسازي وآسفالت مسيرگيلانغرب سوماركارخانه آسفالت راه قدس"</f>
        <v>تخليه كرمانشاه پروژه بهسازي وآسفالت مسيرگيلانغرب سوماركارخانه آسفالت راه قدس</v>
      </c>
      <c r="D1265" s="1">
        <v>8623</v>
      </c>
      <c r="E1265" s="1">
        <v>348720</v>
      </c>
      <c r="F1265" s="1">
        <v>95</v>
      </c>
      <c r="G1265" s="1">
        <v>1280</v>
      </c>
      <c r="H1265" s="1" t="str">
        <f>"95/08/15"</f>
        <v>95/08/15</v>
      </c>
      <c r="I1265" s="1" t="str">
        <f t="shared" si="310"/>
        <v>كيلوگرم</v>
      </c>
      <c r="J1265" s="1" t="str">
        <f>"0000000094"</f>
        <v>0000000094</v>
      </c>
      <c r="K1265" s="1" t="str">
        <f>"قير  PG70-10"</f>
        <v>قير  PG70-10</v>
      </c>
      <c r="L1265" s="1">
        <v>100</v>
      </c>
      <c r="M1265" s="1" t="str">
        <f t="shared" si="313"/>
        <v>مخازن قير اصفهان</v>
      </c>
      <c r="N1265" s="1">
        <v>11213</v>
      </c>
      <c r="O1265" s="1">
        <v>50032496</v>
      </c>
      <c r="P1265" s="1" t="str">
        <f>"  راه وساختمان برج سازان هفت آسمان"</f>
        <v xml:space="preserve">  راه وساختمان برج سازان هفت آسمان</v>
      </c>
      <c r="Q1265" s="1">
        <v>19</v>
      </c>
      <c r="R12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65" s="1" t="str">
        <f t="shared" si="311"/>
        <v>قرارداد فروش</v>
      </c>
      <c r="T1265" s="1" t="str">
        <f t="shared" si="312"/>
        <v>ندارد</v>
      </c>
      <c r="U1265" s="1" t="str">
        <f>"پيرالي مجيد(1045ج 94)"</f>
        <v>پيرالي مجيد(1045ج 94)</v>
      </c>
      <c r="V1265" s="1">
        <v>951900187</v>
      </c>
      <c r="W1265" s="1">
        <v>951900187</v>
      </c>
      <c r="X1265" s="1" t="str">
        <f>"1395443217"</f>
        <v>1395443217</v>
      </c>
      <c r="Y1265" s="1" t="str">
        <f>"95/08/15"</f>
        <v>95/08/15</v>
      </c>
      <c r="Z1265" s="1" t="str">
        <f>"38465/710"</f>
        <v>38465/710</v>
      </c>
      <c r="AA1265" s="1" t="str">
        <f>"سازمان راهداري وحمل نقل جاده اي"</f>
        <v>سازمان راهداري وحمل نقل جاده اي</v>
      </c>
      <c r="AB1265" s="1" t="str">
        <f>"95/08/10"</f>
        <v>95/08/10</v>
      </c>
      <c r="AC1265" s="1" t="str">
        <f>"استان كرمانشاه"</f>
        <v>استان كرمانشاه</v>
      </c>
      <c r="AD1265" s="1" t="str">
        <f>"95/08/15"</f>
        <v>95/08/15</v>
      </c>
      <c r="AE1265" s="1" t="str">
        <f t="shared" si="316"/>
        <v>اختتام</v>
      </c>
      <c r="AF1265" s="1" t="str">
        <f>""</f>
        <v/>
      </c>
      <c r="AG1265" s="1" t="str">
        <f>""</f>
        <v/>
      </c>
      <c r="AH1265" s="1" t="str">
        <f>""</f>
        <v/>
      </c>
      <c r="AI1265" s="1" t="str">
        <f>""</f>
        <v/>
      </c>
      <c r="AJ1265" s="1" t="str">
        <f>""</f>
        <v/>
      </c>
      <c r="AK1265" s="1" t="str">
        <f>""</f>
        <v/>
      </c>
    </row>
    <row r="1266" spans="1:37" x14ac:dyDescent="0.2">
      <c r="A1266" s="1">
        <v>100000</v>
      </c>
      <c r="B1266" s="1">
        <v>951100053</v>
      </c>
      <c r="C1266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266" s="1">
        <v>5650</v>
      </c>
      <c r="E1266" s="1">
        <v>100000</v>
      </c>
      <c r="F1266" s="1">
        <v>95</v>
      </c>
      <c r="G1266" s="1">
        <v>0</v>
      </c>
      <c r="H1266" s="1" t="str">
        <f>"95/02/29"</f>
        <v>95/02/29</v>
      </c>
      <c r="I1266" s="1" t="str">
        <f t="shared" si="310"/>
        <v>كيلوگرم</v>
      </c>
      <c r="J1266" s="1" t="str">
        <f>"0000000076"</f>
        <v>0000000076</v>
      </c>
      <c r="K1266" s="1" t="str">
        <f>"قير 60/70 - فله"</f>
        <v>قير 60/70 - فله</v>
      </c>
      <c r="L1266" s="1">
        <v>100</v>
      </c>
      <c r="M1266" s="1" t="str">
        <f t="shared" si="313"/>
        <v>مخازن قير اصفهان</v>
      </c>
      <c r="N1266" s="1">
        <v>9938</v>
      </c>
      <c r="O1266" s="1">
        <v>50030873</v>
      </c>
      <c r="P1266" s="1" t="str">
        <f>"  سازمان عمران شهرداري زاهدان"</f>
        <v xml:space="preserve">  سازمان عمران شهرداري زاهدان</v>
      </c>
      <c r="Q1266" s="1">
        <v>11</v>
      </c>
      <c r="R1266" s="1" t="str">
        <f>"فروش داخلي تهران - بورس"</f>
        <v>فروش داخلي تهران - بورس</v>
      </c>
      <c r="S1266" s="1" t="str">
        <f t="shared" si="311"/>
        <v>قرارداد فروش</v>
      </c>
      <c r="T1266" s="1" t="str">
        <f t="shared" si="312"/>
        <v>ندارد</v>
      </c>
      <c r="U1266" s="1" t="str">
        <f>"ميرحسيني سيناترابر سيدمحمد(4854031)"</f>
        <v>ميرحسيني سيناترابر سيدمحمد(4854031)</v>
      </c>
      <c r="V1266" s="1">
        <v>951100053</v>
      </c>
      <c r="W1266" s="1">
        <v>951100053</v>
      </c>
      <c r="X1266" s="1" t="str">
        <f>"1395404429"</f>
        <v>1395404429</v>
      </c>
      <c r="Y1266" s="1" t="str">
        <f>"95/02/29"</f>
        <v>95/02/29</v>
      </c>
      <c r="Z1266" s="1" t="str">
        <f>"95-34406"</f>
        <v>95-34406</v>
      </c>
      <c r="AA1266" s="1" t="str">
        <f>"شهرداريها"</f>
        <v>شهرداريها</v>
      </c>
      <c r="AB1266" s="1" t="str">
        <f>"95/02/29"</f>
        <v>95/02/29</v>
      </c>
      <c r="AC1266" s="1" t="str">
        <f>"استان سيستان بلوچستان"</f>
        <v>استان سيستان بلوچستان</v>
      </c>
      <c r="AD1266" s="1" t="str">
        <f>"95/02/27"</f>
        <v>95/02/27</v>
      </c>
      <c r="AE1266" s="1" t="str">
        <f t="shared" si="316"/>
        <v>اختتام</v>
      </c>
      <c r="AF1266" s="1" t="str">
        <f>""</f>
        <v/>
      </c>
      <c r="AG1266" s="1" t="str">
        <f>""</f>
        <v/>
      </c>
      <c r="AH1266" s="1" t="str">
        <f>""</f>
        <v/>
      </c>
      <c r="AI1266" s="1" t="str">
        <f>""</f>
        <v/>
      </c>
      <c r="AJ1266" s="1" t="str">
        <f>""</f>
        <v/>
      </c>
      <c r="AK1266" s="1" t="str">
        <f>""</f>
        <v/>
      </c>
    </row>
    <row r="1267" spans="1:37" x14ac:dyDescent="0.2">
      <c r="A1267" s="1">
        <v>68000</v>
      </c>
      <c r="B1267" s="1">
        <v>952000336</v>
      </c>
      <c r="C1267" s="1" t="str">
        <f>"تخليه اصفهان كيلومتر17جاده قمصركاشان شركت بتن آسفالت مهر"</f>
        <v>تخليه اصفهان كيلومتر17جاده قمصركاشان شركت بتن آسفالت مهر</v>
      </c>
      <c r="D1267" s="1">
        <v>9361</v>
      </c>
      <c r="E1267" s="1">
        <v>67480</v>
      </c>
      <c r="F1267" s="1">
        <v>95</v>
      </c>
      <c r="G1267" s="1">
        <v>520</v>
      </c>
      <c r="H1267" s="1" t="str">
        <f>"95/11/24"</f>
        <v>95/11/24</v>
      </c>
      <c r="I1267" s="1" t="str">
        <f t="shared" si="310"/>
        <v>كيلوگرم</v>
      </c>
      <c r="J1267" s="1" t="str">
        <f>"0000000076"</f>
        <v>0000000076</v>
      </c>
      <c r="K1267" s="1" t="str">
        <f>"قير 60/70 - فله"</f>
        <v>قير 60/70 - فله</v>
      </c>
      <c r="L1267" s="1">
        <v>100</v>
      </c>
      <c r="M1267" s="1" t="str">
        <f t="shared" si="313"/>
        <v>مخازن قير اصفهان</v>
      </c>
      <c r="N1267" s="1">
        <v>9177</v>
      </c>
      <c r="O1267" s="1">
        <v>50033703</v>
      </c>
      <c r="P1267" s="1" t="str">
        <f>"  شهرداري نياسر"</f>
        <v xml:space="preserve">  شهرداري نياسر</v>
      </c>
      <c r="Q1267" s="1">
        <v>20</v>
      </c>
      <c r="R1267" s="1" t="str">
        <f>"فروش داخلي - سازمان شهرداري ها و دهياري هاي كشور"</f>
        <v>فروش داخلي - سازمان شهرداري ها و دهياري هاي كشور</v>
      </c>
      <c r="S1267" s="1" t="str">
        <f t="shared" si="311"/>
        <v>قرارداد فروش</v>
      </c>
      <c r="T1267" s="1" t="str">
        <f t="shared" si="312"/>
        <v>ندارد</v>
      </c>
      <c r="U1267" s="1" t="str">
        <f>"شهبازي محمدرضا(1029ج89)"</f>
        <v>شهبازي محمدرضا(1029ج89)</v>
      </c>
      <c r="V1267" s="1">
        <v>952000336</v>
      </c>
      <c r="W1267" s="1">
        <v>952000336</v>
      </c>
      <c r="X1267" s="1" t="str">
        <f>"1395464401"</f>
        <v>1395464401</v>
      </c>
      <c r="Y1267" s="1" t="str">
        <f>"95/11/24"</f>
        <v>95/11/24</v>
      </c>
      <c r="Z1267" s="1" t="str">
        <f>"43469"</f>
        <v>43469</v>
      </c>
      <c r="AA1267" s="1" t="str">
        <f>"شهرداريها"</f>
        <v>شهرداريها</v>
      </c>
      <c r="AB1267" s="1" t="str">
        <f>"95/09/02"</f>
        <v>95/09/02</v>
      </c>
      <c r="AC1267" s="1" t="str">
        <f>"استان اصفهان"</f>
        <v>استان اصفهان</v>
      </c>
      <c r="AD1267" s="1" t="str">
        <f>"95/11/23"</f>
        <v>95/11/23</v>
      </c>
      <c r="AE1267" s="1" t="str">
        <f t="shared" si="316"/>
        <v>اختتام</v>
      </c>
      <c r="AF1267" s="1" t="str">
        <f>""</f>
        <v/>
      </c>
      <c r="AG1267" s="1" t="str">
        <f>""</f>
        <v/>
      </c>
      <c r="AH1267" s="1" t="str">
        <f>""</f>
        <v/>
      </c>
      <c r="AI1267" s="1" t="str">
        <f>""</f>
        <v/>
      </c>
      <c r="AJ1267" s="1" t="str">
        <f>""</f>
        <v/>
      </c>
      <c r="AK1267" s="1" t="str">
        <f>""</f>
        <v/>
      </c>
    </row>
    <row r="1268" spans="1:37" x14ac:dyDescent="0.2">
      <c r="A1268" s="1">
        <v>73000</v>
      </c>
      <c r="B1268" s="1">
        <v>952000307</v>
      </c>
      <c r="C1268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1268" s="1">
        <v>7026</v>
      </c>
      <c r="E1268" s="1">
        <v>71800</v>
      </c>
      <c r="F1268" s="1">
        <v>95</v>
      </c>
      <c r="G1268" s="1">
        <v>1200</v>
      </c>
      <c r="H1268" s="1" t="str">
        <f>"95/09/11"</f>
        <v>95/09/11</v>
      </c>
      <c r="I1268" s="1" t="str">
        <f t="shared" si="310"/>
        <v>كيلوگرم</v>
      </c>
      <c r="J1268" s="1" t="str">
        <f>"0000000076"</f>
        <v>0000000076</v>
      </c>
      <c r="K1268" s="1" t="str">
        <f>"قير 60/70 - فله"</f>
        <v>قير 60/70 - فله</v>
      </c>
      <c r="L1268" s="1">
        <v>100</v>
      </c>
      <c r="M1268" s="1" t="str">
        <f t="shared" si="313"/>
        <v>مخازن قير اصفهان</v>
      </c>
      <c r="N1268" s="1">
        <v>10046</v>
      </c>
      <c r="O1268" s="1">
        <v>50032791</v>
      </c>
      <c r="P1268" s="1" t="str">
        <f>"  شهرداري نيك آباد"</f>
        <v xml:space="preserve">  شهرداري نيك آباد</v>
      </c>
      <c r="Q1268" s="1">
        <v>20</v>
      </c>
      <c r="R1268" s="1" t="str">
        <f>"فروش داخلي - سازمان شهرداري ها و دهياري هاي كشور"</f>
        <v>فروش داخلي - سازمان شهرداري ها و دهياري هاي كشور</v>
      </c>
      <c r="S1268" s="1" t="str">
        <f t="shared" si="311"/>
        <v>قرارداد فروش</v>
      </c>
      <c r="T1268" s="1" t="str">
        <f t="shared" si="312"/>
        <v>ندارد</v>
      </c>
      <c r="U1268" s="1" t="str">
        <f>"علي عابدي ابوالقاسم(1003ج89)"</f>
        <v>علي عابدي ابوالقاسم(1003ج89)</v>
      </c>
      <c r="V1268" s="1">
        <v>952000307</v>
      </c>
      <c r="W1268" s="1">
        <v>952000307</v>
      </c>
      <c r="X1268" s="1" t="str">
        <f>"1395447798"</f>
        <v>1395447798</v>
      </c>
      <c r="Y1268" s="1" t="str">
        <f>"95/09/09"</f>
        <v>95/09/09</v>
      </c>
      <c r="Z1268" s="1" t="str">
        <f>"43387"</f>
        <v>43387</v>
      </c>
      <c r="AA1268" s="1" t="str">
        <f>"شهرداريها"</f>
        <v>شهرداريها</v>
      </c>
      <c r="AB1268" s="1" t="str">
        <f>"95/09/02"</f>
        <v>95/09/02</v>
      </c>
      <c r="AC1268" s="1" t="str">
        <f>"استان اصفهان"</f>
        <v>استان اصفهان</v>
      </c>
      <c r="AD1268" s="1" t="str">
        <f>"95/09/07"</f>
        <v>95/09/07</v>
      </c>
      <c r="AE1268" s="1" t="str">
        <f t="shared" si="316"/>
        <v>اختتام</v>
      </c>
      <c r="AF1268" s="1" t="str">
        <f>""</f>
        <v/>
      </c>
      <c r="AG1268" s="1" t="str">
        <f>""</f>
        <v/>
      </c>
      <c r="AH1268" s="1" t="str">
        <f>""</f>
        <v/>
      </c>
      <c r="AI1268" s="1" t="str">
        <f>""</f>
        <v/>
      </c>
      <c r="AJ1268" s="1" t="str">
        <f>""</f>
        <v/>
      </c>
      <c r="AK1268" s="1" t="str">
        <f>""</f>
        <v/>
      </c>
    </row>
    <row r="1269" spans="1:37" x14ac:dyDescent="0.2">
      <c r="A1269" s="1">
        <v>74000</v>
      </c>
      <c r="B1269" s="1">
        <v>952000243</v>
      </c>
      <c r="C1269" s="1" t="str">
        <f>"تخليه-اصفهان -کيلومتر 19 جاده کاشان قم - كارخانه آسفالت درم"</f>
        <v>تخليه-اصفهان -کيلومتر 19 جاده کاشان قم - كارخانه آسفالت درم</v>
      </c>
      <c r="D1269" s="1">
        <v>7026</v>
      </c>
      <c r="E1269" s="1">
        <v>73640</v>
      </c>
      <c r="F1269" s="1">
        <v>95</v>
      </c>
      <c r="G1269" s="1">
        <v>360</v>
      </c>
      <c r="H1269" s="1" t="str">
        <f>"95/09/07"</f>
        <v>95/09/07</v>
      </c>
      <c r="I1269" s="1" t="str">
        <f t="shared" si="310"/>
        <v>كيلوگرم</v>
      </c>
      <c r="J1269" s="1" t="str">
        <f>"0000000076"</f>
        <v>0000000076</v>
      </c>
      <c r="K1269" s="1" t="str">
        <f>"قير 60/70 - فله"</f>
        <v>قير 60/70 - فله</v>
      </c>
      <c r="L1269" s="1">
        <v>100</v>
      </c>
      <c r="M1269" s="1" t="str">
        <f t="shared" si="313"/>
        <v>مخازن قير اصفهان</v>
      </c>
      <c r="N1269" s="1">
        <v>10061</v>
      </c>
      <c r="O1269" s="1">
        <v>50032705</v>
      </c>
      <c r="P1269" s="1" t="str">
        <f>"  شهرداري سفيدشهر"</f>
        <v xml:space="preserve">  شهرداري سفيدشهر</v>
      </c>
      <c r="Q1269" s="1">
        <v>20</v>
      </c>
      <c r="R1269" s="1" t="str">
        <f>"فروش داخلي - سازمان شهرداري ها و دهياري هاي كشور"</f>
        <v>فروش داخلي - سازمان شهرداري ها و دهياري هاي كشور</v>
      </c>
      <c r="S1269" s="1" t="str">
        <f t="shared" si="311"/>
        <v>قرارداد فروش</v>
      </c>
      <c r="T1269" s="1" t="str">
        <f t="shared" si="312"/>
        <v>ندارد</v>
      </c>
      <c r="U1269" s="1" t="str">
        <f>"كبيري رحمت اله(1024ج89)"</f>
        <v>كبيري رحمت اله(1024ج89)</v>
      </c>
      <c r="V1269" s="1">
        <v>952000243</v>
      </c>
      <c r="W1269" s="1">
        <v>952000243</v>
      </c>
      <c r="X1269" s="1" t="str">
        <f>"1395447617"</f>
        <v>1395447617</v>
      </c>
      <c r="Y1269" s="1" t="str">
        <f>"95/09/07"</f>
        <v>95/09/07</v>
      </c>
      <c r="Z1269" s="1" t="str">
        <f>"42075"</f>
        <v>42075</v>
      </c>
      <c r="AA1269" s="1" t="str">
        <f>"شهرداريها"</f>
        <v>شهرداريها</v>
      </c>
      <c r="AB1269" s="1" t="str">
        <f>"95/08/24"</f>
        <v>95/08/24</v>
      </c>
      <c r="AC1269" s="1" t="str">
        <f>"استان اصفهان"</f>
        <v>استان اصفهان</v>
      </c>
      <c r="AD1269" s="1" t="str">
        <f>"95/09/06"</f>
        <v>95/09/06</v>
      </c>
      <c r="AE1269" s="1" t="str">
        <f t="shared" si="316"/>
        <v>اختتام</v>
      </c>
      <c r="AF1269" s="1" t="str">
        <f>""</f>
        <v/>
      </c>
      <c r="AG1269" s="1" t="str">
        <f>""</f>
        <v/>
      </c>
      <c r="AH1269" s="1" t="str">
        <f>""</f>
        <v/>
      </c>
      <c r="AI1269" s="1" t="str">
        <f>""</f>
        <v/>
      </c>
      <c r="AJ1269" s="1" t="str">
        <f>""</f>
        <v/>
      </c>
      <c r="AK1269" s="1" t="str">
        <f>""</f>
        <v/>
      </c>
    </row>
    <row r="1270" spans="1:37" x14ac:dyDescent="0.2">
      <c r="A1270" s="1">
        <v>74000</v>
      </c>
      <c r="B1270" s="1">
        <v>952000049</v>
      </c>
      <c r="C1270" s="1" t="str">
        <f>"تخليه اصفهان سه راهي محمدآبادكارخانه آسفالت جرقويه"</f>
        <v>تخليه اصفهان سه راهي محمدآبادكارخانه آسفالت جرقويه</v>
      </c>
      <c r="D1270" s="1">
        <v>6876</v>
      </c>
      <c r="E1270" s="1">
        <v>72980</v>
      </c>
      <c r="F1270" s="1">
        <v>95</v>
      </c>
      <c r="G1270" s="1">
        <v>1020</v>
      </c>
      <c r="H1270" s="1" t="str">
        <f>"95/06/07"</f>
        <v>95/06/07</v>
      </c>
      <c r="I1270" s="1" t="str">
        <f t="shared" si="310"/>
        <v>كيلوگرم</v>
      </c>
      <c r="J1270" s="1" t="str">
        <f>"0000000076"</f>
        <v>0000000076</v>
      </c>
      <c r="K1270" s="1" t="str">
        <f>"قير 60/70 - فله"</f>
        <v>قير 60/70 - فله</v>
      </c>
      <c r="L1270" s="1">
        <v>100</v>
      </c>
      <c r="M1270" s="1" t="str">
        <f t="shared" si="313"/>
        <v>مخازن قير اصفهان</v>
      </c>
      <c r="N1270" s="1">
        <v>10073</v>
      </c>
      <c r="O1270" s="1">
        <v>50031695</v>
      </c>
      <c r="P1270" s="1" t="str">
        <f>"  شهرداري محمدآباد"</f>
        <v xml:space="preserve">  شهرداري محمدآباد</v>
      </c>
      <c r="Q1270" s="1">
        <v>20</v>
      </c>
      <c r="R1270" s="1" t="str">
        <f>"فروش داخلي - سازمان شهرداري ها و دهياري هاي كشور"</f>
        <v>فروش داخلي - سازمان شهرداري ها و دهياري هاي كشور</v>
      </c>
      <c r="S1270" s="1" t="str">
        <f t="shared" si="311"/>
        <v>قرارداد فروش</v>
      </c>
      <c r="T1270" s="1" t="str">
        <f t="shared" si="312"/>
        <v>ندارد</v>
      </c>
      <c r="U1270" s="1" t="str">
        <f>"علي عابدي ابوالقاسم(1003ج89)"</f>
        <v>علي عابدي ابوالقاسم(1003ج89)</v>
      </c>
      <c r="V1270" s="1">
        <v>952000049</v>
      </c>
      <c r="W1270" s="1">
        <v>952000049</v>
      </c>
      <c r="X1270" s="1" t="str">
        <f>"1395426944"</f>
        <v>1395426944</v>
      </c>
      <c r="Y1270" s="1" t="str">
        <f>"95/06/07"</f>
        <v>95/06/07</v>
      </c>
      <c r="Z1270" s="1" t="str">
        <f>"25656"</f>
        <v>25656</v>
      </c>
      <c r="AA1270" s="1" t="str">
        <f>"شهرداريها"</f>
        <v>شهرداريها</v>
      </c>
      <c r="AB1270" s="1" t="str">
        <f>"95/06/02"</f>
        <v>95/06/02</v>
      </c>
      <c r="AC1270" s="1" t="str">
        <f>"استان اصفهان"</f>
        <v>استان اصفهان</v>
      </c>
      <c r="AD1270" s="1" t="str">
        <f>"95/06/06"</f>
        <v>95/06/06</v>
      </c>
      <c r="AE1270" s="1" t="str">
        <f t="shared" si="316"/>
        <v>اختتام</v>
      </c>
      <c r="AF1270" s="1" t="str">
        <f>""</f>
        <v/>
      </c>
      <c r="AG1270" s="1" t="str">
        <f>""</f>
        <v/>
      </c>
      <c r="AH1270" s="1" t="str">
        <f>""</f>
        <v/>
      </c>
      <c r="AI1270" s="1" t="str">
        <f>""</f>
        <v/>
      </c>
      <c r="AJ1270" s="1" t="str">
        <f>""</f>
        <v/>
      </c>
      <c r="AK1270" s="1" t="str">
        <f>""</f>
        <v/>
      </c>
    </row>
    <row r="1271" spans="1:37" x14ac:dyDescent="0.2">
      <c r="A1271" s="1">
        <v>106000</v>
      </c>
      <c r="B1271" s="1">
        <v>956200266</v>
      </c>
      <c r="C1271" s="1" t="str">
        <f>"تخليه-همدان کيلومتر54 همدان-رزن شرکت سراوک"</f>
        <v>تخليه-همدان کيلومتر54 همدان-رزن شرکت سراوک</v>
      </c>
      <c r="D1271" s="1">
        <v>8848</v>
      </c>
      <c r="E1271" s="1">
        <v>94240</v>
      </c>
      <c r="F1271" s="1">
        <v>95</v>
      </c>
      <c r="G1271" s="1">
        <v>11760</v>
      </c>
      <c r="H1271" s="1" t="str">
        <f>"95/12/03"</f>
        <v>95/12/03</v>
      </c>
      <c r="I1271" s="1" t="str">
        <f t="shared" si="310"/>
        <v>كيلوگرم</v>
      </c>
      <c r="J1271" s="1" t="str">
        <f>"1000000002"</f>
        <v>1000000002</v>
      </c>
      <c r="K1271" s="1" t="str">
        <f>"قير 85/100 - فله"</f>
        <v>قير 85/100 - فله</v>
      </c>
      <c r="L1271" s="1">
        <v>100</v>
      </c>
      <c r="M1271" s="1" t="str">
        <f t="shared" si="313"/>
        <v>مخازن قير اصفهان</v>
      </c>
      <c r="N1271" s="1">
        <v>4013</v>
      </c>
      <c r="O1271" s="1">
        <v>50033832</v>
      </c>
      <c r="P1271" s="1" t="str">
        <f>"  ساختماني و راهسازي سراوك"</f>
        <v xml:space="preserve">  ساختماني و راهسازي سراوك</v>
      </c>
      <c r="Q1271" s="1">
        <v>62</v>
      </c>
      <c r="R1271" s="1" t="str">
        <f>"فروش داخلي - سازمان بنيادمسكن انقلاب اسلامي"</f>
        <v>فروش داخلي - سازمان بنيادمسكن انقلاب اسلامي</v>
      </c>
      <c r="S1271" s="1" t="str">
        <f t="shared" si="311"/>
        <v>قرارداد فروش</v>
      </c>
      <c r="T1271" s="1" t="str">
        <f t="shared" si="312"/>
        <v>ندارد</v>
      </c>
      <c r="U1271" s="1" t="str">
        <f>"حاجيلوئي علي اصغر(2842019)"</f>
        <v>حاجيلوئي علي اصغر(2842019)</v>
      </c>
      <c r="V1271" s="1">
        <v>956200266</v>
      </c>
      <c r="W1271" s="1">
        <v>956200266</v>
      </c>
      <c r="X1271" s="1" t="str">
        <f>"1395466582"</f>
        <v>1395466582</v>
      </c>
      <c r="Y1271" s="1" t="str">
        <f>"95/12/03"</f>
        <v>95/12/03</v>
      </c>
      <c r="Z1271" s="1" t="str">
        <f>"52074/د"</f>
        <v>52074/د</v>
      </c>
      <c r="AA1271" s="1" t="str">
        <f>"بنيادمسكن انقلاب اسلامي"</f>
        <v>بنيادمسكن انقلاب اسلامي</v>
      </c>
      <c r="AB1271" s="1" t="str">
        <f>"95/11/30"</f>
        <v>95/11/30</v>
      </c>
      <c r="AC1271" s="1" t="str">
        <f>"استان همدان"</f>
        <v>استان همدان</v>
      </c>
      <c r="AD1271" s="1" t="str">
        <f>"95/12/03"</f>
        <v>95/12/03</v>
      </c>
      <c r="AE1271" s="1" t="str">
        <f t="shared" si="316"/>
        <v>اختتام</v>
      </c>
      <c r="AF1271" s="1" t="str">
        <f>""</f>
        <v/>
      </c>
      <c r="AG1271" s="1" t="str">
        <f>""</f>
        <v/>
      </c>
      <c r="AH1271" s="1" t="str">
        <f>""</f>
        <v/>
      </c>
      <c r="AI1271" s="1" t="str">
        <f>""</f>
        <v/>
      </c>
      <c r="AJ1271" s="1" t="str">
        <f>""</f>
        <v/>
      </c>
      <c r="AK1271" s="1" t="str">
        <f>""</f>
        <v/>
      </c>
    </row>
    <row r="1272" spans="1:37" x14ac:dyDescent="0.2">
      <c r="A1272" s="1">
        <v>165000</v>
      </c>
      <c r="B1272" s="1">
        <v>956200407</v>
      </c>
      <c r="C1272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272" s="1">
        <v>8848</v>
      </c>
      <c r="E1272" s="1">
        <v>164320</v>
      </c>
      <c r="F1272" s="1">
        <v>95</v>
      </c>
      <c r="G1272" s="1">
        <v>680</v>
      </c>
      <c r="H1272" s="1" t="str">
        <f>"95/12/25"</f>
        <v>95/12/25</v>
      </c>
      <c r="I1272" s="1" t="str">
        <f t="shared" si="310"/>
        <v>كيلوگرم</v>
      </c>
      <c r="J1272" s="1" t="str">
        <f>"0000000076"</f>
        <v>0000000076</v>
      </c>
      <c r="K1272" s="1" t="str">
        <f>"قير 60/70 - فله"</f>
        <v>قير 60/70 - فله</v>
      </c>
      <c r="L1272" s="1">
        <v>100</v>
      </c>
      <c r="M1272" s="1" t="str">
        <f t="shared" si="313"/>
        <v>مخازن قير اصفهان</v>
      </c>
      <c r="N1272" s="1">
        <v>9345</v>
      </c>
      <c r="O1272" s="1">
        <v>50034257</v>
      </c>
      <c r="P1272" s="1" t="str">
        <f>"  ثمين راه صفاهان"</f>
        <v xml:space="preserve">  ثمين راه صفاهان</v>
      </c>
      <c r="Q1272" s="1">
        <v>62</v>
      </c>
      <c r="R1272" s="1" t="str">
        <f>"فروش داخلي - سازمان بنيادمسكن انقلاب اسلامي"</f>
        <v>فروش داخلي - سازمان بنيادمسكن انقلاب اسلامي</v>
      </c>
      <c r="S1272" s="1" t="str">
        <f t="shared" si="311"/>
        <v>قرارداد فروش</v>
      </c>
      <c r="T1272" s="1" t="str">
        <f t="shared" si="312"/>
        <v>ندارد</v>
      </c>
      <c r="U1272" s="1" t="str">
        <f>"شهبازي محمدرضا(1029ج89)"</f>
        <v>شهبازي محمدرضا(1029ج89)</v>
      </c>
      <c r="V1272" s="1">
        <v>956200407</v>
      </c>
      <c r="W1272" s="1">
        <v>956200407</v>
      </c>
      <c r="X1272" s="1" t="str">
        <f>"1395470894"</f>
        <v>1395470894</v>
      </c>
      <c r="Y1272" s="1" t="str">
        <f>"95/12/25"</f>
        <v>95/12/25</v>
      </c>
      <c r="Z1272" s="1" t="str">
        <f>"57013/د"</f>
        <v>57013/د</v>
      </c>
      <c r="AA1272" s="1" t="str">
        <f>"بنيادمسكن انقلاب اسلامي"</f>
        <v>بنيادمسكن انقلاب اسلامي</v>
      </c>
      <c r="AB1272" s="1" t="str">
        <f>"95/12/22"</f>
        <v>95/12/22</v>
      </c>
      <c r="AC1272" s="1" t="str">
        <f>"استان اصفهان"</f>
        <v>استان اصفهان</v>
      </c>
      <c r="AD1272" s="1" t="str">
        <f>"95/12/23"</f>
        <v>95/12/23</v>
      </c>
      <c r="AE1272" s="1" t="str">
        <f t="shared" si="316"/>
        <v>اختتام</v>
      </c>
      <c r="AF1272" s="1" t="str">
        <f>""</f>
        <v/>
      </c>
      <c r="AG1272" s="1" t="str">
        <f>""</f>
        <v/>
      </c>
      <c r="AH1272" s="1" t="str">
        <f>""</f>
        <v/>
      </c>
      <c r="AI1272" s="1" t="str">
        <f>""</f>
        <v/>
      </c>
      <c r="AJ1272" s="1" t="str">
        <f>""</f>
        <v/>
      </c>
      <c r="AK1272" s="1" t="str">
        <f>""</f>
        <v/>
      </c>
    </row>
    <row r="1273" spans="1:37" x14ac:dyDescent="0.2">
      <c r="A1273" s="1">
        <v>70000</v>
      </c>
      <c r="B1273" s="1">
        <v>951100017</v>
      </c>
      <c r="C1273" s="1" t="str">
        <f>"تخليه -جاده تفت روبروي پليس راه تفت -جنب کارخانه آسفالت همياري شهرداري -پوشش راه وحيد"</f>
        <v>تخليه -جاده تفت روبروي پليس راه تفت -جنب کارخانه آسفالت همياري شهرداري -پوشش راه وحيد</v>
      </c>
      <c r="D1273" s="1">
        <v>5200</v>
      </c>
      <c r="E1273" s="1">
        <v>69740</v>
      </c>
      <c r="F1273" s="1">
        <v>95</v>
      </c>
      <c r="G1273" s="1">
        <v>260</v>
      </c>
      <c r="H1273" s="1" t="str">
        <f>"95/01/30"</f>
        <v>95/01/30</v>
      </c>
      <c r="I1273" s="1" t="str">
        <f t="shared" si="310"/>
        <v>كيلوگرم</v>
      </c>
      <c r="J1273" s="1" t="str">
        <f>"0000000076"</f>
        <v>0000000076</v>
      </c>
      <c r="K1273" s="1" t="str">
        <f>"قير 60/70 - فله"</f>
        <v>قير 60/70 - فله</v>
      </c>
      <c r="L1273" s="1">
        <v>100</v>
      </c>
      <c r="M1273" s="1" t="str">
        <f t="shared" si="313"/>
        <v>مخازن قير اصفهان</v>
      </c>
      <c r="N1273" s="1">
        <v>9416</v>
      </c>
      <c r="O1273" s="1">
        <v>50030580</v>
      </c>
      <c r="P1273" s="1" t="str">
        <f>"  راهسازي پوشش راه وحيد"</f>
        <v xml:space="preserve">  راهسازي پوشش راه وحيد</v>
      </c>
      <c r="Q1273" s="1">
        <v>11</v>
      </c>
      <c r="R1273" s="1" t="str">
        <f>"فروش داخلي تهران - بورس"</f>
        <v>فروش داخلي تهران - بورس</v>
      </c>
      <c r="S1273" s="1" t="str">
        <f t="shared" si="311"/>
        <v>قرارداد فروش</v>
      </c>
      <c r="T1273" s="1" t="str">
        <f t="shared" si="312"/>
        <v>ندارد</v>
      </c>
      <c r="U1273" s="1" t="str">
        <f>"اسماعيلي پور امين (1013ج89)"</f>
        <v>اسماعيلي پور امين (1013ج89)</v>
      </c>
      <c r="V1273" s="1">
        <v>951100017</v>
      </c>
      <c r="W1273" s="1">
        <v>951100017</v>
      </c>
      <c r="X1273" s="1" t="str">
        <f>"1395399733"</f>
        <v>1395399733</v>
      </c>
      <c r="Y1273" s="1" t="str">
        <f>"95/01/29"</f>
        <v>95/01/29</v>
      </c>
      <c r="Z1273" s="1" t="str">
        <f>"95-34211"</f>
        <v>95-34211</v>
      </c>
      <c r="AA1273" s="1" t="str">
        <f>"راه سازي"</f>
        <v>راه سازي</v>
      </c>
      <c r="AB1273" s="1" t="str">
        <f>"95/01/29"</f>
        <v>95/01/29</v>
      </c>
      <c r="AC1273" s="1" t="str">
        <f>"استان يزد"</f>
        <v>استان يزد</v>
      </c>
      <c r="AD1273" s="1" t="str">
        <f>"95/01/25"</f>
        <v>95/01/25</v>
      </c>
      <c r="AE1273" s="1" t="str">
        <f t="shared" si="316"/>
        <v>اختتام</v>
      </c>
      <c r="AF1273" s="1" t="str">
        <f>""</f>
        <v/>
      </c>
      <c r="AG1273" s="1" t="str">
        <f>""</f>
        <v/>
      </c>
      <c r="AH1273" s="1" t="str">
        <f>""</f>
        <v/>
      </c>
      <c r="AI1273" s="1" t="str">
        <f>""</f>
        <v/>
      </c>
      <c r="AJ1273" s="1" t="str">
        <f>""</f>
        <v/>
      </c>
      <c r="AK1273" s="1" t="str">
        <f>""</f>
        <v/>
      </c>
    </row>
    <row r="1274" spans="1:37" x14ac:dyDescent="0.2">
      <c r="A1274" s="1">
        <v>71000</v>
      </c>
      <c r="B1274" s="1">
        <v>952000288</v>
      </c>
      <c r="C1274" s="1" t="str">
        <f>"تخليه - اصفهان - کاشان - کيلومتر 18 جاده قمصر -شرکت بتن آسفالت مهر"</f>
        <v>تخليه - اصفهان - کاشان - کيلومتر 18 جاده قمصر -شرکت بتن آسفالت مهر</v>
      </c>
      <c r="D1274" s="1">
        <v>7026</v>
      </c>
      <c r="E1274" s="1">
        <v>69860</v>
      </c>
      <c r="F1274" s="1">
        <v>95</v>
      </c>
      <c r="G1274" s="1">
        <v>1140</v>
      </c>
      <c r="H1274" s="1" t="str">
        <f>"95/09/09"</f>
        <v>95/09/09</v>
      </c>
      <c r="I1274" s="1" t="str">
        <f t="shared" si="310"/>
        <v>كيلوگرم</v>
      </c>
      <c r="J1274" s="1" t="str">
        <f>"0000000076"</f>
        <v>0000000076</v>
      </c>
      <c r="K1274" s="1" t="str">
        <f>"قير 60/70 - فله"</f>
        <v>قير 60/70 - فله</v>
      </c>
      <c r="L1274" s="1">
        <v>100</v>
      </c>
      <c r="M1274" s="1" t="str">
        <f t="shared" si="313"/>
        <v>مخازن قير اصفهان</v>
      </c>
      <c r="N1274" s="1">
        <v>9417</v>
      </c>
      <c r="O1274" s="1">
        <v>50032768</v>
      </c>
      <c r="P1274" s="1" t="str">
        <f>"  شهرداري ابوزيدآباد"</f>
        <v xml:space="preserve">  شهرداري ابوزيدآباد</v>
      </c>
      <c r="Q1274" s="1">
        <v>20</v>
      </c>
      <c r="R1274" s="1" t="str">
        <f>"فروش داخلي - سازمان شهرداري ها و دهياري هاي كشور"</f>
        <v>فروش داخلي - سازمان شهرداري ها و دهياري هاي كشور</v>
      </c>
      <c r="S1274" s="1" t="str">
        <f t="shared" si="311"/>
        <v>قرارداد فروش</v>
      </c>
      <c r="T1274" s="1" t="str">
        <f t="shared" si="312"/>
        <v>ندارد</v>
      </c>
      <c r="U1274" s="1" t="str">
        <f>"شهبازي محمدرضا(1029ج89)"</f>
        <v>شهبازي محمدرضا(1029ج89)</v>
      </c>
      <c r="V1274" s="1">
        <v>952000288</v>
      </c>
      <c r="W1274" s="1">
        <v>952000288</v>
      </c>
      <c r="X1274" s="1" t="str">
        <f>"1395447768"</f>
        <v>1395447768</v>
      </c>
      <c r="Y1274" s="1" t="str">
        <f>"95/09/09"</f>
        <v>95/09/09</v>
      </c>
      <c r="Z1274" s="1" t="str">
        <f>"43242"</f>
        <v>43242</v>
      </c>
      <c r="AA1274" s="1" t="str">
        <f>"شهرداريها"</f>
        <v>شهرداريها</v>
      </c>
      <c r="AB1274" s="1" t="str">
        <f>"95/09/01"</f>
        <v>95/09/01</v>
      </c>
      <c r="AC1274" s="1" t="str">
        <f>"استان اصفهان"</f>
        <v>استان اصفهان</v>
      </c>
      <c r="AD1274" s="1" t="str">
        <f>"95/09/07"</f>
        <v>95/09/07</v>
      </c>
      <c r="AE1274" s="1" t="str">
        <f t="shared" ref="AE1274:AE1293" si="321">"اختتام"</f>
        <v>اختتام</v>
      </c>
      <c r="AF1274" s="1" t="str">
        <f>""</f>
        <v/>
      </c>
      <c r="AG1274" s="1" t="str">
        <f>""</f>
        <v/>
      </c>
      <c r="AH1274" s="1" t="str">
        <f>""</f>
        <v/>
      </c>
      <c r="AI1274" s="1" t="str">
        <f>""</f>
        <v/>
      </c>
      <c r="AJ1274" s="1" t="str">
        <f>""</f>
        <v/>
      </c>
      <c r="AK1274" s="1" t="str">
        <f>""</f>
        <v/>
      </c>
    </row>
    <row r="1275" spans="1:37" x14ac:dyDescent="0.2">
      <c r="A1275" s="1">
        <v>240000</v>
      </c>
      <c r="B1275" s="1">
        <v>956200302</v>
      </c>
      <c r="C1275" s="1" t="str">
        <f>"تخليه-همدان کيلومتر54 همدان-رزن شرکت سراوک"</f>
        <v>تخليه-همدان کيلومتر54 همدان-رزن شرکت سراوک</v>
      </c>
      <c r="D1275" s="1">
        <v>8848</v>
      </c>
      <c r="E1275" s="1">
        <v>240000</v>
      </c>
      <c r="F1275" s="1">
        <v>95</v>
      </c>
      <c r="G1275" s="1">
        <v>0</v>
      </c>
      <c r="H1275" s="1" t="str">
        <f>"95/12/09"</f>
        <v>95/12/09</v>
      </c>
      <c r="I1275" s="1" t="str">
        <f t="shared" si="310"/>
        <v>كيلوگرم</v>
      </c>
      <c r="J1275" s="1" t="str">
        <f>"1000000002"</f>
        <v>1000000002</v>
      </c>
      <c r="K1275" s="1" t="str">
        <f>"قير 85/100 - فله"</f>
        <v>قير 85/100 - فله</v>
      </c>
      <c r="L1275" s="1">
        <v>100</v>
      </c>
      <c r="M1275" s="1" t="str">
        <f t="shared" si="313"/>
        <v>مخازن قير اصفهان</v>
      </c>
      <c r="N1275" s="1">
        <v>4013</v>
      </c>
      <c r="O1275" s="1">
        <v>50033907</v>
      </c>
      <c r="P1275" s="1" t="str">
        <f>"  ساختماني و راهسازي سراوك"</f>
        <v xml:space="preserve">  ساختماني و راهسازي سراوك</v>
      </c>
      <c r="Q1275" s="1">
        <v>62</v>
      </c>
      <c r="R1275" s="1" t="str">
        <f>"فروش داخلي - سازمان بنيادمسكن انقلاب اسلامي"</f>
        <v>فروش داخلي - سازمان بنيادمسكن انقلاب اسلامي</v>
      </c>
      <c r="S1275" s="1" t="str">
        <f t="shared" si="311"/>
        <v>قرارداد فروش</v>
      </c>
      <c r="T1275" s="1" t="str">
        <f t="shared" si="312"/>
        <v>ندارد</v>
      </c>
      <c r="U1275" s="1" t="str">
        <f>"حاجيلوئي علي اصغر(2842019)"</f>
        <v>حاجيلوئي علي اصغر(2842019)</v>
      </c>
      <c r="V1275" s="1">
        <v>956200302</v>
      </c>
      <c r="W1275" s="1">
        <v>956200302</v>
      </c>
      <c r="X1275" s="1" t="str">
        <f>"1395467744"</f>
        <v>1395467744</v>
      </c>
      <c r="Y1275" s="1" t="str">
        <f>"95/12/09"</f>
        <v>95/12/09</v>
      </c>
      <c r="Z1275" s="1" t="str">
        <f>"53778/د"</f>
        <v>53778/د</v>
      </c>
      <c r="AA1275" s="1" t="str">
        <f>"بنيادمسكن انقلاب اسلامي"</f>
        <v>بنيادمسكن انقلاب اسلامي</v>
      </c>
      <c r="AB1275" s="1" t="str">
        <f>"95/12/07"</f>
        <v>95/12/07</v>
      </c>
      <c r="AC1275" s="1" t="str">
        <f>"استان همدان"</f>
        <v>استان همدان</v>
      </c>
      <c r="AD1275" s="1" t="str">
        <f>"95/12/08"</f>
        <v>95/12/08</v>
      </c>
      <c r="AE1275" s="1" t="str">
        <f t="shared" si="321"/>
        <v>اختتام</v>
      </c>
      <c r="AF1275" s="1" t="str">
        <f>""</f>
        <v/>
      </c>
      <c r="AG1275" s="1" t="str">
        <f>""</f>
        <v/>
      </c>
      <c r="AH1275" s="1" t="str">
        <f>""</f>
        <v/>
      </c>
      <c r="AI1275" s="1" t="str">
        <f>""</f>
        <v/>
      </c>
      <c r="AJ1275" s="1" t="str">
        <f>""</f>
        <v/>
      </c>
      <c r="AK1275" s="1" t="str">
        <f>""</f>
        <v/>
      </c>
    </row>
    <row r="1276" spans="1:37" x14ac:dyDescent="0.2">
      <c r="A1276" s="1">
        <v>158000</v>
      </c>
      <c r="B1276" s="1">
        <v>956200208</v>
      </c>
      <c r="C1276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1276" s="1">
        <v>9361</v>
      </c>
      <c r="E1276" s="1">
        <v>155440</v>
      </c>
      <c r="F1276" s="1">
        <v>95</v>
      </c>
      <c r="G1276" s="1">
        <v>2560</v>
      </c>
      <c r="H1276" s="1" t="str">
        <f>"95/11/20"</f>
        <v>95/11/20</v>
      </c>
      <c r="I1276" s="1" t="str">
        <f t="shared" si="310"/>
        <v>كيلوگرم</v>
      </c>
      <c r="J1276" s="1" t="str">
        <f>"0000000076"</f>
        <v>0000000076</v>
      </c>
      <c r="K1276" s="1" t="str">
        <f>"قير 60/70 - فله"</f>
        <v>قير 60/70 - فله</v>
      </c>
      <c r="L1276" s="1">
        <v>100</v>
      </c>
      <c r="M1276" s="1" t="str">
        <f t="shared" si="313"/>
        <v>مخازن قير اصفهان</v>
      </c>
      <c r="N1276" s="1">
        <v>10421</v>
      </c>
      <c r="O1276" s="1">
        <v>50033643</v>
      </c>
      <c r="P1276" s="1" t="str">
        <f>"  تعاوني راه وساختمان  3136سيستان سازه زابل"</f>
        <v xml:space="preserve">  تعاوني راه وساختمان  3136سيستان سازه زابل</v>
      </c>
      <c r="Q1276" s="1">
        <v>62</v>
      </c>
      <c r="R1276" s="1" t="str">
        <f>"فروش داخلي - سازمان بنيادمسكن انقلاب اسلامي"</f>
        <v>فروش داخلي - سازمان بنيادمسكن انقلاب اسلامي</v>
      </c>
      <c r="S1276" s="1" t="str">
        <f t="shared" si="311"/>
        <v>قرارداد فروش</v>
      </c>
      <c r="T1276" s="1" t="str">
        <f t="shared" si="312"/>
        <v>ندارد</v>
      </c>
      <c r="U1276" s="1" t="str">
        <f>"ميهن دوست مرتضي(1044ج 94)"</f>
        <v>ميهن دوست مرتضي(1044ج 94)</v>
      </c>
      <c r="V1276" s="1">
        <v>956200208</v>
      </c>
      <c r="W1276" s="1">
        <v>956200208</v>
      </c>
      <c r="X1276" s="1" t="str">
        <f>"1395464204"</f>
        <v>1395464204</v>
      </c>
      <c r="Y1276" s="1" t="str">
        <f>"95/11/20"</f>
        <v>95/11/20</v>
      </c>
      <c r="Z1276" s="1" t="str">
        <f>"50316/د"</f>
        <v>50316/د</v>
      </c>
      <c r="AA1276" s="1" t="str">
        <f>"بنيادمسكن انقلاب اسلامي"</f>
        <v>بنيادمسكن انقلاب اسلامي</v>
      </c>
      <c r="AB1276" s="1" t="str">
        <f>"95/11/20"</f>
        <v>95/11/20</v>
      </c>
      <c r="AC1276" s="1" t="str">
        <f>"استان سيستان بلوچستان"</f>
        <v>استان سيستان بلوچستان</v>
      </c>
      <c r="AD1276" s="1" t="str">
        <f>"95/11/20"</f>
        <v>95/11/20</v>
      </c>
      <c r="AE1276" s="1" t="str">
        <f t="shared" si="321"/>
        <v>اختتام</v>
      </c>
      <c r="AF1276" s="1" t="str">
        <f>""</f>
        <v/>
      </c>
      <c r="AG1276" s="1" t="str">
        <f>""</f>
        <v/>
      </c>
      <c r="AH1276" s="1" t="str">
        <f>""</f>
        <v/>
      </c>
      <c r="AI1276" s="1" t="str">
        <f>""</f>
        <v/>
      </c>
      <c r="AJ1276" s="1" t="str">
        <f>""</f>
        <v/>
      </c>
      <c r="AK1276" s="1" t="str">
        <f>""</f>
        <v/>
      </c>
    </row>
    <row r="1277" spans="1:37" x14ac:dyDescent="0.2">
      <c r="A1277" s="1">
        <v>149000</v>
      </c>
      <c r="B1277" s="1">
        <v>952000002</v>
      </c>
      <c r="C1277" s="1" t="str">
        <f>"تخليه -فرخشهر-کارخانه آسفالت فرخشهر"</f>
        <v>تخليه -فرخشهر-کارخانه آسفالت فرخشهر</v>
      </c>
      <c r="D1277" s="1">
        <v>6426</v>
      </c>
      <c r="E1277" s="1">
        <v>147160</v>
      </c>
      <c r="F1277" s="1">
        <v>95</v>
      </c>
      <c r="G1277" s="1">
        <v>1840</v>
      </c>
      <c r="H1277" s="1" t="str">
        <f>"95/05/24"</f>
        <v>95/05/24</v>
      </c>
      <c r="I1277" s="1" t="str">
        <f t="shared" si="310"/>
        <v>كيلوگرم</v>
      </c>
      <c r="J1277" s="1" t="str">
        <f>"1000000002"</f>
        <v>1000000002</v>
      </c>
      <c r="K1277" s="1" t="str">
        <f>"قير 85/100 - فله"</f>
        <v>قير 85/100 - فله</v>
      </c>
      <c r="L1277" s="1">
        <v>100</v>
      </c>
      <c r="M1277" s="1" t="str">
        <f t="shared" si="313"/>
        <v>مخازن قير اصفهان</v>
      </c>
      <c r="N1277" s="1">
        <v>1465</v>
      </c>
      <c r="O1277" s="1">
        <v>50031533</v>
      </c>
      <c r="P1277" s="1" t="str">
        <f>"  شهرداري فرخ شهر"</f>
        <v xml:space="preserve">  شهرداري فرخ شهر</v>
      </c>
      <c r="Q1277" s="1">
        <v>20</v>
      </c>
      <c r="R1277" s="1" t="str">
        <f>"فروش داخلي - سازمان شهرداري ها و دهياري هاي كشور"</f>
        <v>فروش داخلي - سازمان شهرداري ها و دهياري هاي كشور</v>
      </c>
      <c r="S1277" s="1" t="str">
        <f t="shared" si="311"/>
        <v>قرارداد فروش</v>
      </c>
      <c r="T1277" s="1" t="str">
        <f t="shared" si="312"/>
        <v>ندارد</v>
      </c>
      <c r="U1277" s="1" t="str">
        <f>"قره باغي مجيد(1871065)"</f>
        <v>قره باغي مجيد(1871065)</v>
      </c>
      <c r="V1277" s="1">
        <v>952000002</v>
      </c>
      <c r="W1277" s="1">
        <v>952000002</v>
      </c>
      <c r="X1277" s="1" t="str">
        <f>"1395423681"</f>
        <v>1395423681</v>
      </c>
      <c r="Y1277" s="1" t="str">
        <f>"95/05/24"</f>
        <v>95/05/24</v>
      </c>
      <c r="Z1277" s="1" t="str">
        <f>"18507"</f>
        <v>18507</v>
      </c>
      <c r="AA1277" s="1" t="str">
        <f>"شهرداريها"</f>
        <v>شهرداريها</v>
      </c>
      <c r="AB1277" s="1" t="str">
        <f>"95/05/02"</f>
        <v>95/05/02</v>
      </c>
      <c r="AC1277" s="1" t="str">
        <f>"استان چهارمحال بختياري"</f>
        <v>استان چهارمحال بختياري</v>
      </c>
      <c r="AD1277" s="1" t="str">
        <f>"95/05/24"</f>
        <v>95/05/24</v>
      </c>
      <c r="AE1277" s="1" t="str">
        <f t="shared" si="321"/>
        <v>اختتام</v>
      </c>
      <c r="AF1277" s="1" t="str">
        <f>""</f>
        <v/>
      </c>
      <c r="AG1277" s="1" t="str">
        <f>""</f>
        <v/>
      </c>
      <c r="AH1277" s="1" t="str">
        <f>""</f>
        <v/>
      </c>
      <c r="AI1277" s="1" t="str">
        <f>""</f>
        <v/>
      </c>
      <c r="AJ1277" s="1" t="str">
        <f>""</f>
        <v/>
      </c>
      <c r="AK1277" s="1" t="str">
        <f>""</f>
        <v/>
      </c>
    </row>
    <row r="1278" spans="1:37" x14ac:dyDescent="0.2">
      <c r="A1278" s="1">
        <v>300000</v>
      </c>
      <c r="B1278" s="1">
        <v>951100182</v>
      </c>
      <c r="C1278" s="1" t="str">
        <f>"تخليه -لرستان -اليگودرزبه سمت ازنا-كارخانه آسفالت 80تني شهرداري اليگورز"</f>
        <v>تخليه -لرستان -اليگودرزبه سمت ازنا-كارخانه آسفالت 80تني شهرداري اليگورز</v>
      </c>
      <c r="D1278" s="1">
        <v>9361</v>
      </c>
      <c r="E1278" s="1">
        <v>299280</v>
      </c>
      <c r="F1278" s="1">
        <v>95</v>
      </c>
      <c r="G1278" s="1">
        <v>720</v>
      </c>
      <c r="H1278" s="1" t="str">
        <f>"95/11/17"</f>
        <v>95/11/17</v>
      </c>
      <c r="I1278" s="1" t="str">
        <f t="shared" si="310"/>
        <v>كيلوگرم</v>
      </c>
      <c r="J1278" s="1" t="str">
        <f t="shared" ref="J1278:J1296" si="322">"0000000076"</f>
        <v>0000000076</v>
      </c>
      <c r="K1278" s="1" t="str">
        <f t="shared" ref="K1278:K1296" si="323">"قير 60/70 - فله"</f>
        <v>قير 60/70 - فله</v>
      </c>
      <c r="L1278" s="1">
        <v>100</v>
      </c>
      <c r="M1278" s="1" t="str">
        <f t="shared" si="313"/>
        <v>مخازن قير اصفهان</v>
      </c>
      <c r="N1278" s="1">
        <v>10503</v>
      </c>
      <c r="O1278" s="1">
        <v>50033611</v>
      </c>
      <c r="P1278" s="1" t="str">
        <f>"  شهرداري اليگودرز"</f>
        <v xml:space="preserve">  شهرداري اليگودرز</v>
      </c>
      <c r="Q1278" s="1">
        <v>11</v>
      </c>
      <c r="R1278" s="1" t="str">
        <f>"فروش داخلي تهران - بورس"</f>
        <v>فروش داخلي تهران - بورس</v>
      </c>
      <c r="S1278" s="1" t="str">
        <f t="shared" si="311"/>
        <v>قرارداد فروش</v>
      </c>
      <c r="T1278" s="1" t="str">
        <f t="shared" si="312"/>
        <v>ندارد</v>
      </c>
      <c r="U1278" s="1" t="str">
        <f>"اميري علي(2842011)"</f>
        <v>اميري علي(2842011)</v>
      </c>
      <c r="V1278" s="1">
        <v>951100182</v>
      </c>
      <c r="W1278" s="1">
        <v>951100182</v>
      </c>
      <c r="X1278" s="1" t="str">
        <f>"1395461988"</f>
        <v>1395461988</v>
      </c>
      <c r="Y1278" s="1" t="str">
        <f>"95/11/17"</f>
        <v>95/11/17</v>
      </c>
      <c r="Z1278" s="1" t="str">
        <f>"95-35129"</f>
        <v>95-35129</v>
      </c>
      <c r="AA1278" s="1" t="str">
        <f>"شهرداريها"</f>
        <v>شهرداريها</v>
      </c>
      <c r="AB1278" s="1" t="str">
        <f>"95/11/16"</f>
        <v>95/11/16</v>
      </c>
      <c r="AC1278" s="1" t="str">
        <f>"لرستان"</f>
        <v>لرستان</v>
      </c>
      <c r="AD1278" s="1" t="str">
        <f>"95/11/12"</f>
        <v>95/11/12</v>
      </c>
      <c r="AE1278" s="1" t="str">
        <f t="shared" si="321"/>
        <v>اختتام</v>
      </c>
      <c r="AF1278" s="1" t="str">
        <f>""</f>
        <v/>
      </c>
      <c r="AG1278" s="1" t="str">
        <f>""</f>
        <v/>
      </c>
      <c r="AH1278" s="1" t="str">
        <f>""</f>
        <v/>
      </c>
      <c r="AI1278" s="1" t="str">
        <f>""</f>
        <v/>
      </c>
      <c r="AJ1278" s="1" t="str">
        <f>""</f>
        <v/>
      </c>
      <c r="AK1278" s="1" t="str">
        <f>""</f>
        <v/>
      </c>
    </row>
    <row r="1279" spans="1:37" x14ac:dyDescent="0.2">
      <c r="A1279" s="1">
        <v>106000</v>
      </c>
      <c r="B1279" s="1">
        <v>956200300</v>
      </c>
      <c r="C1279" s="1" t="str">
        <f>"تخليه - کرمانشاه -صحنه - کيلومتر 7 کرمانشاه صحنه - روستاي هاشم آباد -شرکت زاگرس راه نصر"</f>
        <v>تخليه - کرمانشاه -صحنه - کيلومتر 7 کرمانشاه صحنه - روستاي هاشم آباد -شرکت زاگرس راه نصر</v>
      </c>
      <c r="D1279" s="1">
        <v>8848</v>
      </c>
      <c r="E1279" s="1">
        <v>105600</v>
      </c>
      <c r="F1279" s="1">
        <v>95</v>
      </c>
      <c r="G1279" s="1">
        <v>400</v>
      </c>
      <c r="H1279" s="1" t="str">
        <f>"95/12/09"</f>
        <v>95/12/09</v>
      </c>
      <c r="I1279" s="1" t="str">
        <f t="shared" si="310"/>
        <v>كيلوگرم</v>
      </c>
      <c r="J1279" s="1" t="str">
        <f t="shared" si="322"/>
        <v>0000000076</v>
      </c>
      <c r="K1279" s="1" t="str">
        <f t="shared" si="323"/>
        <v>قير 60/70 - فله</v>
      </c>
      <c r="L1279" s="1">
        <v>100</v>
      </c>
      <c r="M1279" s="1" t="str">
        <f t="shared" si="313"/>
        <v>مخازن قير اصفهان</v>
      </c>
      <c r="N1279" s="1">
        <v>10506</v>
      </c>
      <c r="O1279" s="1">
        <v>50033904</v>
      </c>
      <c r="P1279" s="1" t="str">
        <f>"  يكتابتن پرشين"</f>
        <v xml:space="preserve">  يكتابتن پرشين</v>
      </c>
      <c r="Q1279" s="1">
        <v>62</v>
      </c>
      <c r="R1279" s="1" t="str">
        <f>"فروش داخلي - سازمان بنيادمسكن انقلاب اسلامي"</f>
        <v>فروش داخلي - سازمان بنيادمسكن انقلاب اسلامي</v>
      </c>
      <c r="S1279" s="1" t="str">
        <f t="shared" si="311"/>
        <v>قرارداد فروش</v>
      </c>
      <c r="T1279" s="1" t="str">
        <f t="shared" si="312"/>
        <v>ندارد</v>
      </c>
      <c r="U1279" s="1" t="str">
        <f>"عظيمي محمد(2842015)"</f>
        <v>عظيمي محمد(2842015)</v>
      </c>
      <c r="V1279" s="1">
        <v>956200300</v>
      </c>
      <c r="W1279" s="1">
        <v>956200300</v>
      </c>
      <c r="X1279" s="1" t="str">
        <f>"1395467743"</f>
        <v>1395467743</v>
      </c>
      <c r="Y1279" s="1" t="str">
        <f>"95/12/09"</f>
        <v>95/12/09</v>
      </c>
      <c r="Z1279" s="1" t="str">
        <f>"53821/د"</f>
        <v>53821/د</v>
      </c>
      <c r="AA1279" s="1" t="str">
        <f>"بنيادمسكن انقلاب اسلامي"</f>
        <v>بنيادمسكن انقلاب اسلامي</v>
      </c>
      <c r="AB1279" s="1" t="str">
        <f>"95/12/07"</f>
        <v>95/12/07</v>
      </c>
      <c r="AC1279" s="1" t="str">
        <f>"استان كرمانشاه"</f>
        <v>استان كرمانشاه</v>
      </c>
      <c r="AD1279" s="1" t="str">
        <f>"95/12/08"</f>
        <v>95/12/08</v>
      </c>
      <c r="AE1279" s="1" t="str">
        <f t="shared" si="321"/>
        <v>اختتام</v>
      </c>
      <c r="AF1279" s="1" t="str">
        <f>""</f>
        <v/>
      </c>
      <c r="AG1279" s="1" t="str">
        <f>""</f>
        <v/>
      </c>
      <c r="AH1279" s="1" t="str">
        <f>""</f>
        <v/>
      </c>
      <c r="AI1279" s="1" t="str">
        <f>""</f>
        <v/>
      </c>
      <c r="AJ1279" s="1" t="str">
        <f>""</f>
        <v/>
      </c>
      <c r="AK1279" s="1" t="str">
        <f>""</f>
        <v/>
      </c>
    </row>
    <row r="1280" spans="1:37" x14ac:dyDescent="0.2">
      <c r="A1280" s="1">
        <v>205000</v>
      </c>
      <c r="B1280" s="1">
        <v>956200179</v>
      </c>
      <c r="C1280" s="1" t="str">
        <f>"تخليه-نطنز- جاده گل آباد- مقابل ايستگاه راه آهن ابيازن"</f>
        <v>تخليه-نطنز- جاده گل آباد- مقابل ايستگاه راه آهن ابيازن</v>
      </c>
      <c r="D1280" s="1">
        <v>9361</v>
      </c>
      <c r="E1280" s="1">
        <v>204320</v>
      </c>
      <c r="F1280" s="1">
        <v>95</v>
      </c>
      <c r="G1280" s="1">
        <v>680</v>
      </c>
      <c r="H1280" s="1" t="str">
        <f>"95/11/04"</f>
        <v>95/11/04</v>
      </c>
      <c r="I1280" s="1" t="str">
        <f t="shared" si="310"/>
        <v>كيلوگرم</v>
      </c>
      <c r="J1280" s="1" t="str">
        <f t="shared" si="322"/>
        <v>0000000076</v>
      </c>
      <c r="K1280" s="1" t="str">
        <f t="shared" si="323"/>
        <v>قير 60/70 - فله</v>
      </c>
      <c r="L1280" s="1">
        <v>100</v>
      </c>
      <c r="M1280" s="1" t="str">
        <f t="shared" si="313"/>
        <v>مخازن قير اصفهان</v>
      </c>
      <c r="N1280" s="1">
        <v>9450</v>
      </c>
      <c r="O1280" s="1">
        <v>50033512</v>
      </c>
      <c r="P1280" s="1" t="str">
        <f>"  ايران مترو"</f>
        <v xml:space="preserve">  ايران مترو</v>
      </c>
      <c r="Q1280" s="1">
        <v>62</v>
      </c>
      <c r="R1280" s="1" t="str">
        <f>"فروش داخلي - سازمان بنيادمسكن انقلاب اسلامي"</f>
        <v>فروش داخلي - سازمان بنيادمسكن انقلاب اسلامي</v>
      </c>
      <c r="S1280" s="1" t="str">
        <f t="shared" si="311"/>
        <v>قرارداد فروش</v>
      </c>
      <c r="T1280" s="1" t="str">
        <f t="shared" si="312"/>
        <v>ندارد</v>
      </c>
      <c r="U1280" s="1" t="str">
        <f>"معماريان سعيد(1004ج89)"</f>
        <v>معماريان سعيد(1004ج89)</v>
      </c>
      <c r="V1280" s="1">
        <v>956200179</v>
      </c>
      <c r="W1280" s="1">
        <v>956200179</v>
      </c>
      <c r="X1280" s="1" t="str">
        <f>"1395460248"</f>
        <v>1395460248</v>
      </c>
      <c r="Y1280" s="1" t="str">
        <f>"95/11/04"</f>
        <v>95/11/04</v>
      </c>
      <c r="Z1280" s="1" t="str">
        <f>"46355/د"</f>
        <v>46355/د</v>
      </c>
      <c r="AA1280" s="1" t="str">
        <f>"بنيادمسكن انقلاب اسلامي"</f>
        <v>بنيادمسكن انقلاب اسلامي</v>
      </c>
      <c r="AB1280" s="1" t="str">
        <f>"95/10/29"</f>
        <v>95/10/29</v>
      </c>
      <c r="AC1280" s="1" t="str">
        <f>"استان اصفهان"</f>
        <v>استان اصفهان</v>
      </c>
      <c r="AD1280" s="1" t="str">
        <f>"95/11/04"</f>
        <v>95/11/04</v>
      </c>
      <c r="AE1280" s="1" t="str">
        <f t="shared" si="321"/>
        <v>اختتام</v>
      </c>
      <c r="AF1280" s="1" t="str">
        <f>""</f>
        <v/>
      </c>
      <c r="AG1280" s="1" t="str">
        <f>""</f>
        <v/>
      </c>
      <c r="AH1280" s="1" t="str">
        <f>""</f>
        <v/>
      </c>
      <c r="AI1280" s="1" t="str">
        <f>""</f>
        <v/>
      </c>
      <c r="AJ1280" s="1" t="str">
        <f>""</f>
        <v/>
      </c>
      <c r="AK1280" s="1" t="str">
        <f>""</f>
        <v/>
      </c>
    </row>
    <row r="1281" spans="1:37" x14ac:dyDescent="0.2">
      <c r="A1281" s="1">
        <v>570000</v>
      </c>
      <c r="B1281" s="1">
        <v>956200008</v>
      </c>
      <c r="C1281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1281" s="1">
        <v>5750</v>
      </c>
      <c r="E1281" s="1">
        <v>570000</v>
      </c>
      <c r="F1281" s="1">
        <v>95</v>
      </c>
      <c r="G1281" s="1">
        <v>0</v>
      </c>
      <c r="H1281" s="1" t="str">
        <f>"95/03/08"</f>
        <v>95/03/08</v>
      </c>
      <c r="I1281" s="1" t="str">
        <f t="shared" si="310"/>
        <v>كيلوگرم</v>
      </c>
      <c r="J1281" s="1" t="str">
        <f t="shared" si="322"/>
        <v>0000000076</v>
      </c>
      <c r="K1281" s="1" t="str">
        <f t="shared" si="323"/>
        <v>قير 60/70 - فله</v>
      </c>
      <c r="L1281" s="1">
        <v>100</v>
      </c>
      <c r="M1281" s="1" t="str">
        <f t="shared" si="313"/>
        <v>مخازن قير اصفهان</v>
      </c>
      <c r="N1281" s="1">
        <v>10536</v>
      </c>
      <c r="O1281" s="1">
        <v>50030897</v>
      </c>
      <c r="P1281" s="1" t="str">
        <f>"  آبجيل صنعت"</f>
        <v xml:space="preserve">  آبجيل صنعت</v>
      </c>
      <c r="Q1281" s="1">
        <v>62</v>
      </c>
      <c r="R1281" s="1" t="str">
        <f>"فروش داخلي - سازمان بنيادمسكن انقلاب اسلامي"</f>
        <v>فروش داخلي - سازمان بنيادمسكن انقلاب اسلامي</v>
      </c>
      <c r="S1281" s="1" t="str">
        <f t="shared" si="311"/>
        <v>قرارداد فروش</v>
      </c>
      <c r="T1281" s="1" t="str">
        <f t="shared" si="312"/>
        <v>ندارد</v>
      </c>
      <c r="U1281" s="1" t="str">
        <f>"سيفي پور گودرز(1019ج89)"</f>
        <v>سيفي پور گودرز(1019ج89)</v>
      </c>
      <c r="V1281" s="1">
        <v>956200008</v>
      </c>
      <c r="W1281" s="1">
        <v>956200008</v>
      </c>
      <c r="X1281" s="1" t="str">
        <f>"1395406247"</f>
        <v>1395406247</v>
      </c>
      <c r="Y1281" s="1" t="str">
        <f>"95/03/08"</f>
        <v>95/03/08</v>
      </c>
      <c r="Z1281" s="1" t="str">
        <f>"7591/د"</f>
        <v>7591/د</v>
      </c>
      <c r="AA1281" s="1" t="str">
        <f>"بنيادمسكن انقلاب اسلامي"</f>
        <v>بنيادمسكن انقلاب اسلامي</v>
      </c>
      <c r="AB1281" s="1" t="str">
        <f>"95/02/28"</f>
        <v>95/02/28</v>
      </c>
      <c r="AC1281" s="1" t="str">
        <f>"استان اصفهان"</f>
        <v>استان اصفهان</v>
      </c>
      <c r="AD1281" s="1" t="str">
        <f>"95/03/08"</f>
        <v>95/03/08</v>
      </c>
      <c r="AE1281" s="1" t="str">
        <f t="shared" si="321"/>
        <v>اختتام</v>
      </c>
      <c r="AF1281" s="1" t="str">
        <f>""</f>
        <v/>
      </c>
      <c r="AG1281" s="1" t="str">
        <f>""</f>
        <v/>
      </c>
      <c r="AH1281" s="1" t="str">
        <f>""</f>
        <v/>
      </c>
      <c r="AI1281" s="1" t="str">
        <f>""</f>
        <v/>
      </c>
      <c r="AJ1281" s="1" t="str">
        <f>""</f>
        <v/>
      </c>
      <c r="AK1281" s="1" t="str">
        <f>""</f>
        <v/>
      </c>
    </row>
    <row r="1282" spans="1:37" x14ac:dyDescent="0.2">
      <c r="A1282" s="1">
        <v>125000</v>
      </c>
      <c r="B1282" s="1">
        <v>952000289</v>
      </c>
      <c r="C1282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1282" s="1">
        <v>7026</v>
      </c>
      <c r="E1282" s="1">
        <v>124180</v>
      </c>
      <c r="F1282" s="1">
        <v>95</v>
      </c>
      <c r="G1282" s="1">
        <v>820</v>
      </c>
      <c r="H1282" s="1" t="str">
        <f>"95/09/09"</f>
        <v>95/09/09</v>
      </c>
      <c r="I1282" s="1" t="str">
        <f t="shared" ref="I1282:I1345" si="324">"كيلوگرم"</f>
        <v>كيلوگرم</v>
      </c>
      <c r="J1282" s="1" t="str">
        <f t="shared" si="322"/>
        <v>0000000076</v>
      </c>
      <c r="K1282" s="1" t="str">
        <f t="shared" si="323"/>
        <v>قير 60/70 - فله</v>
      </c>
      <c r="L1282" s="1">
        <v>100</v>
      </c>
      <c r="M1282" s="1" t="str">
        <f t="shared" si="313"/>
        <v>مخازن قير اصفهان</v>
      </c>
      <c r="N1282" s="1">
        <v>9526</v>
      </c>
      <c r="O1282" s="1">
        <v>50032769</v>
      </c>
      <c r="P1282" s="1" t="str">
        <f>"  شهرداري ابريشم"</f>
        <v xml:space="preserve">  شهرداري ابريشم</v>
      </c>
      <c r="Q1282" s="1">
        <v>20</v>
      </c>
      <c r="R1282" s="1" t="str">
        <f>"فروش داخلي - سازمان شهرداري ها و دهياري هاي كشور"</f>
        <v>فروش داخلي - سازمان شهرداري ها و دهياري هاي كشور</v>
      </c>
      <c r="S1282" s="1" t="str">
        <f t="shared" ref="S1282:S1345" si="325">"قرارداد فروش"</f>
        <v>قرارداد فروش</v>
      </c>
      <c r="T1282" s="1" t="str">
        <f t="shared" ref="T1282:T1345" si="326">"ندارد"</f>
        <v>ندارد</v>
      </c>
      <c r="U1282" s="1" t="str">
        <f>"سيفي پور عبدالمجيد(1009ج89)"</f>
        <v>سيفي پور عبدالمجيد(1009ج89)</v>
      </c>
      <c r="V1282" s="1">
        <v>952000289</v>
      </c>
      <c r="W1282" s="1">
        <v>952000289</v>
      </c>
      <c r="X1282" s="1" t="str">
        <f>"1395447768"</f>
        <v>1395447768</v>
      </c>
      <c r="Y1282" s="1" t="str">
        <f>"95/09/09"</f>
        <v>95/09/09</v>
      </c>
      <c r="Z1282" s="1" t="str">
        <f>"43243"</f>
        <v>43243</v>
      </c>
      <c r="AA1282" s="1" t="str">
        <f>"شهرداريها"</f>
        <v>شهرداريها</v>
      </c>
      <c r="AB1282" s="1" t="str">
        <f>"95/09/01"</f>
        <v>95/09/01</v>
      </c>
      <c r="AC1282" s="1" t="str">
        <f>"استان اصفهان"</f>
        <v>استان اصفهان</v>
      </c>
      <c r="AD1282" s="1" t="str">
        <f>"95/09/07"</f>
        <v>95/09/07</v>
      </c>
      <c r="AE1282" s="1" t="str">
        <f t="shared" si="321"/>
        <v>اختتام</v>
      </c>
      <c r="AF1282" s="1" t="str">
        <f>""</f>
        <v/>
      </c>
      <c r="AG1282" s="1" t="str">
        <f>""</f>
        <v/>
      </c>
      <c r="AH1282" s="1" t="str">
        <f>""</f>
        <v/>
      </c>
      <c r="AI1282" s="1" t="str">
        <f>""</f>
        <v/>
      </c>
      <c r="AJ1282" s="1" t="str">
        <f>""</f>
        <v/>
      </c>
      <c r="AK1282" s="1" t="str">
        <f>""</f>
        <v/>
      </c>
    </row>
    <row r="1283" spans="1:37" x14ac:dyDescent="0.2">
      <c r="A1283" s="1">
        <v>250000</v>
      </c>
      <c r="B1283" s="1">
        <v>956200227</v>
      </c>
      <c r="C1283" s="1" t="str">
        <f>"تخليه -البرز-طالقان -پايين طالقان بعدازروستاي جوستان -كارخانه آسفالت آزاديول"</f>
        <v>تخليه -البرز-طالقان -پايين طالقان بعدازروستاي جوستان -كارخانه آسفالت آزاديول</v>
      </c>
      <c r="D1283" s="1">
        <v>9361</v>
      </c>
      <c r="E1283" s="1">
        <v>249720</v>
      </c>
      <c r="F1283" s="1">
        <v>95</v>
      </c>
      <c r="G1283" s="1">
        <v>280</v>
      </c>
      <c r="H1283" s="1" t="str">
        <f>"95/11/24"</f>
        <v>95/11/24</v>
      </c>
      <c r="I1283" s="1" t="str">
        <f t="shared" si="324"/>
        <v>كيلوگرم</v>
      </c>
      <c r="J1283" s="1" t="str">
        <f t="shared" si="322"/>
        <v>0000000076</v>
      </c>
      <c r="K1283" s="1" t="str">
        <f t="shared" si="323"/>
        <v>قير 60/70 - فله</v>
      </c>
      <c r="L1283" s="1">
        <v>100</v>
      </c>
      <c r="M1283" s="1" t="str">
        <f t="shared" si="313"/>
        <v>مخازن قير اصفهان</v>
      </c>
      <c r="N1283" s="1">
        <v>10593</v>
      </c>
      <c r="O1283" s="1">
        <v>50033702</v>
      </c>
      <c r="P1283" s="1" t="str">
        <f>"  آزاديول"</f>
        <v xml:space="preserve">  آزاديول</v>
      </c>
      <c r="Q1283" s="1">
        <v>62</v>
      </c>
      <c r="R1283" s="1" t="str">
        <f>"فروش داخلي - سازمان بنيادمسكن انقلاب اسلامي"</f>
        <v>فروش داخلي - سازمان بنيادمسكن انقلاب اسلامي</v>
      </c>
      <c r="S1283" s="1" t="str">
        <f t="shared" si="325"/>
        <v>قرارداد فروش</v>
      </c>
      <c r="T1283" s="1" t="str">
        <f t="shared" si="326"/>
        <v>ندارد</v>
      </c>
      <c r="U1283" s="1" t="str">
        <f>"فتحي توحيد حسن(1841009)"</f>
        <v>فتحي توحيد حسن(1841009)</v>
      </c>
      <c r="V1283" s="1">
        <v>956200227</v>
      </c>
      <c r="W1283" s="1">
        <v>956200227</v>
      </c>
      <c r="X1283" s="1" t="str">
        <f>"1395464204"</f>
        <v>1395464204</v>
      </c>
      <c r="Y1283" s="1" t="str">
        <f>"95/11/24"</f>
        <v>95/11/24</v>
      </c>
      <c r="Z1283" s="1" t="str">
        <f>"50201/د"</f>
        <v>50201/د</v>
      </c>
      <c r="AA1283" s="1" t="str">
        <f>"بنيادمسكن انقلاب اسلامي"</f>
        <v>بنيادمسكن انقلاب اسلامي</v>
      </c>
      <c r="AB1283" s="1" t="str">
        <f>"95/11/19"</f>
        <v>95/11/19</v>
      </c>
      <c r="AC1283" s="1" t="str">
        <f>"البرز"</f>
        <v>البرز</v>
      </c>
      <c r="AD1283" s="1" t="str">
        <f>"95/11/20"</f>
        <v>95/11/20</v>
      </c>
      <c r="AE1283" s="1" t="str">
        <f t="shared" si="321"/>
        <v>اختتام</v>
      </c>
      <c r="AF1283" s="1" t="str">
        <f>""</f>
        <v/>
      </c>
      <c r="AG1283" s="1" t="str">
        <f>""</f>
        <v/>
      </c>
      <c r="AH1283" s="1" t="str">
        <f>""</f>
        <v/>
      </c>
      <c r="AI1283" s="1" t="str">
        <f>""</f>
        <v/>
      </c>
      <c r="AJ1283" s="1" t="str">
        <f>""</f>
        <v/>
      </c>
      <c r="AK1283" s="1" t="str">
        <f>""</f>
        <v/>
      </c>
    </row>
    <row r="1284" spans="1:37" x14ac:dyDescent="0.2">
      <c r="A1284" s="1">
        <v>58000</v>
      </c>
      <c r="B1284" s="1">
        <v>956200288</v>
      </c>
      <c r="C1284" s="1" t="str">
        <f>"تخليه - کرمانشاه - اسلام آباد غرب - نرسيده به پل سيمره -شهرک توحيد-کارخانه آسفالت آج راه غرب"</f>
        <v>تخليه - کرمانشاه - اسلام آباد غرب - نرسيده به پل سيمره -شهرک توحيد-کارخانه آسفالت آج راه غرب</v>
      </c>
      <c r="D1284" s="1">
        <v>8848</v>
      </c>
      <c r="E1284" s="1">
        <v>57680</v>
      </c>
      <c r="F1284" s="1">
        <v>95</v>
      </c>
      <c r="G1284" s="1">
        <v>320</v>
      </c>
      <c r="H1284" s="1" t="str">
        <f>"95/12/04"</f>
        <v>95/12/04</v>
      </c>
      <c r="I1284" s="1" t="str">
        <f t="shared" si="324"/>
        <v>كيلوگرم</v>
      </c>
      <c r="J1284" s="1" t="str">
        <f t="shared" si="322"/>
        <v>0000000076</v>
      </c>
      <c r="K1284" s="1" t="str">
        <f t="shared" si="323"/>
        <v>قير 60/70 - فله</v>
      </c>
      <c r="L1284" s="1">
        <v>100</v>
      </c>
      <c r="M1284" s="1" t="str">
        <f t="shared" si="313"/>
        <v>مخازن قير اصفهان</v>
      </c>
      <c r="N1284" s="1">
        <v>10609</v>
      </c>
      <c r="O1284" s="1">
        <v>50033860</v>
      </c>
      <c r="P1284" s="1" t="str">
        <f>"  آرادسوله اهواز"</f>
        <v xml:space="preserve">  آرادسوله اهواز</v>
      </c>
      <c r="Q1284" s="1">
        <v>62</v>
      </c>
      <c r="R1284" s="1" t="str">
        <f>"فروش داخلي - سازمان بنيادمسكن انقلاب اسلامي"</f>
        <v>فروش داخلي - سازمان بنيادمسكن انقلاب اسلامي</v>
      </c>
      <c r="S1284" s="1" t="str">
        <f t="shared" si="325"/>
        <v>قرارداد فروش</v>
      </c>
      <c r="T1284" s="1" t="str">
        <f t="shared" si="326"/>
        <v>ندارد</v>
      </c>
      <c r="U1284" s="1" t="str">
        <f>"عظيمي محمد(2842015)"</f>
        <v>عظيمي محمد(2842015)</v>
      </c>
      <c r="V1284" s="1">
        <v>956200288</v>
      </c>
      <c r="W1284" s="1">
        <v>956200288</v>
      </c>
      <c r="X1284" s="1" t="str">
        <f>"1395467357"</f>
        <v>1395467357</v>
      </c>
      <c r="Y1284" s="1" t="str">
        <f>"95/12/04"</f>
        <v>95/12/04</v>
      </c>
      <c r="Z1284" s="1" t="str">
        <f>"53049/د"</f>
        <v>53049/د</v>
      </c>
      <c r="AA1284" s="1" t="str">
        <f>"بنيادمسكن انقلاب اسلامي"</f>
        <v>بنيادمسكن انقلاب اسلامي</v>
      </c>
      <c r="AB1284" s="1" t="str">
        <f>"95/12/03"</f>
        <v>95/12/03</v>
      </c>
      <c r="AC1284" s="1" t="str">
        <f>"استان كرمانشاه"</f>
        <v>استان كرمانشاه</v>
      </c>
      <c r="AD1284" s="1" t="str">
        <f>"95/12/04"</f>
        <v>95/12/04</v>
      </c>
      <c r="AE1284" s="1" t="str">
        <f t="shared" si="321"/>
        <v>اختتام</v>
      </c>
      <c r="AF1284" s="1" t="str">
        <f>""</f>
        <v/>
      </c>
      <c r="AG1284" s="1" t="str">
        <f>""</f>
        <v/>
      </c>
      <c r="AH1284" s="1" t="str">
        <f>""</f>
        <v/>
      </c>
      <c r="AI1284" s="1" t="str">
        <f>""</f>
        <v/>
      </c>
      <c r="AJ1284" s="1" t="str">
        <f>""</f>
        <v/>
      </c>
      <c r="AK1284" s="1" t="str">
        <f>""</f>
        <v/>
      </c>
    </row>
    <row r="1285" spans="1:37" x14ac:dyDescent="0.2">
      <c r="A1285" s="1">
        <v>68000</v>
      </c>
      <c r="B1285" s="1">
        <v>952000228</v>
      </c>
      <c r="C1285" s="1" t="str">
        <f>"تخليه- اصفهان-کيلومتر 50جاده شهرضا سميرم کارخانه آسفالت سميرم افروز"</f>
        <v>تخليه- اصفهان-کيلومتر 50جاده شهرضا سميرم کارخانه آسفالت سميرم افروز</v>
      </c>
      <c r="D1285" s="1">
        <v>8023</v>
      </c>
      <c r="E1285" s="1">
        <v>67160</v>
      </c>
      <c r="F1285" s="1">
        <v>95</v>
      </c>
      <c r="G1285" s="1">
        <v>840</v>
      </c>
      <c r="H1285" s="1" t="str">
        <f>"95/08/18"</f>
        <v>95/08/18</v>
      </c>
      <c r="I1285" s="1" t="str">
        <f t="shared" si="324"/>
        <v>كيلوگرم</v>
      </c>
      <c r="J1285" s="1" t="str">
        <f t="shared" si="322"/>
        <v>0000000076</v>
      </c>
      <c r="K1285" s="1" t="str">
        <f t="shared" si="323"/>
        <v>قير 60/70 - فله</v>
      </c>
      <c r="L1285" s="1">
        <v>100</v>
      </c>
      <c r="M1285" s="1" t="str">
        <f t="shared" si="313"/>
        <v>مخازن قير اصفهان</v>
      </c>
      <c r="N1285" s="1">
        <v>10652</v>
      </c>
      <c r="O1285" s="1">
        <v>50032558</v>
      </c>
      <c r="P1285" s="1" t="str">
        <f>"  شهرداري ونك"</f>
        <v xml:space="preserve">  شهرداري ونك</v>
      </c>
      <c r="Q1285" s="1">
        <v>20</v>
      </c>
      <c r="R1285" s="1" t="str">
        <f t="shared" ref="R1285:R1293" si="327">"فروش داخلي - سازمان شهرداري ها و دهياري هاي كشور"</f>
        <v>فروش داخلي - سازمان شهرداري ها و دهياري هاي كشور</v>
      </c>
      <c r="S1285" s="1" t="str">
        <f t="shared" si="325"/>
        <v>قرارداد فروش</v>
      </c>
      <c r="T1285" s="1" t="str">
        <f t="shared" si="326"/>
        <v>ندارد</v>
      </c>
      <c r="U1285" s="1" t="str">
        <f>"معماريان سعيد(1004ج89)"</f>
        <v>معماريان سعيد(1004ج89)</v>
      </c>
      <c r="V1285" s="1">
        <v>952000228</v>
      </c>
      <c r="W1285" s="1">
        <v>952000228</v>
      </c>
      <c r="X1285" s="1" t="str">
        <f>"1395443706"</f>
        <v>1395443706</v>
      </c>
      <c r="Y1285" s="1" t="str">
        <f>"95/08/17"</f>
        <v>95/08/17</v>
      </c>
      <c r="Z1285" s="1" t="str">
        <f>"39599"</f>
        <v>39599</v>
      </c>
      <c r="AA1285" s="1" t="str">
        <f t="shared" ref="AA1285:AA1293" si="328">"شهرداريها"</f>
        <v>شهرداريها</v>
      </c>
      <c r="AB1285" s="1" t="str">
        <f>"95/08/11"</f>
        <v>95/08/11</v>
      </c>
      <c r="AC1285" s="1" t="str">
        <f t="shared" ref="AC1285:AC1293" si="329">"استان اصفهان"</f>
        <v>استان اصفهان</v>
      </c>
      <c r="AD1285" s="1" t="str">
        <f>"95/08/17"</f>
        <v>95/08/17</v>
      </c>
      <c r="AE1285" s="1" t="str">
        <f t="shared" si="321"/>
        <v>اختتام</v>
      </c>
      <c r="AF1285" s="1" t="str">
        <f>""</f>
        <v/>
      </c>
      <c r="AG1285" s="1" t="str">
        <f>""</f>
        <v/>
      </c>
      <c r="AH1285" s="1" t="str">
        <f>""</f>
        <v/>
      </c>
      <c r="AI1285" s="1" t="str">
        <f>""</f>
        <v/>
      </c>
      <c r="AJ1285" s="1" t="str">
        <f>""</f>
        <v/>
      </c>
      <c r="AK1285" s="1" t="str">
        <f>""</f>
        <v/>
      </c>
    </row>
    <row r="1286" spans="1:37" x14ac:dyDescent="0.2">
      <c r="A1286" s="1">
        <v>118000</v>
      </c>
      <c r="B1286" s="1">
        <v>952000092</v>
      </c>
      <c r="C1286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1286" s="1">
        <v>6876</v>
      </c>
      <c r="E1286" s="1">
        <v>117500</v>
      </c>
      <c r="F1286" s="1">
        <v>95</v>
      </c>
      <c r="G1286" s="1">
        <v>500</v>
      </c>
      <c r="H1286" s="1" t="str">
        <f>"95/06/23"</f>
        <v>95/06/23</v>
      </c>
      <c r="I1286" s="1" t="str">
        <f t="shared" si="324"/>
        <v>كيلوگرم</v>
      </c>
      <c r="J1286" s="1" t="str">
        <f t="shared" si="322"/>
        <v>0000000076</v>
      </c>
      <c r="K1286" s="1" t="str">
        <f t="shared" si="323"/>
        <v>قير 60/70 - فله</v>
      </c>
      <c r="L1286" s="1">
        <v>100</v>
      </c>
      <c r="M1286" s="1" t="str">
        <f t="shared" si="313"/>
        <v>مخازن قير اصفهان</v>
      </c>
      <c r="N1286" s="1">
        <v>10657</v>
      </c>
      <c r="O1286" s="1">
        <v>50031863</v>
      </c>
      <c r="P1286" s="1" t="str">
        <f>"  شهرداري اردستان"</f>
        <v xml:space="preserve">  شهرداري اردستان</v>
      </c>
      <c r="Q1286" s="1">
        <v>20</v>
      </c>
      <c r="R1286" s="1" t="str">
        <f t="shared" si="327"/>
        <v>فروش داخلي - سازمان شهرداري ها و دهياري هاي كشور</v>
      </c>
      <c r="S1286" s="1" t="str">
        <f t="shared" si="325"/>
        <v>قرارداد فروش</v>
      </c>
      <c r="T1286" s="1" t="str">
        <f t="shared" si="326"/>
        <v>ندارد</v>
      </c>
      <c r="U1286" s="1" t="str">
        <f>"معماريان سعيد(1004ج89)"</f>
        <v>معماريان سعيد(1004ج89)</v>
      </c>
      <c r="V1286" s="1">
        <v>952000092</v>
      </c>
      <c r="W1286" s="1">
        <v>952000092</v>
      </c>
      <c r="X1286" s="1" t="str">
        <f>"1395430858"</f>
        <v>1395430858</v>
      </c>
      <c r="Y1286" s="1" t="str">
        <f>"95/06/23"</f>
        <v>95/06/23</v>
      </c>
      <c r="Z1286" s="1" t="str">
        <f>"27718"</f>
        <v>27718</v>
      </c>
      <c r="AA1286" s="1" t="str">
        <f t="shared" si="328"/>
        <v>شهرداريها</v>
      </c>
      <c r="AB1286" s="1" t="str">
        <f>"95/06/10"</f>
        <v>95/06/10</v>
      </c>
      <c r="AC1286" s="1" t="str">
        <f t="shared" si="329"/>
        <v>استان اصفهان</v>
      </c>
      <c r="AD1286" s="1" t="str">
        <f>"95/06/23"</f>
        <v>95/06/23</v>
      </c>
      <c r="AE1286" s="1" t="str">
        <f t="shared" si="321"/>
        <v>اختتام</v>
      </c>
      <c r="AF1286" s="1" t="str">
        <f>""</f>
        <v/>
      </c>
      <c r="AG1286" s="1" t="str">
        <f>""</f>
        <v/>
      </c>
      <c r="AH1286" s="1" t="str">
        <f>""</f>
        <v/>
      </c>
      <c r="AI1286" s="1" t="str">
        <f>""</f>
        <v/>
      </c>
      <c r="AJ1286" s="1" t="str">
        <f>""</f>
        <v/>
      </c>
      <c r="AK1286" s="1" t="str">
        <f>""</f>
        <v/>
      </c>
    </row>
    <row r="1287" spans="1:37" x14ac:dyDescent="0.2">
      <c r="A1287" s="1">
        <v>151000</v>
      </c>
      <c r="B1287" s="1">
        <v>952000229</v>
      </c>
      <c r="C1287" s="1" t="str">
        <f>"تخليه - اصفهان - کيلومتر 50جاده شهرضا سميرم کارخانه آسفالت سميرم افروز"</f>
        <v>تخليه - اصفهان - کيلومتر 50جاده شهرضا سميرم کارخانه آسفالت سميرم افروز</v>
      </c>
      <c r="D1287" s="1">
        <v>8023</v>
      </c>
      <c r="E1287" s="1">
        <v>150800</v>
      </c>
      <c r="F1287" s="1">
        <v>95</v>
      </c>
      <c r="G1287" s="1">
        <v>200</v>
      </c>
      <c r="H1287" s="1" t="str">
        <f>"95/08/18"</f>
        <v>95/08/18</v>
      </c>
      <c r="I1287" s="1" t="str">
        <f t="shared" si="324"/>
        <v>كيلوگرم</v>
      </c>
      <c r="J1287" s="1" t="str">
        <f t="shared" si="322"/>
        <v>0000000076</v>
      </c>
      <c r="K1287" s="1" t="str">
        <f t="shared" si="323"/>
        <v>قير 60/70 - فله</v>
      </c>
      <c r="L1287" s="1">
        <v>100</v>
      </c>
      <c r="M1287" s="1" t="str">
        <f t="shared" si="313"/>
        <v>مخازن قير اصفهان</v>
      </c>
      <c r="N1287" s="1">
        <v>10659</v>
      </c>
      <c r="O1287" s="1">
        <v>50032559</v>
      </c>
      <c r="P1287" s="1" t="str">
        <f>"  شهرداري سميرم"</f>
        <v xml:space="preserve">  شهرداري سميرم</v>
      </c>
      <c r="Q1287" s="1">
        <v>20</v>
      </c>
      <c r="R1287" s="1" t="str">
        <f t="shared" si="327"/>
        <v>فروش داخلي - سازمان شهرداري ها و دهياري هاي كشور</v>
      </c>
      <c r="S1287" s="1" t="str">
        <f t="shared" si="325"/>
        <v>قرارداد فروش</v>
      </c>
      <c r="T1287" s="1" t="str">
        <f t="shared" si="326"/>
        <v>ندارد</v>
      </c>
      <c r="U1287" s="1" t="str">
        <f>"معماريان سعيد(1004ج89)"</f>
        <v>معماريان سعيد(1004ج89)</v>
      </c>
      <c r="V1287" s="1">
        <v>952000229</v>
      </c>
      <c r="W1287" s="1">
        <v>952000229</v>
      </c>
      <c r="X1287" s="1" t="str">
        <f>"1395443706"</f>
        <v>1395443706</v>
      </c>
      <c r="Y1287" s="1" t="str">
        <f>"95/08/17"</f>
        <v>95/08/17</v>
      </c>
      <c r="Z1287" s="1" t="str">
        <f>"39645"</f>
        <v>39645</v>
      </c>
      <c r="AA1287" s="1" t="str">
        <f t="shared" si="328"/>
        <v>شهرداريها</v>
      </c>
      <c r="AB1287" s="1" t="str">
        <f>"95/08/11"</f>
        <v>95/08/11</v>
      </c>
      <c r="AC1287" s="1" t="str">
        <f t="shared" si="329"/>
        <v>استان اصفهان</v>
      </c>
      <c r="AD1287" s="1" t="str">
        <f>"95/08/17"</f>
        <v>95/08/17</v>
      </c>
      <c r="AE1287" s="1" t="str">
        <f t="shared" si="321"/>
        <v>اختتام</v>
      </c>
      <c r="AF1287" s="1" t="str">
        <f>""</f>
        <v/>
      </c>
      <c r="AG1287" s="1" t="str">
        <f>""</f>
        <v/>
      </c>
      <c r="AH1287" s="1" t="str">
        <f>""</f>
        <v/>
      </c>
      <c r="AI1287" s="1" t="str">
        <f>""</f>
        <v/>
      </c>
      <c r="AJ1287" s="1" t="str">
        <f>""</f>
        <v/>
      </c>
      <c r="AK1287" s="1" t="str">
        <f>""</f>
        <v/>
      </c>
    </row>
    <row r="1288" spans="1:37" x14ac:dyDescent="0.2">
      <c r="A1288" s="1">
        <v>73000</v>
      </c>
      <c r="B1288" s="1">
        <v>952000305</v>
      </c>
      <c r="C1288" s="1" t="str">
        <f>"تخليه اصفهان مباركه مقابل شهرطالخونچه مجتمع كارگاهي اميركبيرشركت نويدنورسپاهان"</f>
        <v>تخليه اصفهان مباركه مقابل شهرطالخونچه مجتمع كارگاهي اميركبيرشركت نويدنورسپاهان</v>
      </c>
      <c r="D1288" s="1">
        <v>7026</v>
      </c>
      <c r="E1288" s="1">
        <v>71940</v>
      </c>
      <c r="F1288" s="1">
        <v>95</v>
      </c>
      <c r="G1288" s="1">
        <v>1060</v>
      </c>
      <c r="H1288" s="1" t="str">
        <f>"95/09/11"</f>
        <v>95/09/11</v>
      </c>
      <c r="I1288" s="1" t="str">
        <f t="shared" si="324"/>
        <v>كيلوگرم</v>
      </c>
      <c r="J1288" s="1" t="str">
        <f t="shared" si="322"/>
        <v>0000000076</v>
      </c>
      <c r="K1288" s="1" t="str">
        <f t="shared" si="323"/>
        <v>قير 60/70 - فله</v>
      </c>
      <c r="L1288" s="1">
        <v>100</v>
      </c>
      <c r="M1288" s="1" t="str">
        <f t="shared" ref="M1288:M1351" si="330">"مخازن قير اصفهان"</f>
        <v>مخازن قير اصفهان</v>
      </c>
      <c r="N1288" s="1">
        <v>10661</v>
      </c>
      <c r="O1288" s="1">
        <v>50032789</v>
      </c>
      <c r="P1288" s="1" t="str">
        <f>"  شهرداري طالخونچه"</f>
        <v xml:space="preserve">  شهرداري طالخونچه</v>
      </c>
      <c r="Q1288" s="1">
        <v>20</v>
      </c>
      <c r="R1288" s="1" t="str">
        <f t="shared" si="327"/>
        <v>فروش داخلي - سازمان شهرداري ها و دهياري هاي كشور</v>
      </c>
      <c r="S1288" s="1" t="str">
        <f t="shared" si="325"/>
        <v>قرارداد فروش</v>
      </c>
      <c r="T1288" s="1" t="str">
        <f t="shared" si="326"/>
        <v>ندارد</v>
      </c>
      <c r="U1288" s="1" t="str">
        <f>"شهبازي محمدرضا(1029ج89)"</f>
        <v>شهبازي محمدرضا(1029ج89)</v>
      </c>
      <c r="V1288" s="1">
        <v>952000305</v>
      </c>
      <c r="W1288" s="1">
        <v>952000305</v>
      </c>
      <c r="X1288" s="1" t="str">
        <f>"1395447798"</f>
        <v>1395447798</v>
      </c>
      <c r="Y1288" s="1" t="str">
        <f>"95/09/09"</f>
        <v>95/09/09</v>
      </c>
      <c r="Z1288" s="1" t="str">
        <f>"43379"</f>
        <v>43379</v>
      </c>
      <c r="AA1288" s="1" t="str">
        <f t="shared" si="328"/>
        <v>شهرداريها</v>
      </c>
      <c r="AB1288" s="1" t="str">
        <f>"95/09/02"</f>
        <v>95/09/02</v>
      </c>
      <c r="AC1288" s="1" t="str">
        <f t="shared" si="329"/>
        <v>استان اصفهان</v>
      </c>
      <c r="AD1288" s="1" t="str">
        <f>"95/09/07"</f>
        <v>95/09/07</v>
      </c>
      <c r="AE1288" s="1" t="str">
        <f t="shared" si="321"/>
        <v>اختتام</v>
      </c>
      <c r="AF1288" s="1" t="str">
        <f>""</f>
        <v/>
      </c>
      <c r="AG1288" s="1" t="str">
        <f>""</f>
        <v/>
      </c>
      <c r="AH1288" s="1" t="str">
        <f>""</f>
        <v/>
      </c>
      <c r="AI1288" s="1" t="str">
        <f>""</f>
        <v/>
      </c>
      <c r="AJ1288" s="1" t="str">
        <f>""</f>
        <v/>
      </c>
      <c r="AK1288" s="1" t="str">
        <f>""</f>
        <v/>
      </c>
    </row>
    <row r="1289" spans="1:37" x14ac:dyDescent="0.2">
      <c r="A1289" s="1">
        <v>73000</v>
      </c>
      <c r="B1289" s="1">
        <v>952000308</v>
      </c>
      <c r="C1289" s="1" t="str">
        <f>"تخليه -اصفهان شهرضامباركه -كارخانه آرين بلواراسپادانا"</f>
        <v>تخليه -اصفهان شهرضامباركه -كارخانه آرين بلواراسپادانا</v>
      </c>
      <c r="D1289" s="1">
        <v>9361</v>
      </c>
      <c r="E1289" s="1">
        <v>72140</v>
      </c>
      <c r="F1289" s="1">
        <v>95</v>
      </c>
      <c r="G1289" s="1">
        <v>860</v>
      </c>
      <c r="H1289" s="1" t="str">
        <f>"95/11/23"</f>
        <v>95/11/23</v>
      </c>
      <c r="I1289" s="1" t="str">
        <f t="shared" si="324"/>
        <v>كيلوگرم</v>
      </c>
      <c r="J1289" s="1" t="str">
        <f t="shared" si="322"/>
        <v>0000000076</v>
      </c>
      <c r="K1289" s="1" t="str">
        <f t="shared" si="323"/>
        <v>قير 60/70 - فله</v>
      </c>
      <c r="L1289" s="1">
        <v>100</v>
      </c>
      <c r="M1289" s="1" t="str">
        <f t="shared" si="330"/>
        <v>مخازن قير اصفهان</v>
      </c>
      <c r="N1289" s="1">
        <v>10671</v>
      </c>
      <c r="O1289" s="1">
        <v>50033665</v>
      </c>
      <c r="P1289" s="1" t="str">
        <f>"  شهرداري گلشن"</f>
        <v xml:space="preserve">  شهرداري گلشن</v>
      </c>
      <c r="Q1289" s="1">
        <v>20</v>
      </c>
      <c r="R1289" s="1" t="str">
        <f t="shared" si="327"/>
        <v>فروش داخلي - سازمان شهرداري ها و دهياري هاي كشور</v>
      </c>
      <c r="S1289" s="1" t="str">
        <f t="shared" si="325"/>
        <v>قرارداد فروش</v>
      </c>
      <c r="T1289" s="1" t="str">
        <f t="shared" si="326"/>
        <v>ندارد</v>
      </c>
      <c r="U1289" s="1" t="str">
        <f>"سيفي پور عبدالمجيد(1009ج89)"</f>
        <v>سيفي پور عبدالمجيد(1009ج89)</v>
      </c>
      <c r="V1289" s="1">
        <v>952000308</v>
      </c>
      <c r="W1289" s="1">
        <v>952000308</v>
      </c>
      <c r="X1289" s="1" t="str">
        <f>"1395464401"</f>
        <v>1395464401</v>
      </c>
      <c r="Y1289" s="1" t="str">
        <f>"95/11/23"</f>
        <v>95/11/23</v>
      </c>
      <c r="Z1289" s="1" t="str">
        <f>"43390"</f>
        <v>43390</v>
      </c>
      <c r="AA1289" s="1" t="str">
        <f t="shared" si="328"/>
        <v>شهرداريها</v>
      </c>
      <c r="AB1289" s="1" t="str">
        <f>"95/09/02"</f>
        <v>95/09/02</v>
      </c>
      <c r="AC1289" s="1" t="str">
        <f t="shared" si="329"/>
        <v>استان اصفهان</v>
      </c>
      <c r="AD1289" s="1" t="str">
        <f>"95/11/23"</f>
        <v>95/11/23</v>
      </c>
      <c r="AE1289" s="1" t="str">
        <f t="shared" si="321"/>
        <v>اختتام</v>
      </c>
      <c r="AF1289" s="1" t="str">
        <f>""</f>
        <v/>
      </c>
      <c r="AG1289" s="1" t="str">
        <f>""</f>
        <v/>
      </c>
      <c r="AH1289" s="1" t="str">
        <f>""</f>
        <v/>
      </c>
      <c r="AI1289" s="1" t="str">
        <f>""</f>
        <v/>
      </c>
      <c r="AJ1289" s="1" t="str">
        <f>""</f>
        <v/>
      </c>
      <c r="AK1289" s="1" t="str">
        <f>""</f>
        <v/>
      </c>
    </row>
    <row r="1290" spans="1:37" x14ac:dyDescent="0.2">
      <c r="A1290" s="1">
        <v>112000</v>
      </c>
      <c r="B1290" s="1">
        <v>952000185</v>
      </c>
      <c r="C1290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1290" s="1">
        <v>8023</v>
      </c>
      <c r="E1290" s="1">
        <v>111600</v>
      </c>
      <c r="F1290" s="1">
        <v>95</v>
      </c>
      <c r="G1290" s="1">
        <v>400</v>
      </c>
      <c r="H1290" s="1" t="str">
        <f>"95/08/10"</f>
        <v>95/08/10</v>
      </c>
      <c r="I1290" s="1" t="str">
        <f t="shared" si="324"/>
        <v>كيلوگرم</v>
      </c>
      <c r="J1290" s="1" t="str">
        <f t="shared" si="322"/>
        <v>0000000076</v>
      </c>
      <c r="K1290" s="1" t="str">
        <f t="shared" si="323"/>
        <v>قير 60/70 - فله</v>
      </c>
      <c r="L1290" s="1">
        <v>100</v>
      </c>
      <c r="M1290" s="1" t="str">
        <f t="shared" si="330"/>
        <v>مخازن قير اصفهان</v>
      </c>
      <c r="N1290" s="1">
        <v>10676</v>
      </c>
      <c r="O1290" s="1">
        <v>50032455</v>
      </c>
      <c r="P1290" s="1" t="str">
        <f>"  شهرداري زواره"</f>
        <v xml:space="preserve">  شهرداري زواره</v>
      </c>
      <c r="Q1290" s="1">
        <v>20</v>
      </c>
      <c r="R1290" s="1" t="str">
        <f t="shared" si="327"/>
        <v>فروش داخلي - سازمان شهرداري ها و دهياري هاي كشور</v>
      </c>
      <c r="S1290" s="1" t="str">
        <f t="shared" si="325"/>
        <v>قرارداد فروش</v>
      </c>
      <c r="T1290" s="1" t="str">
        <f t="shared" si="326"/>
        <v>ندارد</v>
      </c>
      <c r="U1290" s="1" t="str">
        <f>"معماريان سعيد(1004ج89)"</f>
        <v>معماريان سعيد(1004ج89)</v>
      </c>
      <c r="V1290" s="1">
        <v>952000185</v>
      </c>
      <c r="W1290" s="1">
        <v>952000185</v>
      </c>
      <c r="X1290" s="1" t="str">
        <f>"1395441600"</f>
        <v>1395441600</v>
      </c>
      <c r="Y1290" s="1" t="str">
        <f>"95/08/10"</f>
        <v>95/08/10</v>
      </c>
      <c r="Z1290" s="1" t="str">
        <f>"27810"</f>
        <v>27810</v>
      </c>
      <c r="AA1290" s="1" t="str">
        <f t="shared" si="328"/>
        <v>شهرداريها</v>
      </c>
      <c r="AB1290" s="1" t="str">
        <f>"95/06/10"</f>
        <v>95/06/10</v>
      </c>
      <c r="AC1290" s="1" t="str">
        <f t="shared" si="329"/>
        <v>استان اصفهان</v>
      </c>
      <c r="AD1290" s="1" t="str">
        <f>"95/08/10"</f>
        <v>95/08/10</v>
      </c>
      <c r="AE1290" s="1" t="str">
        <f t="shared" si="321"/>
        <v>اختتام</v>
      </c>
      <c r="AF1290" s="1" t="str">
        <f>""</f>
        <v/>
      </c>
      <c r="AG1290" s="1" t="str">
        <f>""</f>
        <v/>
      </c>
      <c r="AH1290" s="1" t="str">
        <f>""</f>
        <v/>
      </c>
      <c r="AI1290" s="1" t="str">
        <f>""</f>
        <v/>
      </c>
      <c r="AJ1290" s="1" t="str">
        <f>""</f>
        <v/>
      </c>
      <c r="AK1290" s="1" t="str">
        <f>""</f>
        <v/>
      </c>
    </row>
    <row r="1291" spans="1:37" x14ac:dyDescent="0.2">
      <c r="A1291" s="1">
        <v>112000</v>
      </c>
      <c r="B1291" s="1">
        <v>952000268</v>
      </c>
      <c r="C1291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1291" s="1">
        <v>7026</v>
      </c>
      <c r="E1291" s="1">
        <v>111960</v>
      </c>
      <c r="F1291" s="1">
        <v>95</v>
      </c>
      <c r="G1291" s="1">
        <v>40</v>
      </c>
      <c r="H1291" s="1" t="str">
        <f>"95/09/09"</f>
        <v>95/09/09</v>
      </c>
      <c r="I1291" s="1" t="str">
        <f t="shared" si="324"/>
        <v>كيلوگرم</v>
      </c>
      <c r="J1291" s="1" t="str">
        <f t="shared" si="322"/>
        <v>0000000076</v>
      </c>
      <c r="K1291" s="1" t="str">
        <f t="shared" si="323"/>
        <v>قير 60/70 - فله</v>
      </c>
      <c r="L1291" s="1">
        <v>100</v>
      </c>
      <c r="M1291" s="1" t="str">
        <f t="shared" si="330"/>
        <v>مخازن قير اصفهان</v>
      </c>
      <c r="N1291" s="1">
        <v>10676</v>
      </c>
      <c r="O1291" s="1">
        <v>50032742</v>
      </c>
      <c r="P1291" s="1" t="str">
        <f>"  شهرداري زواره"</f>
        <v xml:space="preserve">  شهرداري زواره</v>
      </c>
      <c r="Q1291" s="1">
        <v>20</v>
      </c>
      <c r="R1291" s="1" t="str">
        <f t="shared" si="327"/>
        <v>فروش داخلي - سازمان شهرداري ها و دهياري هاي كشور</v>
      </c>
      <c r="S1291" s="1" t="str">
        <f t="shared" si="325"/>
        <v>قرارداد فروش</v>
      </c>
      <c r="T1291" s="1" t="str">
        <f t="shared" si="326"/>
        <v>ندارد</v>
      </c>
      <c r="U1291" s="1" t="str">
        <f>"معماريان سعيد(1004ج89)"</f>
        <v>معماريان سعيد(1004ج89)</v>
      </c>
      <c r="V1291" s="1">
        <v>952000268</v>
      </c>
      <c r="W1291" s="1">
        <v>952000268</v>
      </c>
      <c r="X1291" s="1" t="str">
        <f>"1395447768"</f>
        <v>1395447768</v>
      </c>
      <c r="Y1291" s="1" t="str">
        <f>"95/09/09"</f>
        <v>95/09/09</v>
      </c>
      <c r="Z1291" s="1" t="str">
        <f>"43216"</f>
        <v>43216</v>
      </c>
      <c r="AA1291" s="1" t="str">
        <f t="shared" si="328"/>
        <v>شهرداريها</v>
      </c>
      <c r="AB1291" s="1" t="str">
        <f>"95/09/01"</f>
        <v>95/09/01</v>
      </c>
      <c r="AC1291" s="1" t="str">
        <f t="shared" si="329"/>
        <v>استان اصفهان</v>
      </c>
      <c r="AD1291" s="1" t="str">
        <f>"95/09/07"</f>
        <v>95/09/07</v>
      </c>
      <c r="AE1291" s="1" t="str">
        <f t="shared" si="321"/>
        <v>اختتام</v>
      </c>
      <c r="AF1291" s="1" t="str">
        <f>""</f>
        <v/>
      </c>
      <c r="AG1291" s="1" t="str">
        <f>""</f>
        <v/>
      </c>
      <c r="AH1291" s="1" t="str">
        <f>""</f>
        <v/>
      </c>
      <c r="AI1291" s="1" t="str">
        <f>""</f>
        <v/>
      </c>
      <c r="AJ1291" s="1" t="str">
        <f>""</f>
        <v/>
      </c>
      <c r="AK1291" s="1" t="str">
        <f>""</f>
        <v/>
      </c>
    </row>
    <row r="1292" spans="1:37" x14ac:dyDescent="0.2">
      <c r="A1292" s="1">
        <v>120000</v>
      </c>
      <c r="B1292" s="1">
        <v>952000097</v>
      </c>
      <c r="C1292" s="1" t="str">
        <f>"تخليه - اصفهان-جاده تهران روبروي شرکت سيمان جنب نيروگاه شهيد منتظري 2 کيلومتر داخل جاده خاکي"</f>
        <v>تخليه - اصفهان-جاده تهران روبروي شرکت سيمان جنب نيروگاه شهيد منتظري 2 کيلومتر داخل جاده خاکي</v>
      </c>
      <c r="D1292" s="1">
        <v>6976</v>
      </c>
      <c r="E1292" s="1">
        <v>119240</v>
      </c>
      <c r="F1292" s="1">
        <v>95</v>
      </c>
      <c r="G1292" s="1">
        <v>760</v>
      </c>
      <c r="H1292" s="1" t="str">
        <f>"95/07/05"</f>
        <v>95/07/05</v>
      </c>
      <c r="I1292" s="1" t="str">
        <f t="shared" si="324"/>
        <v>كيلوگرم</v>
      </c>
      <c r="J1292" s="1" t="str">
        <f t="shared" si="322"/>
        <v>0000000076</v>
      </c>
      <c r="K1292" s="1" t="str">
        <f t="shared" si="323"/>
        <v>قير 60/70 - فله</v>
      </c>
      <c r="L1292" s="1">
        <v>100</v>
      </c>
      <c r="M1292" s="1" t="str">
        <f t="shared" si="330"/>
        <v>مخازن قير اصفهان</v>
      </c>
      <c r="N1292" s="1">
        <v>10678</v>
      </c>
      <c r="O1292" s="1">
        <v>50031951</v>
      </c>
      <c r="P1292" s="1" t="str">
        <f>"  شهرداري گزبرخوار"</f>
        <v xml:space="preserve">  شهرداري گزبرخوار</v>
      </c>
      <c r="Q1292" s="1">
        <v>20</v>
      </c>
      <c r="R1292" s="1" t="str">
        <f t="shared" si="327"/>
        <v>فروش داخلي - سازمان شهرداري ها و دهياري هاي كشور</v>
      </c>
      <c r="S1292" s="1" t="str">
        <f t="shared" si="325"/>
        <v>قرارداد فروش</v>
      </c>
      <c r="T1292" s="1" t="str">
        <f t="shared" si="326"/>
        <v>ندارد</v>
      </c>
      <c r="U1292" s="1" t="str">
        <f>"تاج سعيد هوشنگ (1031ج 89)"</f>
        <v>تاج سعيد هوشنگ (1031ج 89)</v>
      </c>
      <c r="V1292" s="1">
        <v>952000097</v>
      </c>
      <c r="W1292" s="1">
        <v>952000097</v>
      </c>
      <c r="X1292" s="1" t="str">
        <f>"1395433645"</f>
        <v>1395433645</v>
      </c>
      <c r="Y1292" s="1" t="str">
        <f>"95/07/05"</f>
        <v>95/07/05</v>
      </c>
      <c r="Z1292" s="1" t="str">
        <f>"27726"</f>
        <v>27726</v>
      </c>
      <c r="AA1292" s="1" t="str">
        <f t="shared" si="328"/>
        <v>شهرداريها</v>
      </c>
      <c r="AB1292" s="1" t="str">
        <f>"95/06/10"</f>
        <v>95/06/10</v>
      </c>
      <c r="AC1292" s="1" t="str">
        <f t="shared" si="329"/>
        <v>استان اصفهان</v>
      </c>
      <c r="AD1292" s="1" t="str">
        <f>"95/07/04"</f>
        <v>95/07/04</v>
      </c>
      <c r="AE1292" s="1" t="str">
        <f t="shared" si="321"/>
        <v>اختتام</v>
      </c>
      <c r="AF1292" s="1" t="str">
        <f>""</f>
        <v/>
      </c>
      <c r="AG1292" s="1" t="str">
        <f>""</f>
        <v/>
      </c>
      <c r="AH1292" s="1" t="str">
        <f>""</f>
        <v/>
      </c>
      <c r="AI1292" s="1" t="str">
        <f>""</f>
        <v/>
      </c>
      <c r="AJ1292" s="1" t="str">
        <f>""</f>
        <v/>
      </c>
      <c r="AK1292" s="1" t="str">
        <f>""</f>
        <v/>
      </c>
    </row>
    <row r="1293" spans="1:37" x14ac:dyDescent="0.2">
      <c r="A1293" s="1">
        <v>121000</v>
      </c>
      <c r="B1293" s="1">
        <v>952000264</v>
      </c>
      <c r="C1293" s="1" t="str">
        <f>"تخليه - اصفهان-جاده تهران روبروي شرکت سيمان جنب نيروگاه شهيد منتظري 2 کيلومتر داخل جاده خاکي"</f>
        <v>تخليه - اصفهان-جاده تهران روبروي شرکت سيمان جنب نيروگاه شهيد منتظري 2 کيلومتر داخل جاده خاکي</v>
      </c>
      <c r="D1293" s="1">
        <v>7026</v>
      </c>
      <c r="E1293" s="1">
        <v>120160</v>
      </c>
      <c r="F1293" s="1">
        <v>95</v>
      </c>
      <c r="G1293" s="1">
        <v>840</v>
      </c>
      <c r="H1293" s="1" t="str">
        <f>"95/09/09"</f>
        <v>95/09/09</v>
      </c>
      <c r="I1293" s="1" t="str">
        <f t="shared" si="324"/>
        <v>كيلوگرم</v>
      </c>
      <c r="J1293" s="1" t="str">
        <f t="shared" si="322"/>
        <v>0000000076</v>
      </c>
      <c r="K1293" s="1" t="str">
        <f t="shared" si="323"/>
        <v>قير 60/70 - فله</v>
      </c>
      <c r="L1293" s="1">
        <v>100</v>
      </c>
      <c r="M1293" s="1" t="str">
        <f t="shared" si="330"/>
        <v>مخازن قير اصفهان</v>
      </c>
      <c r="N1293" s="1">
        <v>10678</v>
      </c>
      <c r="O1293" s="1">
        <v>50032737</v>
      </c>
      <c r="P1293" s="1" t="str">
        <f>"  شهرداري گزبرخوار"</f>
        <v xml:space="preserve">  شهرداري گزبرخوار</v>
      </c>
      <c r="Q1293" s="1">
        <v>20</v>
      </c>
      <c r="R1293" s="1" t="str">
        <f t="shared" si="327"/>
        <v>فروش داخلي - سازمان شهرداري ها و دهياري هاي كشور</v>
      </c>
      <c r="S1293" s="1" t="str">
        <f t="shared" si="325"/>
        <v>قرارداد فروش</v>
      </c>
      <c r="T1293" s="1" t="str">
        <f t="shared" si="326"/>
        <v>ندارد</v>
      </c>
      <c r="U1293" s="1" t="str">
        <f>"تاج سعيد هوشنگ (1031ج 89)"</f>
        <v>تاج سعيد هوشنگ (1031ج 89)</v>
      </c>
      <c r="V1293" s="1">
        <v>952000264</v>
      </c>
      <c r="W1293" s="1">
        <v>952000264</v>
      </c>
      <c r="X1293" s="1" t="str">
        <f>"1395447768"</f>
        <v>1395447768</v>
      </c>
      <c r="Y1293" s="1" t="str">
        <f>"95/09/09"</f>
        <v>95/09/09</v>
      </c>
      <c r="Z1293" s="1" t="str">
        <f>"43210"</f>
        <v>43210</v>
      </c>
      <c r="AA1293" s="1" t="str">
        <f t="shared" si="328"/>
        <v>شهرداريها</v>
      </c>
      <c r="AB1293" s="1" t="str">
        <f>"95/09/01"</f>
        <v>95/09/01</v>
      </c>
      <c r="AC1293" s="1" t="str">
        <f t="shared" si="329"/>
        <v>استان اصفهان</v>
      </c>
      <c r="AD1293" s="1" t="str">
        <f>"95/09/07"</f>
        <v>95/09/07</v>
      </c>
      <c r="AE1293" s="1" t="str">
        <f t="shared" si="321"/>
        <v>اختتام</v>
      </c>
      <c r="AF1293" s="1" t="str">
        <f>""</f>
        <v/>
      </c>
      <c r="AG1293" s="1" t="str">
        <f>""</f>
        <v/>
      </c>
      <c r="AH1293" s="1" t="str">
        <f>""</f>
        <v/>
      </c>
      <c r="AI1293" s="1" t="str">
        <f>""</f>
        <v/>
      </c>
      <c r="AJ1293" s="1" t="str">
        <f>""</f>
        <v/>
      </c>
      <c r="AK1293" s="1" t="str">
        <f>""</f>
        <v/>
      </c>
    </row>
    <row r="1294" spans="1:37" x14ac:dyDescent="0.2">
      <c r="A1294" s="1">
        <v>50000</v>
      </c>
      <c r="B1294" s="1">
        <v>951100094</v>
      </c>
      <c r="C1294" s="1" t="str">
        <f>"تخليه-شهرستان آباده-روبروي کارخانه سيمان"</f>
        <v>تخليه-شهرستان آباده-روبروي کارخانه سيمان</v>
      </c>
      <c r="D1294" s="1">
        <v>6426</v>
      </c>
      <c r="E1294" s="1">
        <v>50000</v>
      </c>
      <c r="F1294" s="1">
        <v>95</v>
      </c>
      <c r="G1294" s="1">
        <v>0</v>
      </c>
      <c r="H1294" s="1" t="str">
        <f>"95/05/13"</f>
        <v>95/05/13</v>
      </c>
      <c r="I1294" s="1" t="str">
        <f t="shared" si="324"/>
        <v>كيلوگرم</v>
      </c>
      <c r="J1294" s="1" t="str">
        <f t="shared" si="322"/>
        <v>0000000076</v>
      </c>
      <c r="K1294" s="1" t="str">
        <f t="shared" si="323"/>
        <v>قير 60/70 - فله</v>
      </c>
      <c r="L1294" s="1">
        <v>100</v>
      </c>
      <c r="M1294" s="1" t="str">
        <f t="shared" si="330"/>
        <v>مخازن قير اصفهان</v>
      </c>
      <c r="N1294" s="1">
        <v>10683</v>
      </c>
      <c r="O1294" s="1">
        <v>50031410</v>
      </c>
      <c r="P1294" s="1" t="str">
        <f>"  عايق اندود شرق سيصدو دو آسيا"</f>
        <v xml:space="preserve">  عايق اندود شرق سيصدو دو آسيا</v>
      </c>
      <c r="Q1294" s="1">
        <v>11</v>
      </c>
      <c r="R1294" s="1" t="str">
        <f>"فروش داخلي تهران - بورس"</f>
        <v>فروش داخلي تهران - بورس</v>
      </c>
      <c r="S1294" s="1" t="str">
        <f t="shared" si="325"/>
        <v>قرارداد فروش</v>
      </c>
      <c r="T1294" s="1" t="str">
        <f t="shared" si="326"/>
        <v>ندارد</v>
      </c>
      <c r="U1294" s="1" t="str">
        <f>"تاج سعيد هوشنگ (1031ج 89)"</f>
        <v>تاج سعيد هوشنگ (1031ج 89)</v>
      </c>
      <c r="V1294" s="1">
        <v>951100094</v>
      </c>
      <c r="W1294" s="1">
        <v>951100094</v>
      </c>
      <c r="X1294" s="1" t="str">
        <f>"1395419172"</f>
        <v>1395419172</v>
      </c>
      <c r="Y1294" s="1" t="str">
        <f>"95/05/12"</f>
        <v>95/05/12</v>
      </c>
      <c r="Z1294" s="1" t="str">
        <f>"95-34630"</f>
        <v>95-34630</v>
      </c>
      <c r="AA1294" s="1" t="str">
        <f>"راه سازي"</f>
        <v>راه سازي</v>
      </c>
      <c r="AB1294" s="1" t="str">
        <f>"95/05/12"</f>
        <v>95/05/12</v>
      </c>
      <c r="AC1294" s="1" t="str">
        <f>"استان فارس"</f>
        <v>استان فارس</v>
      </c>
      <c r="AD1294" s="1" t="str">
        <f>"95/05/06"</f>
        <v>95/05/06</v>
      </c>
      <c r="AE1294" s="1" t="str">
        <f>"تاييدشده"</f>
        <v>تاييدشده</v>
      </c>
      <c r="AF1294" s="1" t="str">
        <f>""</f>
        <v/>
      </c>
      <c r="AG1294" s="1" t="str">
        <f>""</f>
        <v/>
      </c>
      <c r="AH1294" s="1" t="str">
        <f>""</f>
        <v/>
      </c>
      <c r="AI1294" s="1" t="str">
        <f>""</f>
        <v/>
      </c>
      <c r="AJ1294" s="1" t="str">
        <f>""</f>
        <v/>
      </c>
      <c r="AK1294" s="1" t="str">
        <f>""</f>
        <v/>
      </c>
    </row>
    <row r="1295" spans="1:37" x14ac:dyDescent="0.2">
      <c r="A1295" s="1">
        <v>50000</v>
      </c>
      <c r="B1295" s="1">
        <v>951100159</v>
      </c>
      <c r="C1295" s="1" t="str">
        <f>"تخليه-شهرستان آباده-روبروي کارخانه سيمان"</f>
        <v>تخليه-شهرستان آباده-روبروي کارخانه سيمان</v>
      </c>
      <c r="D1295" s="1">
        <v>7026</v>
      </c>
      <c r="E1295" s="1">
        <v>48300</v>
      </c>
      <c r="F1295" s="1">
        <v>95</v>
      </c>
      <c r="G1295" s="1">
        <v>1700</v>
      </c>
      <c r="H1295" s="1" t="str">
        <f>"95/09/22"</f>
        <v>95/09/22</v>
      </c>
      <c r="I1295" s="1" t="str">
        <f t="shared" si="324"/>
        <v>كيلوگرم</v>
      </c>
      <c r="J1295" s="1" t="str">
        <f t="shared" si="322"/>
        <v>0000000076</v>
      </c>
      <c r="K1295" s="1" t="str">
        <f t="shared" si="323"/>
        <v>قير 60/70 - فله</v>
      </c>
      <c r="L1295" s="1">
        <v>100</v>
      </c>
      <c r="M1295" s="1" t="str">
        <f t="shared" si="330"/>
        <v>مخازن قير اصفهان</v>
      </c>
      <c r="N1295" s="1">
        <v>10683</v>
      </c>
      <c r="O1295" s="1">
        <v>50033006</v>
      </c>
      <c r="P1295" s="1" t="str">
        <f>"  عايق اندود شرق سيصدو دو آسيا"</f>
        <v xml:space="preserve">  عايق اندود شرق سيصدو دو آسيا</v>
      </c>
      <c r="Q1295" s="1">
        <v>11</v>
      </c>
      <c r="R1295" s="1" t="str">
        <f>"فروش داخلي تهران - بورس"</f>
        <v>فروش داخلي تهران - بورس</v>
      </c>
      <c r="S1295" s="1" t="str">
        <f t="shared" si="325"/>
        <v>قرارداد فروش</v>
      </c>
      <c r="T1295" s="1" t="str">
        <f t="shared" si="326"/>
        <v>ندارد</v>
      </c>
      <c r="U1295" s="1" t="str">
        <f>"تاج سعيد هوشنگ (1031ج 89)"</f>
        <v>تاج سعيد هوشنگ (1031ج 89)</v>
      </c>
      <c r="V1295" s="1">
        <v>951100159</v>
      </c>
      <c r="W1295" s="1">
        <v>951100159</v>
      </c>
      <c r="X1295" s="1" t="str">
        <f>"1395450880"</f>
        <v>1395450880</v>
      </c>
      <c r="Y1295" s="1" t="str">
        <f>"95/09/22"</f>
        <v>95/09/22</v>
      </c>
      <c r="Z1295" s="1" t="str">
        <f>"95-34921"</f>
        <v>95-34921</v>
      </c>
      <c r="AA1295" s="1" t="str">
        <f>"راه سازي"</f>
        <v>راه سازي</v>
      </c>
      <c r="AB1295" s="1" t="str">
        <f>"95/09/22"</f>
        <v>95/09/22</v>
      </c>
      <c r="AC1295" s="1" t="str">
        <f>"استان فارس"</f>
        <v>استان فارس</v>
      </c>
      <c r="AD1295" s="1" t="str">
        <f>"95/09/17"</f>
        <v>95/09/17</v>
      </c>
      <c r="AE1295" s="1" t="str">
        <f>"اختتام"</f>
        <v>اختتام</v>
      </c>
      <c r="AF1295" s="1" t="str">
        <f>""</f>
        <v/>
      </c>
      <c r="AG1295" s="1" t="str">
        <f>""</f>
        <v/>
      </c>
      <c r="AH1295" s="1" t="str">
        <f>""</f>
        <v/>
      </c>
      <c r="AI1295" s="1" t="str">
        <f>""</f>
        <v/>
      </c>
      <c r="AJ1295" s="1" t="str">
        <f>""</f>
        <v/>
      </c>
      <c r="AK1295" s="1" t="str">
        <f>""</f>
        <v/>
      </c>
    </row>
    <row r="1296" spans="1:37" x14ac:dyDescent="0.2">
      <c r="A1296" s="1">
        <v>130000</v>
      </c>
      <c r="B1296" s="1">
        <v>951100149</v>
      </c>
      <c r="C1296" s="1" t="str">
        <f>"كيلومتر 12 محور بيرجند به زاهدان كارخانه‌آسفالت شهرداري"</f>
        <v>كيلومتر 12 محور بيرجند به زاهدان كارخانه‌آسفالت شهرداري</v>
      </c>
      <c r="D1296" s="1">
        <v>7026</v>
      </c>
      <c r="E1296" s="1">
        <v>129900</v>
      </c>
      <c r="F1296" s="1">
        <v>95</v>
      </c>
      <c r="G1296" s="1">
        <v>100</v>
      </c>
      <c r="H1296" s="1" t="str">
        <f>"95/09/15"</f>
        <v>95/09/15</v>
      </c>
      <c r="I1296" s="1" t="str">
        <f t="shared" si="324"/>
        <v>كيلوگرم</v>
      </c>
      <c r="J1296" s="1" t="str">
        <f t="shared" si="322"/>
        <v>0000000076</v>
      </c>
      <c r="K1296" s="1" t="str">
        <f t="shared" si="323"/>
        <v>قير 60/70 - فله</v>
      </c>
      <c r="L1296" s="1">
        <v>100</v>
      </c>
      <c r="M1296" s="1" t="str">
        <f t="shared" si="330"/>
        <v>مخازن قير اصفهان</v>
      </c>
      <c r="N1296" s="1">
        <v>9573</v>
      </c>
      <c r="O1296" s="1">
        <v>50032851</v>
      </c>
      <c r="P1296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296" s="1">
        <v>11</v>
      </c>
      <c r="R1296" s="1" t="str">
        <f>"فروش داخلي تهران - بورس"</f>
        <v>فروش داخلي تهران - بورس</v>
      </c>
      <c r="S1296" s="1" t="str">
        <f t="shared" si="325"/>
        <v>قرارداد فروش</v>
      </c>
      <c r="T1296" s="1" t="str">
        <f t="shared" si="326"/>
        <v>ندارد</v>
      </c>
      <c r="U1296" s="1" t="str">
        <f>"بابامحمدي عنايت اله(4844000)"</f>
        <v>بابامحمدي عنايت اله(4844000)</v>
      </c>
      <c r="V1296" s="1">
        <v>951100149</v>
      </c>
      <c r="W1296" s="1">
        <v>951100149</v>
      </c>
      <c r="X1296" s="1" t="str">
        <f>"1395447889"</f>
        <v>1395447889</v>
      </c>
      <c r="Y1296" s="1" t="str">
        <f>"95/09/14"</f>
        <v>95/09/14</v>
      </c>
      <c r="Z1296" s="1" t="str">
        <f>"95-34867"</f>
        <v>95-34867</v>
      </c>
      <c r="AA1296" s="1" t="str">
        <f>"شهرداريها"</f>
        <v>شهرداريها</v>
      </c>
      <c r="AB1296" s="1" t="str">
        <f>"95/09/14"</f>
        <v>95/09/14</v>
      </c>
      <c r="AC1296" s="1" t="str">
        <f>"خراسان جنوبي"</f>
        <v>خراسان جنوبي</v>
      </c>
      <c r="AD1296" s="1" t="str">
        <f>"95/09/09"</f>
        <v>95/09/09</v>
      </c>
      <c r="AE1296" s="1" t="str">
        <f>"اختتام"</f>
        <v>اختتام</v>
      </c>
      <c r="AF1296" s="1" t="str">
        <f>""</f>
        <v/>
      </c>
      <c r="AG1296" s="1" t="str">
        <f>""</f>
        <v/>
      </c>
      <c r="AH1296" s="1" t="str">
        <f>""</f>
        <v/>
      </c>
      <c r="AI1296" s="1" t="str">
        <f>""</f>
        <v/>
      </c>
      <c r="AJ1296" s="1" t="str">
        <f>""</f>
        <v/>
      </c>
      <c r="AK1296" s="1" t="str">
        <f>""</f>
        <v/>
      </c>
    </row>
    <row r="1297" spans="1:37" x14ac:dyDescent="0.2">
      <c r="A1297" s="1">
        <v>116000</v>
      </c>
      <c r="B1297" s="1">
        <v>952000034</v>
      </c>
      <c r="C1297" s="1" t="str">
        <f>"تخليه - چهارمحال و بختياري- جاده بروجن-مبارکه-معدن شن و ماسه قاميشلو شرکت تک شن"</f>
        <v>تخليه - چهارمحال و بختياري- جاده بروجن-مبارکه-معدن شن و ماسه قاميشلو شرکت تک شن</v>
      </c>
      <c r="D1297" s="1">
        <v>6426</v>
      </c>
      <c r="E1297" s="1">
        <v>115000</v>
      </c>
      <c r="F1297" s="1">
        <v>95</v>
      </c>
      <c r="G1297" s="1">
        <v>1000</v>
      </c>
      <c r="H1297" s="1" t="str">
        <f>"95/05/27"</f>
        <v>95/05/27</v>
      </c>
      <c r="I1297" s="1" t="str">
        <f t="shared" si="324"/>
        <v>كيلوگرم</v>
      </c>
      <c r="J1297" s="1" t="str">
        <f>"1000000002"</f>
        <v>1000000002</v>
      </c>
      <c r="K1297" s="1" t="str">
        <f>"قير 85/100 - فله"</f>
        <v>قير 85/100 - فله</v>
      </c>
      <c r="L1297" s="1">
        <v>100</v>
      </c>
      <c r="M1297" s="1" t="str">
        <f t="shared" si="330"/>
        <v>مخازن قير اصفهان</v>
      </c>
      <c r="N1297" s="1">
        <v>7150</v>
      </c>
      <c r="O1297" s="1">
        <v>50031584</v>
      </c>
      <c r="P1297" s="1" t="str">
        <f>"  شهرداري بلداجي"</f>
        <v xml:space="preserve">  شهرداري بلداجي</v>
      </c>
      <c r="Q1297" s="1">
        <v>20</v>
      </c>
      <c r="R1297" s="1" t="str">
        <f>"فروش داخلي - سازمان شهرداري ها و دهياري هاي كشور"</f>
        <v>فروش داخلي - سازمان شهرداري ها و دهياري هاي كشور</v>
      </c>
      <c r="S1297" s="1" t="str">
        <f t="shared" si="325"/>
        <v>قرارداد فروش</v>
      </c>
      <c r="T1297" s="1" t="str">
        <f t="shared" si="326"/>
        <v>ندارد</v>
      </c>
      <c r="U1297" s="1" t="str">
        <f>"قره باغي مجيد(1871065)"</f>
        <v>قره باغي مجيد(1871065)</v>
      </c>
      <c r="V1297" s="1">
        <v>952000034</v>
      </c>
      <c r="W1297" s="1">
        <v>952000034</v>
      </c>
      <c r="X1297" s="1" t="str">
        <f>"1395423681"</f>
        <v>1395423681</v>
      </c>
      <c r="Y1297" s="1" t="str">
        <f>"95/05/25"</f>
        <v>95/05/25</v>
      </c>
      <c r="Z1297" s="1" t="str">
        <f>"20637"</f>
        <v>20637</v>
      </c>
      <c r="AA1297" s="1" t="str">
        <f>"شهرداريها"</f>
        <v>شهرداريها</v>
      </c>
      <c r="AB1297" s="1" t="str">
        <f>"95/05/12"</f>
        <v>95/05/12</v>
      </c>
      <c r="AC1297" s="1" t="str">
        <f>"استان چهارمحال بختياري"</f>
        <v>استان چهارمحال بختياري</v>
      </c>
      <c r="AD1297" s="1" t="str">
        <f>"95/05/24"</f>
        <v>95/05/24</v>
      </c>
      <c r="AE1297" s="1" t="str">
        <f>"اختتام"</f>
        <v>اختتام</v>
      </c>
      <c r="AF1297" s="1" t="str">
        <f>""</f>
        <v/>
      </c>
      <c r="AG1297" s="1" t="str">
        <f>""</f>
        <v/>
      </c>
      <c r="AH1297" s="1" t="str">
        <f>""</f>
        <v/>
      </c>
      <c r="AI1297" s="1" t="str">
        <f>""</f>
        <v/>
      </c>
      <c r="AJ1297" s="1" t="str">
        <f>""</f>
        <v/>
      </c>
      <c r="AK1297" s="1" t="str">
        <f>""</f>
        <v/>
      </c>
    </row>
    <row r="1298" spans="1:37" x14ac:dyDescent="0.2">
      <c r="A1298" s="1">
        <v>115000</v>
      </c>
      <c r="B1298" s="1">
        <v>952000223</v>
      </c>
      <c r="C1298" s="1" t="str">
        <f>"تخليه - چهارمحال و بختياري- جاده بروجن-مبارکه-معدن شن و ماسه قاميشلو شرکت تک شن"</f>
        <v>تخليه - چهارمحال و بختياري- جاده بروجن-مبارکه-معدن شن و ماسه قاميشلو شرکت تک شن</v>
      </c>
      <c r="D1298" s="1">
        <v>8023</v>
      </c>
      <c r="E1298" s="1">
        <v>114600</v>
      </c>
      <c r="F1298" s="1">
        <v>95</v>
      </c>
      <c r="G1298" s="1">
        <v>400</v>
      </c>
      <c r="H1298" s="1" t="str">
        <f>"95/08/18"</f>
        <v>95/08/18</v>
      </c>
      <c r="I1298" s="1" t="str">
        <f t="shared" si="324"/>
        <v>كيلوگرم</v>
      </c>
      <c r="J1298" s="1" t="str">
        <f>"1000000002"</f>
        <v>1000000002</v>
      </c>
      <c r="K1298" s="1" t="str">
        <f>"قير 85/100 - فله"</f>
        <v>قير 85/100 - فله</v>
      </c>
      <c r="L1298" s="1">
        <v>100</v>
      </c>
      <c r="M1298" s="1" t="str">
        <f t="shared" si="330"/>
        <v>مخازن قير اصفهان</v>
      </c>
      <c r="N1298" s="1">
        <v>7150</v>
      </c>
      <c r="O1298" s="1">
        <v>50032552</v>
      </c>
      <c r="P1298" s="1" t="str">
        <f>"  شهرداري بلداجي"</f>
        <v xml:space="preserve">  شهرداري بلداجي</v>
      </c>
      <c r="Q1298" s="1">
        <v>20</v>
      </c>
      <c r="R1298" s="1" t="str">
        <f>"فروش داخلي - سازمان شهرداري ها و دهياري هاي كشور"</f>
        <v>فروش داخلي - سازمان شهرداري ها و دهياري هاي كشور</v>
      </c>
      <c r="S1298" s="1" t="str">
        <f t="shared" si="325"/>
        <v>قرارداد فروش</v>
      </c>
      <c r="T1298" s="1" t="str">
        <f t="shared" si="326"/>
        <v>ندارد</v>
      </c>
      <c r="U1298" s="1" t="str">
        <f>"قره باغي مجيد(1871065)"</f>
        <v>قره باغي مجيد(1871065)</v>
      </c>
      <c r="V1298" s="1">
        <v>952000223</v>
      </c>
      <c r="W1298" s="1">
        <v>952000223</v>
      </c>
      <c r="X1298" s="1" t="str">
        <f>"1395443388"</f>
        <v>1395443388</v>
      </c>
      <c r="Y1298" s="1" t="str">
        <f>"95/08/17"</f>
        <v>95/08/17</v>
      </c>
      <c r="Z1298" s="1" t="str">
        <f>"40109"</f>
        <v>40109</v>
      </c>
      <c r="AA1298" s="1" t="str">
        <f>"شهرداريها"</f>
        <v>شهرداريها</v>
      </c>
      <c r="AB1298" s="1" t="str">
        <f>"95/08/15"</f>
        <v>95/08/15</v>
      </c>
      <c r="AC1298" s="1" t="str">
        <f>"استان چهارمحال بختياري"</f>
        <v>استان چهارمحال بختياري</v>
      </c>
      <c r="AD1298" s="1" t="str">
        <f>"95/08/17"</f>
        <v>95/08/17</v>
      </c>
      <c r="AE1298" s="1" t="str">
        <f>"اختتام"</f>
        <v>اختتام</v>
      </c>
      <c r="AF1298" s="1" t="str">
        <f>""</f>
        <v/>
      </c>
      <c r="AG1298" s="1" t="str">
        <f>""</f>
        <v/>
      </c>
      <c r="AH1298" s="1" t="str">
        <f>""</f>
        <v/>
      </c>
      <c r="AI1298" s="1" t="str">
        <f>""</f>
        <v/>
      </c>
      <c r="AJ1298" s="1" t="str">
        <f>""</f>
        <v/>
      </c>
      <c r="AK1298" s="1" t="str">
        <f>""</f>
        <v/>
      </c>
    </row>
    <row r="1299" spans="1:37" x14ac:dyDescent="0.2">
      <c r="A1299" s="1">
        <v>50000</v>
      </c>
      <c r="B1299" s="1">
        <v>951100165</v>
      </c>
      <c r="C1299" s="1" t="str">
        <f>"تخليه-شهرستان آباده-روبروي کارخانه سيمان"</f>
        <v>تخليه-شهرستان آباده-روبروي کارخانه سيمان</v>
      </c>
      <c r="D1299" s="1">
        <v>7026</v>
      </c>
      <c r="E1299" s="1">
        <v>50000</v>
      </c>
      <c r="F1299" s="1">
        <v>95</v>
      </c>
      <c r="G1299" s="1">
        <v>0</v>
      </c>
      <c r="H1299" s="1" t="str">
        <f>"95/09/30"</f>
        <v>95/09/30</v>
      </c>
      <c r="I1299" s="1" t="str">
        <f t="shared" si="324"/>
        <v>كيلوگرم</v>
      </c>
      <c r="J1299" s="1" t="str">
        <f>"0000000076"</f>
        <v>0000000076</v>
      </c>
      <c r="K1299" s="1" t="str">
        <f>"قير 60/70 - فله"</f>
        <v>قير 60/70 - فله</v>
      </c>
      <c r="L1299" s="1">
        <v>100</v>
      </c>
      <c r="M1299" s="1" t="str">
        <f t="shared" si="330"/>
        <v>مخازن قير اصفهان</v>
      </c>
      <c r="N1299" s="1">
        <v>10683</v>
      </c>
      <c r="O1299" s="1">
        <v>50033093</v>
      </c>
      <c r="P1299" s="1" t="str">
        <f>"  عايق اندود شرق سيصدو دو آسيا"</f>
        <v xml:space="preserve">  عايق اندود شرق سيصدو دو آسيا</v>
      </c>
      <c r="Q1299" s="1">
        <v>11</v>
      </c>
      <c r="R1299" s="1" t="str">
        <f>"فروش داخلي تهران - بورس"</f>
        <v>فروش داخلي تهران - بورس</v>
      </c>
      <c r="S1299" s="1" t="str">
        <f t="shared" si="325"/>
        <v>قرارداد فروش</v>
      </c>
      <c r="T1299" s="1" t="str">
        <f t="shared" si="326"/>
        <v>ندارد</v>
      </c>
      <c r="U1299" s="1" t="str">
        <f>"تاج سعيد هوشنگ (1031ج 89)"</f>
        <v>تاج سعيد هوشنگ (1031ج 89)</v>
      </c>
      <c r="V1299" s="1">
        <v>951100165</v>
      </c>
      <c r="W1299" s="1">
        <v>951100165</v>
      </c>
      <c r="X1299" s="1" t="str">
        <f>"1395451679"</f>
        <v>1395451679</v>
      </c>
      <c r="Y1299" s="1" t="str">
        <f>"95/09/30"</f>
        <v>95/09/30</v>
      </c>
      <c r="Z1299" s="1" t="str">
        <f>"95-34957"</f>
        <v>95-34957</v>
      </c>
      <c r="AA1299" s="1" t="str">
        <f>"راه سازي"</f>
        <v>راه سازي</v>
      </c>
      <c r="AB1299" s="1" t="str">
        <f>"95/09/29"</f>
        <v>95/09/29</v>
      </c>
      <c r="AC1299" s="1" t="str">
        <f>"استان فارس"</f>
        <v>استان فارس</v>
      </c>
      <c r="AD1299" s="1" t="str">
        <f>"95/09/22"</f>
        <v>95/09/22</v>
      </c>
      <c r="AE1299" s="1" t="str">
        <f>"تاييدشده"</f>
        <v>تاييدشده</v>
      </c>
      <c r="AF1299" s="1" t="str">
        <f>""</f>
        <v/>
      </c>
      <c r="AG1299" s="1" t="str">
        <f>""</f>
        <v/>
      </c>
      <c r="AH1299" s="1" t="str">
        <f>""</f>
        <v/>
      </c>
      <c r="AI1299" s="1" t="str">
        <f>""</f>
        <v/>
      </c>
      <c r="AJ1299" s="1" t="str">
        <f>""</f>
        <v/>
      </c>
      <c r="AK1299" s="1" t="str">
        <f>""</f>
        <v/>
      </c>
    </row>
    <row r="1300" spans="1:37" x14ac:dyDescent="0.2">
      <c r="A1300" s="1">
        <v>72000</v>
      </c>
      <c r="B1300" s="1">
        <v>952000285</v>
      </c>
      <c r="C1300" s="1" t="str">
        <f>"اصفهان -خميني شهربالاترازشهرك صنعتي برق والكترونيك -كارخانه آسفالت شركت كوهرنگ راه"</f>
        <v>اصفهان -خميني شهربالاترازشهرك صنعتي برق والكترونيك -كارخانه آسفالت شركت كوهرنگ راه</v>
      </c>
      <c r="D1300" s="1">
        <v>7026</v>
      </c>
      <c r="E1300" s="1">
        <v>70560</v>
      </c>
      <c r="F1300" s="1">
        <v>95</v>
      </c>
      <c r="G1300" s="1">
        <v>1440</v>
      </c>
      <c r="H1300" s="1" t="str">
        <f>"95/09/09"</f>
        <v>95/09/09</v>
      </c>
      <c r="I1300" s="1" t="str">
        <f t="shared" si="324"/>
        <v>كيلوگرم</v>
      </c>
      <c r="J1300" s="1" t="str">
        <f>"0000000076"</f>
        <v>0000000076</v>
      </c>
      <c r="K1300" s="1" t="str">
        <f>"قير 60/70 - فله"</f>
        <v>قير 60/70 - فله</v>
      </c>
      <c r="L1300" s="1">
        <v>100</v>
      </c>
      <c r="M1300" s="1" t="str">
        <f t="shared" si="330"/>
        <v>مخازن قير اصفهان</v>
      </c>
      <c r="N1300" s="1">
        <v>10687</v>
      </c>
      <c r="O1300" s="1">
        <v>50032765</v>
      </c>
      <c r="P1300" s="1" t="str">
        <f>"  شهرداري اصغرآباد"</f>
        <v xml:space="preserve">  شهرداري اصغرآباد</v>
      </c>
      <c r="Q1300" s="1">
        <v>20</v>
      </c>
      <c r="R1300" s="1" t="str">
        <f>"فروش داخلي - سازمان شهرداري ها و دهياري هاي كشور"</f>
        <v>فروش داخلي - سازمان شهرداري ها و دهياري هاي كشور</v>
      </c>
      <c r="S1300" s="1" t="str">
        <f t="shared" si="325"/>
        <v>قرارداد فروش</v>
      </c>
      <c r="T1300" s="1" t="str">
        <f t="shared" si="326"/>
        <v>ندارد</v>
      </c>
      <c r="U1300" s="1" t="str">
        <f>"معماريان سعيد(1004ج89)"</f>
        <v>معماريان سعيد(1004ج89)</v>
      </c>
      <c r="V1300" s="1">
        <v>952000285</v>
      </c>
      <c r="W1300" s="1">
        <v>952000285</v>
      </c>
      <c r="X1300" s="1" t="str">
        <f>"1395447768"</f>
        <v>1395447768</v>
      </c>
      <c r="Y1300" s="1" t="str">
        <f>"95/09/09"</f>
        <v>95/09/09</v>
      </c>
      <c r="Z1300" s="1" t="str">
        <f>"43239"</f>
        <v>43239</v>
      </c>
      <c r="AA1300" s="1" t="str">
        <f>"شهرداريها"</f>
        <v>شهرداريها</v>
      </c>
      <c r="AB1300" s="1" t="str">
        <f>"95/09/01"</f>
        <v>95/09/01</v>
      </c>
      <c r="AC1300" s="1" t="str">
        <f>"استان اصفهان"</f>
        <v>استان اصفهان</v>
      </c>
      <c r="AD1300" s="1" t="str">
        <f>"95/09/07"</f>
        <v>95/09/07</v>
      </c>
      <c r="AE1300" s="1" t="str">
        <f>"اختتام"</f>
        <v>اختتام</v>
      </c>
      <c r="AF1300" s="1" t="str">
        <f>""</f>
        <v/>
      </c>
      <c r="AG1300" s="1" t="str">
        <f>""</f>
        <v/>
      </c>
      <c r="AH1300" s="1" t="str">
        <f>""</f>
        <v/>
      </c>
      <c r="AI1300" s="1" t="str">
        <f>""</f>
        <v/>
      </c>
      <c r="AJ1300" s="1" t="str">
        <f>""</f>
        <v/>
      </c>
      <c r="AK1300" s="1" t="str">
        <f>""</f>
        <v/>
      </c>
    </row>
    <row r="1301" spans="1:37" x14ac:dyDescent="0.2">
      <c r="A1301" s="1">
        <v>80000</v>
      </c>
      <c r="B1301" s="1">
        <v>952000236</v>
      </c>
      <c r="C1301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1301" s="1">
        <v>8023</v>
      </c>
      <c r="E1301" s="1">
        <v>79500</v>
      </c>
      <c r="F1301" s="1">
        <v>95</v>
      </c>
      <c r="G1301" s="1">
        <v>500</v>
      </c>
      <c r="H1301" s="1" t="str">
        <f>"95/08/23"</f>
        <v>95/08/23</v>
      </c>
      <c r="I1301" s="1" t="str">
        <f t="shared" si="324"/>
        <v>كيلوگرم</v>
      </c>
      <c r="J1301" s="1" t="str">
        <f>"0000000076"</f>
        <v>0000000076</v>
      </c>
      <c r="K1301" s="1" t="str">
        <f>"قير 60/70 - فله"</f>
        <v>قير 60/70 - فله</v>
      </c>
      <c r="L1301" s="1">
        <v>100</v>
      </c>
      <c r="M1301" s="1" t="str">
        <f t="shared" si="330"/>
        <v>مخازن قير اصفهان</v>
      </c>
      <c r="N1301" s="1">
        <v>10696</v>
      </c>
      <c r="O1301" s="1">
        <v>50032594</v>
      </c>
      <c r="P1301" s="1" t="str">
        <f>"  شهرداري هرند"</f>
        <v xml:space="preserve">  شهرداري هرند</v>
      </c>
      <c r="Q1301" s="1">
        <v>20</v>
      </c>
      <c r="R1301" s="1" t="str">
        <f>"فروش داخلي - سازمان شهرداري ها و دهياري هاي كشور"</f>
        <v>فروش داخلي - سازمان شهرداري ها و دهياري هاي كشور</v>
      </c>
      <c r="S1301" s="1" t="str">
        <f t="shared" si="325"/>
        <v>قرارداد فروش</v>
      </c>
      <c r="T1301" s="1" t="str">
        <f t="shared" si="326"/>
        <v>ندارد</v>
      </c>
      <c r="U1301" s="1" t="str">
        <f>"اسماعيلي پور امين (1013ج89)"</f>
        <v>اسماعيلي پور امين (1013ج89)</v>
      </c>
      <c r="V1301" s="1">
        <v>952000236</v>
      </c>
      <c r="W1301" s="1">
        <v>952000236</v>
      </c>
      <c r="X1301" s="1" t="str">
        <f>"1395444872"</f>
        <v>1395444872</v>
      </c>
      <c r="Y1301" s="1" t="str">
        <f>"95/08/23"</f>
        <v>95/08/23</v>
      </c>
      <c r="Z1301" s="1" t="str">
        <f>"41423"</f>
        <v>41423</v>
      </c>
      <c r="AA1301" s="1" t="str">
        <f>"شهرداريها"</f>
        <v>شهرداريها</v>
      </c>
      <c r="AB1301" s="1" t="str">
        <f>"95/08/22"</f>
        <v>95/08/22</v>
      </c>
      <c r="AC1301" s="1" t="str">
        <f>"استان اصفهان"</f>
        <v>استان اصفهان</v>
      </c>
      <c r="AD1301" s="1" t="str">
        <f>"95/08/23"</f>
        <v>95/08/23</v>
      </c>
      <c r="AE1301" s="1" t="str">
        <f>"اختتام"</f>
        <v>اختتام</v>
      </c>
      <c r="AF1301" s="1" t="str">
        <f>""</f>
        <v/>
      </c>
      <c r="AG1301" s="1" t="str">
        <f>""</f>
        <v/>
      </c>
      <c r="AH1301" s="1" t="str">
        <f>""</f>
        <v/>
      </c>
      <c r="AI1301" s="1" t="str">
        <f>""</f>
        <v/>
      </c>
      <c r="AJ1301" s="1" t="str">
        <f>""</f>
        <v/>
      </c>
      <c r="AK1301" s="1" t="str">
        <f>""</f>
        <v/>
      </c>
    </row>
    <row r="1302" spans="1:37" x14ac:dyDescent="0.2">
      <c r="A1302" s="1">
        <v>129000</v>
      </c>
      <c r="B1302" s="1">
        <v>952000053</v>
      </c>
      <c r="C1302" s="1" t="str">
        <f>"تخليه شهركرددوراهي فارسان جونقان جنب كارخانه گچ فارسان كارخانه آسفالت احمديه چليچه"</f>
        <v>تخليه شهركرددوراهي فارسان جونقان جنب كارخانه گچ فارسان كارخانه آسفالت احمديه چليچه</v>
      </c>
      <c r="D1302" s="1">
        <v>6876</v>
      </c>
      <c r="E1302" s="1">
        <v>128280</v>
      </c>
      <c r="F1302" s="1">
        <v>95</v>
      </c>
      <c r="G1302" s="1">
        <v>720</v>
      </c>
      <c r="H1302" s="1" t="str">
        <f>"95/06/07"</f>
        <v>95/06/07</v>
      </c>
      <c r="I1302" s="1" t="str">
        <f t="shared" si="324"/>
        <v>كيلوگرم</v>
      </c>
      <c r="J1302" s="1" t="str">
        <f>"1000000002"</f>
        <v>1000000002</v>
      </c>
      <c r="K1302" s="1" t="str">
        <f>"قير 85/100 - فله"</f>
        <v>قير 85/100 - فله</v>
      </c>
      <c r="L1302" s="1">
        <v>100</v>
      </c>
      <c r="M1302" s="1" t="str">
        <f t="shared" si="330"/>
        <v>مخازن قير اصفهان</v>
      </c>
      <c r="N1302" s="1">
        <v>7302</v>
      </c>
      <c r="O1302" s="1">
        <v>50031699</v>
      </c>
      <c r="P1302" s="1" t="str">
        <f>"  شهرداري هفشجان"</f>
        <v xml:space="preserve">  شهرداري هفشجان</v>
      </c>
      <c r="Q1302" s="1">
        <v>20</v>
      </c>
      <c r="R1302" s="1" t="str">
        <f>"فروش داخلي - سازمان شهرداري ها و دهياري هاي كشور"</f>
        <v>فروش داخلي - سازمان شهرداري ها و دهياري هاي كشور</v>
      </c>
      <c r="S1302" s="1" t="str">
        <f t="shared" si="325"/>
        <v>قرارداد فروش</v>
      </c>
      <c r="T1302" s="1" t="str">
        <f t="shared" si="326"/>
        <v>ندارد</v>
      </c>
      <c r="U1302" s="1" t="str">
        <f>"عابدي محمود(1018ج89)"</f>
        <v>عابدي محمود(1018ج89)</v>
      </c>
      <c r="V1302" s="1">
        <v>952000053</v>
      </c>
      <c r="W1302" s="1">
        <v>952000053</v>
      </c>
      <c r="X1302" s="1" t="str">
        <f>"1395426945"</f>
        <v>1395426945</v>
      </c>
      <c r="Y1302" s="1" t="str">
        <f>"95/06/07"</f>
        <v>95/06/07</v>
      </c>
      <c r="Z1302" s="1" t="str">
        <f>"19310"</f>
        <v>19310</v>
      </c>
      <c r="AA1302" s="1" t="str">
        <f>"شهرداريها"</f>
        <v>شهرداريها</v>
      </c>
      <c r="AB1302" s="1" t="str">
        <f>"95/05/04"</f>
        <v>95/05/04</v>
      </c>
      <c r="AC1302" s="1" t="str">
        <f>"استان اصفهان"</f>
        <v>استان اصفهان</v>
      </c>
      <c r="AD1302" s="1" t="str">
        <f>"95/06/06"</f>
        <v>95/06/06</v>
      </c>
      <c r="AE1302" s="1" t="str">
        <f>"اختتام"</f>
        <v>اختتام</v>
      </c>
      <c r="AF1302" s="1" t="str">
        <f>""</f>
        <v/>
      </c>
      <c r="AG1302" s="1" t="str">
        <f>""</f>
        <v/>
      </c>
      <c r="AH1302" s="1" t="str">
        <f>""</f>
        <v/>
      </c>
      <c r="AI1302" s="1" t="str">
        <f>""</f>
        <v/>
      </c>
      <c r="AJ1302" s="1" t="str">
        <f>""</f>
        <v/>
      </c>
      <c r="AK1302" s="1" t="str">
        <f>""</f>
        <v/>
      </c>
    </row>
    <row r="1303" spans="1:37" x14ac:dyDescent="0.2">
      <c r="A1303" s="1">
        <v>149000</v>
      </c>
      <c r="B1303" s="1">
        <v>956200129</v>
      </c>
      <c r="C1303" s="1" t="str">
        <f>"تخليه- خراسان رضوي-جغتاي-چهارکيلومتر بعداز روستاي آزادوار-کارخانه  ره يکتا"</f>
        <v>تخليه- خراسان رضوي-جغتاي-چهارکيلومتر بعداز روستاي آزادوار-کارخانه  ره يکتا</v>
      </c>
      <c r="D1303" s="1">
        <v>8861</v>
      </c>
      <c r="E1303" s="1">
        <v>147980</v>
      </c>
      <c r="F1303" s="1">
        <v>95</v>
      </c>
      <c r="G1303" s="1">
        <v>1020</v>
      </c>
      <c r="H1303" s="1" t="str">
        <f>"95/10/11"</f>
        <v>95/10/11</v>
      </c>
      <c r="I1303" s="1" t="str">
        <f t="shared" si="324"/>
        <v>كيلوگرم</v>
      </c>
      <c r="J1303" s="1" t="str">
        <f>"0000000076"</f>
        <v>0000000076</v>
      </c>
      <c r="K1303" s="1" t="str">
        <f>"قير 60/70 - فله"</f>
        <v>قير 60/70 - فله</v>
      </c>
      <c r="L1303" s="1">
        <v>100</v>
      </c>
      <c r="M1303" s="1" t="str">
        <f t="shared" si="330"/>
        <v>مخازن قير اصفهان</v>
      </c>
      <c r="N1303" s="1">
        <v>9662</v>
      </c>
      <c r="O1303" s="1">
        <v>50033232</v>
      </c>
      <c r="P1303" s="1" t="str">
        <f>"  ره يكتا"</f>
        <v xml:space="preserve">  ره يكتا</v>
      </c>
      <c r="Q1303" s="1">
        <v>62</v>
      </c>
      <c r="R1303" s="1" t="str">
        <f>"فروش داخلي - سازمان بنيادمسكن انقلاب اسلامي"</f>
        <v>فروش داخلي - سازمان بنيادمسكن انقلاب اسلامي</v>
      </c>
      <c r="S1303" s="1" t="str">
        <f t="shared" si="325"/>
        <v>قرارداد فروش</v>
      </c>
      <c r="T1303" s="1" t="str">
        <f t="shared" si="326"/>
        <v>ندارد</v>
      </c>
      <c r="U1303" s="1" t="str">
        <f>"افشار محسن(1841018)"</f>
        <v>افشار محسن(1841018)</v>
      </c>
      <c r="V1303" s="1">
        <v>956200129</v>
      </c>
      <c r="W1303" s="1">
        <v>956200129</v>
      </c>
      <c r="X1303" s="1" t="str">
        <f>"1395456107"</f>
        <v>1395456107</v>
      </c>
      <c r="Y1303" s="1" t="str">
        <f>"95/10/11"</f>
        <v>95/10/11</v>
      </c>
      <c r="Z1303" s="1" t="str">
        <f>"42769/د"</f>
        <v>42769/د</v>
      </c>
      <c r="AA1303" s="1" t="str">
        <f>"بنيادمسكن انقلاب اسلامي"</f>
        <v>بنيادمسكن انقلاب اسلامي</v>
      </c>
      <c r="AB1303" s="1" t="str">
        <f>"95/10/08"</f>
        <v>95/10/08</v>
      </c>
      <c r="AC1303" s="1" t="str">
        <f>"خراسان رضوي"</f>
        <v>خراسان رضوي</v>
      </c>
      <c r="AD1303" s="1" t="str">
        <f>"95/10/11"</f>
        <v>95/10/11</v>
      </c>
      <c r="AE1303" s="1" t="str">
        <f>"اختتام"</f>
        <v>اختتام</v>
      </c>
      <c r="AF1303" s="1" t="str">
        <f>""</f>
        <v/>
      </c>
      <c r="AG1303" s="1" t="str">
        <f>""</f>
        <v/>
      </c>
      <c r="AH1303" s="1" t="str">
        <f>""</f>
        <v/>
      </c>
      <c r="AI1303" s="1" t="str">
        <f>""</f>
        <v/>
      </c>
      <c r="AJ1303" s="1" t="str">
        <f>""</f>
        <v/>
      </c>
      <c r="AK1303" s="1" t="str">
        <f>""</f>
        <v/>
      </c>
    </row>
    <row r="1304" spans="1:37" x14ac:dyDescent="0.2">
      <c r="A1304" s="1">
        <v>570000</v>
      </c>
      <c r="B1304" s="1">
        <v>951100021</v>
      </c>
      <c r="C1304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04" s="1">
        <v>5200</v>
      </c>
      <c r="E1304" s="1">
        <v>570000</v>
      </c>
      <c r="F1304" s="1">
        <v>95</v>
      </c>
      <c r="G1304" s="1">
        <v>0</v>
      </c>
      <c r="H1304" s="1" t="str">
        <f>"95/01/31"</f>
        <v>95/01/31</v>
      </c>
      <c r="I1304" s="1" t="str">
        <f t="shared" si="324"/>
        <v>كيلوگرم</v>
      </c>
      <c r="J1304" s="1" t="str">
        <f>"1000000002"</f>
        <v>1000000002</v>
      </c>
      <c r="K1304" s="1" t="str">
        <f>"قير 85/100 - فله"</f>
        <v>قير 85/100 - فله</v>
      </c>
      <c r="L1304" s="1">
        <v>100</v>
      </c>
      <c r="M1304" s="1" t="str">
        <f t="shared" si="330"/>
        <v>مخازن قير اصفهان</v>
      </c>
      <c r="N1304" s="1">
        <v>7047</v>
      </c>
      <c r="O1304" s="1">
        <v>50030602</v>
      </c>
      <c r="P1304" s="1" t="str">
        <f>"  شهرداري شهركرد"</f>
        <v xml:space="preserve">  شهرداري شهركرد</v>
      </c>
      <c r="Q1304" s="1">
        <v>11</v>
      </c>
      <c r="R1304" s="1" t="str">
        <f>"فروش داخلي تهران - بورس"</f>
        <v>فروش داخلي تهران - بورس</v>
      </c>
      <c r="S1304" s="1" t="str">
        <f t="shared" si="325"/>
        <v>قرارداد فروش</v>
      </c>
      <c r="T1304" s="1" t="str">
        <f t="shared" si="326"/>
        <v>ندارد</v>
      </c>
      <c r="U1304" s="1" t="str">
        <f>"مظلوم فريبرز(1008ج89)"</f>
        <v>مظلوم فريبرز(1008ج89)</v>
      </c>
      <c r="V1304" s="1">
        <v>951100021</v>
      </c>
      <c r="W1304" s="1">
        <v>951100021</v>
      </c>
      <c r="X1304" s="1" t="str">
        <f>"1395399735"</f>
        <v>1395399735</v>
      </c>
      <c r="Y1304" s="1" t="str">
        <f>"95/01/31"</f>
        <v>95/01/31</v>
      </c>
      <c r="Z1304" s="1" t="str">
        <f>"95-34224"</f>
        <v>95-34224</v>
      </c>
      <c r="AA1304" s="1" t="str">
        <f t="shared" ref="AA1304:AA1309" si="331">"شهرداريها"</f>
        <v>شهرداريها</v>
      </c>
      <c r="AB1304" s="1" t="str">
        <f>"95/01/30"</f>
        <v>95/01/30</v>
      </c>
      <c r="AC1304" s="1" t="str">
        <f>"استان چهارمحال بختياري"</f>
        <v>استان چهارمحال بختياري</v>
      </c>
      <c r="AD1304" s="1" t="str">
        <f>"95/01/25"</f>
        <v>95/01/25</v>
      </c>
      <c r="AE1304" s="1" t="str">
        <f>"تاييدشده"</f>
        <v>تاييدشده</v>
      </c>
      <c r="AF1304" s="1" t="str">
        <f>""</f>
        <v/>
      </c>
      <c r="AG1304" s="1" t="str">
        <f>""</f>
        <v/>
      </c>
      <c r="AH1304" s="1" t="str">
        <f>""</f>
        <v/>
      </c>
      <c r="AI1304" s="1" t="str">
        <f>""</f>
        <v/>
      </c>
      <c r="AJ1304" s="1" t="str">
        <f>""</f>
        <v/>
      </c>
      <c r="AK1304" s="1" t="str">
        <f>""</f>
        <v/>
      </c>
    </row>
    <row r="1305" spans="1:37" x14ac:dyDescent="0.2">
      <c r="A1305" s="1">
        <v>103000</v>
      </c>
      <c r="B1305" s="1">
        <v>952000090</v>
      </c>
      <c r="C1305" s="1" t="str">
        <f>"تخليه -اصفهان -گلپايگان -5كيلومتري جاده خوانسار"</f>
        <v>تخليه -اصفهان -گلپايگان -5كيلومتري جاده خوانسار</v>
      </c>
      <c r="D1305" s="1">
        <v>6876</v>
      </c>
      <c r="E1305" s="1">
        <v>101120</v>
      </c>
      <c r="F1305" s="1">
        <v>95</v>
      </c>
      <c r="G1305" s="1">
        <v>1880</v>
      </c>
      <c r="H1305" s="1" t="str">
        <f>"95/06/23"</f>
        <v>95/06/23</v>
      </c>
      <c r="I1305" s="1" t="str">
        <f t="shared" si="324"/>
        <v>كيلوگرم</v>
      </c>
      <c r="J1305" s="1" t="str">
        <f>"0000000076"</f>
        <v>0000000076</v>
      </c>
      <c r="K1305" s="1" t="str">
        <f>"قير 60/70 - فله"</f>
        <v>قير 60/70 - فله</v>
      </c>
      <c r="L1305" s="1">
        <v>100</v>
      </c>
      <c r="M1305" s="1" t="str">
        <f t="shared" si="330"/>
        <v>مخازن قير اصفهان</v>
      </c>
      <c r="N1305" s="1">
        <v>10705</v>
      </c>
      <c r="O1305" s="1">
        <v>50031861</v>
      </c>
      <c r="P1305" s="1" t="str">
        <f>"  شهرداري گوگد"</f>
        <v xml:space="preserve">  شهرداري گوگد</v>
      </c>
      <c r="Q1305" s="1">
        <v>20</v>
      </c>
      <c r="R1305" s="1" t="str">
        <f>"فروش داخلي - سازمان شهرداري ها و دهياري هاي كشور"</f>
        <v>فروش داخلي - سازمان شهرداري ها و دهياري هاي كشور</v>
      </c>
      <c r="S1305" s="1" t="str">
        <f t="shared" si="325"/>
        <v>قرارداد فروش</v>
      </c>
      <c r="T1305" s="1" t="str">
        <f t="shared" si="326"/>
        <v>ندارد</v>
      </c>
      <c r="U1305" s="1" t="str">
        <f>"شهبازي محمدرضا(1029ج89)"</f>
        <v>شهبازي محمدرضا(1029ج89)</v>
      </c>
      <c r="V1305" s="1">
        <v>952000090</v>
      </c>
      <c r="W1305" s="1">
        <v>952000090</v>
      </c>
      <c r="X1305" s="1" t="str">
        <f>"1395430858"</f>
        <v>1395430858</v>
      </c>
      <c r="Y1305" s="1" t="str">
        <f>"95/06/23"</f>
        <v>95/06/23</v>
      </c>
      <c r="Z1305" s="1" t="str">
        <f>"27785"</f>
        <v>27785</v>
      </c>
      <c r="AA1305" s="1" t="str">
        <f t="shared" si="331"/>
        <v>شهرداريها</v>
      </c>
      <c r="AB1305" s="1" t="str">
        <f>"95/06/10"</f>
        <v>95/06/10</v>
      </c>
      <c r="AC1305" s="1" t="str">
        <f>"استان اصفهان"</f>
        <v>استان اصفهان</v>
      </c>
      <c r="AD1305" s="1" t="str">
        <f>"95/06/23"</f>
        <v>95/06/23</v>
      </c>
      <c r="AE1305" s="1" t="str">
        <f t="shared" ref="AE1305:AE1326" si="332">"اختتام"</f>
        <v>اختتام</v>
      </c>
      <c r="AF1305" s="1" t="str">
        <f>""</f>
        <v/>
      </c>
      <c r="AG1305" s="1" t="str">
        <f>""</f>
        <v/>
      </c>
      <c r="AH1305" s="1" t="str">
        <f>""</f>
        <v/>
      </c>
      <c r="AI1305" s="1" t="str">
        <f>""</f>
        <v/>
      </c>
      <c r="AJ1305" s="1" t="str">
        <f>""</f>
        <v/>
      </c>
      <c r="AK1305" s="1" t="str">
        <f>""</f>
        <v/>
      </c>
    </row>
    <row r="1306" spans="1:37" x14ac:dyDescent="0.2">
      <c r="A1306" s="1">
        <v>66000</v>
      </c>
      <c r="B1306" s="1">
        <v>952000046</v>
      </c>
      <c r="C1306" s="1" t="str">
        <f>"تخليه -اصفهان -جاده قمصركيلومتر17-كارخانه بتن آسفالت مهر"</f>
        <v>تخليه -اصفهان -جاده قمصركيلومتر17-كارخانه بتن آسفالت مهر</v>
      </c>
      <c r="D1306" s="1">
        <v>6876</v>
      </c>
      <c r="E1306" s="1">
        <v>65740</v>
      </c>
      <c r="F1306" s="1">
        <v>95</v>
      </c>
      <c r="G1306" s="1">
        <v>260</v>
      </c>
      <c r="H1306" s="1" t="str">
        <f>"95/06/07"</f>
        <v>95/06/07</v>
      </c>
      <c r="I1306" s="1" t="str">
        <f t="shared" si="324"/>
        <v>كيلوگرم</v>
      </c>
      <c r="J1306" s="1" t="str">
        <f>"0000000076"</f>
        <v>0000000076</v>
      </c>
      <c r="K1306" s="1" t="str">
        <f>"قير 60/70 - فله"</f>
        <v>قير 60/70 - فله</v>
      </c>
      <c r="L1306" s="1">
        <v>100</v>
      </c>
      <c r="M1306" s="1" t="str">
        <f t="shared" si="330"/>
        <v>مخازن قير اصفهان</v>
      </c>
      <c r="N1306" s="1">
        <v>10708</v>
      </c>
      <c r="O1306" s="1">
        <v>50031692</v>
      </c>
      <c r="P1306" s="1" t="str">
        <f>"  شهرداري قمصر"</f>
        <v xml:space="preserve">  شهرداري قمصر</v>
      </c>
      <c r="Q1306" s="1">
        <v>20</v>
      </c>
      <c r="R1306" s="1" t="str">
        <f>"فروش داخلي - سازمان شهرداري ها و دهياري هاي كشور"</f>
        <v>فروش داخلي - سازمان شهرداري ها و دهياري هاي كشور</v>
      </c>
      <c r="S1306" s="1" t="str">
        <f t="shared" si="325"/>
        <v>قرارداد فروش</v>
      </c>
      <c r="T1306" s="1" t="str">
        <f t="shared" si="326"/>
        <v>ندارد</v>
      </c>
      <c r="U1306" s="1" t="str">
        <f>"شهبازي محمدرضا(1029ج89)"</f>
        <v>شهبازي محمدرضا(1029ج89)</v>
      </c>
      <c r="V1306" s="1">
        <v>952000046</v>
      </c>
      <c r="W1306" s="1">
        <v>952000046</v>
      </c>
      <c r="X1306" s="1" t="str">
        <f>"1395426944"</f>
        <v>1395426944</v>
      </c>
      <c r="Y1306" s="1" t="str">
        <f>"95/06/07"</f>
        <v>95/06/07</v>
      </c>
      <c r="Z1306" s="1" t="str">
        <f>"22692"</f>
        <v>22692</v>
      </c>
      <c r="AA1306" s="1" t="str">
        <f t="shared" si="331"/>
        <v>شهرداريها</v>
      </c>
      <c r="AB1306" s="1" t="str">
        <f>"95/05/20"</f>
        <v>95/05/20</v>
      </c>
      <c r="AC1306" s="1" t="str">
        <f>"استان اصفهان"</f>
        <v>استان اصفهان</v>
      </c>
      <c r="AD1306" s="1" t="str">
        <f>"95/06/06"</f>
        <v>95/06/06</v>
      </c>
      <c r="AE1306" s="1" t="str">
        <f t="shared" si="332"/>
        <v>اختتام</v>
      </c>
      <c r="AF1306" s="1" t="str">
        <f>""</f>
        <v/>
      </c>
      <c r="AG1306" s="1" t="str">
        <f>""</f>
        <v/>
      </c>
      <c r="AH1306" s="1" t="str">
        <f>""</f>
        <v/>
      </c>
      <c r="AI1306" s="1" t="str">
        <f>""</f>
        <v/>
      </c>
      <c r="AJ1306" s="1" t="str">
        <f>""</f>
        <v/>
      </c>
      <c r="AK1306" s="1" t="str">
        <f>""</f>
        <v/>
      </c>
    </row>
    <row r="1307" spans="1:37" x14ac:dyDescent="0.2">
      <c r="A1307" s="1">
        <v>66000</v>
      </c>
      <c r="B1307" s="1">
        <v>952000116</v>
      </c>
      <c r="C1307" s="1" t="str">
        <f>"تخليه - اصفهان-جاده سميرم شهرضا 25 کيلومتري سميرم جنب شن شوي نادري کارخانه آسفالت سميرم"</f>
        <v>تخليه - اصفهان-جاده سميرم شهرضا 25 کيلومتري سميرم جنب شن شوي نادري کارخانه آسفالت سميرم</v>
      </c>
      <c r="D1307" s="1">
        <v>6976</v>
      </c>
      <c r="E1307" s="1">
        <v>58220</v>
      </c>
      <c r="F1307" s="1">
        <v>95</v>
      </c>
      <c r="G1307" s="1">
        <v>7780</v>
      </c>
      <c r="H1307" s="1" t="str">
        <f>"95/07/06"</f>
        <v>95/07/06</v>
      </c>
      <c r="I1307" s="1" t="str">
        <f t="shared" si="324"/>
        <v>كيلوگرم</v>
      </c>
      <c r="J1307" s="1" t="str">
        <f>"0000000076"</f>
        <v>0000000076</v>
      </c>
      <c r="K1307" s="1" t="str">
        <f>"قير 60/70 - فله"</f>
        <v>قير 60/70 - فله</v>
      </c>
      <c r="L1307" s="1">
        <v>100</v>
      </c>
      <c r="M1307" s="1" t="str">
        <f t="shared" si="330"/>
        <v>مخازن قير اصفهان</v>
      </c>
      <c r="N1307" s="1">
        <v>10716</v>
      </c>
      <c r="O1307" s="1">
        <v>50032008</v>
      </c>
      <c r="P1307" s="1" t="str">
        <f>"  شهرداري كمه"</f>
        <v xml:space="preserve">  شهرداري كمه</v>
      </c>
      <c r="Q1307" s="1">
        <v>20</v>
      </c>
      <c r="R1307" s="1" t="str">
        <f>"فروش داخلي - سازمان شهرداري ها و دهياري هاي كشور"</f>
        <v>فروش داخلي - سازمان شهرداري ها و دهياري هاي كشور</v>
      </c>
      <c r="S1307" s="1" t="str">
        <f t="shared" si="325"/>
        <v>قرارداد فروش</v>
      </c>
      <c r="T1307" s="1" t="str">
        <f t="shared" si="326"/>
        <v>ندارد</v>
      </c>
      <c r="U1307" s="1" t="str">
        <f>"معماريان سعيد(1004ج89)"</f>
        <v>معماريان سعيد(1004ج89)</v>
      </c>
      <c r="V1307" s="1">
        <v>952000116</v>
      </c>
      <c r="W1307" s="1">
        <v>952000116</v>
      </c>
      <c r="X1307" s="1" t="str">
        <f>"1395434112"</f>
        <v>1395434112</v>
      </c>
      <c r="Y1307" s="1" t="str">
        <f>"95/07/06"</f>
        <v>95/07/06</v>
      </c>
      <c r="Z1307" s="1" t="str">
        <f>"27739"</f>
        <v>27739</v>
      </c>
      <c r="AA1307" s="1" t="str">
        <f t="shared" si="331"/>
        <v>شهرداريها</v>
      </c>
      <c r="AB1307" s="1" t="str">
        <f>"95/06/10"</f>
        <v>95/06/10</v>
      </c>
      <c r="AC1307" s="1" t="str">
        <f>"استان اصفهان"</f>
        <v>استان اصفهان</v>
      </c>
      <c r="AD1307" s="1" t="str">
        <f>"95/07/06"</f>
        <v>95/07/06</v>
      </c>
      <c r="AE1307" s="1" t="str">
        <f t="shared" si="332"/>
        <v>اختتام</v>
      </c>
      <c r="AF1307" s="1" t="str">
        <f>""</f>
        <v/>
      </c>
      <c r="AG1307" s="1" t="str">
        <f>""</f>
        <v/>
      </c>
      <c r="AH1307" s="1" t="str">
        <f>""</f>
        <v/>
      </c>
      <c r="AI1307" s="1" t="str">
        <f>""</f>
        <v/>
      </c>
      <c r="AJ1307" s="1" t="str">
        <f>""</f>
        <v/>
      </c>
      <c r="AK1307" s="1" t="str">
        <f>""</f>
        <v/>
      </c>
    </row>
    <row r="1308" spans="1:37" x14ac:dyDescent="0.2">
      <c r="A1308" s="1">
        <v>149000</v>
      </c>
      <c r="B1308" s="1">
        <v>952000012</v>
      </c>
      <c r="C1308" s="1" t="str">
        <f>"تخليه چهارمحال وبختياري فارسان گوجان كيلومتر2جاده بيدگل كارخانه آسفالت رضايي"</f>
        <v>تخليه چهارمحال وبختياري فارسان گوجان كيلومتر2جاده بيدگل كارخانه آسفالت رضايي</v>
      </c>
      <c r="D1308" s="1">
        <v>6426</v>
      </c>
      <c r="E1308" s="1">
        <v>148220</v>
      </c>
      <c r="F1308" s="1">
        <v>95</v>
      </c>
      <c r="G1308" s="1">
        <v>780</v>
      </c>
      <c r="H1308" s="1" t="str">
        <f>"95/05/25"</f>
        <v>95/05/25</v>
      </c>
      <c r="I1308" s="1" t="str">
        <f t="shared" si="324"/>
        <v>كيلوگرم</v>
      </c>
      <c r="J1308" s="1" t="str">
        <f>"1000000002"</f>
        <v>1000000002</v>
      </c>
      <c r="K1308" s="1" t="str">
        <f>"قير 85/100 - فله"</f>
        <v>قير 85/100 - فله</v>
      </c>
      <c r="L1308" s="1">
        <v>100</v>
      </c>
      <c r="M1308" s="1" t="str">
        <f t="shared" si="330"/>
        <v>مخازن قير اصفهان</v>
      </c>
      <c r="N1308" s="1">
        <v>7191</v>
      </c>
      <c r="O1308" s="1">
        <v>50031549</v>
      </c>
      <c r="P1308" s="1" t="str">
        <f>"  شهرداري فارسان"</f>
        <v xml:space="preserve">  شهرداري فارسان</v>
      </c>
      <c r="Q1308" s="1">
        <v>20</v>
      </c>
      <c r="R1308" s="1" t="str">
        <f>"فروش داخلي - سازمان شهرداري ها و دهياري هاي كشور"</f>
        <v>فروش داخلي - سازمان شهرداري ها و دهياري هاي كشور</v>
      </c>
      <c r="S1308" s="1" t="str">
        <f t="shared" si="325"/>
        <v>قرارداد فروش</v>
      </c>
      <c r="T1308" s="1" t="str">
        <f t="shared" si="326"/>
        <v>ندارد</v>
      </c>
      <c r="U1308" s="1" t="str">
        <f>"سيفي پور گودرز(1019ج89)"</f>
        <v>سيفي پور گودرز(1019ج89)</v>
      </c>
      <c r="V1308" s="1">
        <v>952000012</v>
      </c>
      <c r="W1308" s="1">
        <v>952000012</v>
      </c>
      <c r="X1308" s="1" t="str">
        <f>"139542681"</f>
        <v>139542681</v>
      </c>
      <c r="Y1308" s="1" t="str">
        <f>"95/05/25"</f>
        <v>95/05/25</v>
      </c>
      <c r="Z1308" s="1" t="str">
        <f>"18505"</f>
        <v>18505</v>
      </c>
      <c r="AA1308" s="1" t="str">
        <f t="shared" si="331"/>
        <v>شهرداريها</v>
      </c>
      <c r="AB1308" s="1" t="str">
        <f>"95/05/02"</f>
        <v>95/05/02</v>
      </c>
      <c r="AC1308" s="1" t="str">
        <f>"استان چهارمحال بختياري"</f>
        <v>استان چهارمحال بختياري</v>
      </c>
      <c r="AD1308" s="1" t="str">
        <f>"95/05/24"</f>
        <v>95/05/24</v>
      </c>
      <c r="AE1308" s="1" t="str">
        <f t="shared" si="332"/>
        <v>اختتام</v>
      </c>
      <c r="AF1308" s="1" t="str">
        <f>""</f>
        <v/>
      </c>
      <c r="AG1308" s="1" t="str">
        <f>""</f>
        <v/>
      </c>
      <c r="AH1308" s="1" t="str">
        <f>""</f>
        <v/>
      </c>
      <c r="AI1308" s="1" t="str">
        <f>""</f>
        <v/>
      </c>
      <c r="AJ1308" s="1" t="str">
        <f>""</f>
        <v/>
      </c>
      <c r="AK1308" s="1" t="str">
        <f>""</f>
        <v/>
      </c>
    </row>
    <row r="1309" spans="1:37" x14ac:dyDescent="0.2">
      <c r="A1309" s="1">
        <v>149000</v>
      </c>
      <c r="B1309" s="1">
        <v>952000218</v>
      </c>
      <c r="C1309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1309" s="1">
        <v>8023</v>
      </c>
      <c r="E1309" s="1">
        <v>148300</v>
      </c>
      <c r="F1309" s="1">
        <v>95</v>
      </c>
      <c r="G1309" s="1">
        <v>700</v>
      </c>
      <c r="H1309" s="1" t="str">
        <f>"95/08/17"</f>
        <v>95/08/17</v>
      </c>
      <c r="I1309" s="1" t="str">
        <f t="shared" si="324"/>
        <v>كيلوگرم</v>
      </c>
      <c r="J1309" s="1" t="str">
        <f>"1000000002"</f>
        <v>1000000002</v>
      </c>
      <c r="K1309" s="1" t="str">
        <f>"قير 85/100 - فله"</f>
        <v>قير 85/100 - فله</v>
      </c>
      <c r="L1309" s="1">
        <v>100</v>
      </c>
      <c r="M1309" s="1" t="str">
        <f t="shared" si="330"/>
        <v>مخازن قير اصفهان</v>
      </c>
      <c r="N1309" s="1">
        <v>7191</v>
      </c>
      <c r="O1309" s="1">
        <v>50032544</v>
      </c>
      <c r="P1309" s="1" t="str">
        <f>"  شهرداري فارسان"</f>
        <v xml:space="preserve">  شهرداري فارسان</v>
      </c>
      <c r="Q1309" s="1">
        <v>20</v>
      </c>
      <c r="R1309" s="1" t="str">
        <f>"فروش داخلي - سازمان شهرداري ها و دهياري هاي كشور"</f>
        <v>فروش داخلي - سازمان شهرداري ها و دهياري هاي كشور</v>
      </c>
      <c r="S1309" s="1" t="str">
        <f t="shared" si="325"/>
        <v>قرارداد فروش</v>
      </c>
      <c r="T1309" s="1" t="str">
        <f t="shared" si="326"/>
        <v>ندارد</v>
      </c>
      <c r="U1309" s="1" t="str">
        <f>"سيفي پور گودرز(1019ج89)"</f>
        <v>سيفي پور گودرز(1019ج89)</v>
      </c>
      <c r="V1309" s="1">
        <v>952000218</v>
      </c>
      <c r="W1309" s="1">
        <v>952000218</v>
      </c>
      <c r="X1309" s="1" t="str">
        <f>"1395443388"</f>
        <v>1395443388</v>
      </c>
      <c r="Y1309" s="1" t="str">
        <f>"95/08/17"</f>
        <v>95/08/17</v>
      </c>
      <c r="Z1309" s="1" t="str">
        <f>"39711"</f>
        <v>39711</v>
      </c>
      <c r="AA1309" s="1" t="str">
        <f t="shared" si="331"/>
        <v>شهرداريها</v>
      </c>
      <c r="AB1309" s="1" t="str">
        <f>"95/08/12"</f>
        <v>95/08/12</v>
      </c>
      <c r="AC1309" s="1" t="str">
        <f>"استان چهارمحال بختياري"</f>
        <v>استان چهارمحال بختياري</v>
      </c>
      <c r="AD1309" s="1" t="str">
        <f>"95/08/17"</f>
        <v>95/08/17</v>
      </c>
      <c r="AE1309" s="1" t="str">
        <f t="shared" si="332"/>
        <v>اختتام</v>
      </c>
      <c r="AF1309" s="1" t="str">
        <f>""</f>
        <v/>
      </c>
      <c r="AG1309" s="1" t="str">
        <f>""</f>
        <v/>
      </c>
      <c r="AH1309" s="1" t="str">
        <f>""</f>
        <v/>
      </c>
      <c r="AI1309" s="1" t="str">
        <f>""</f>
        <v/>
      </c>
      <c r="AJ1309" s="1" t="str">
        <f>""</f>
        <v/>
      </c>
      <c r="AK1309" s="1" t="str">
        <f>""</f>
        <v/>
      </c>
    </row>
    <row r="1310" spans="1:37" x14ac:dyDescent="0.2">
      <c r="A1310" s="1">
        <v>114000</v>
      </c>
      <c r="B1310" s="1">
        <v>956200342</v>
      </c>
      <c r="C1310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310" s="1">
        <v>8848</v>
      </c>
      <c r="E1310" s="1">
        <v>114000</v>
      </c>
      <c r="F1310" s="1">
        <v>95</v>
      </c>
      <c r="G1310" s="1">
        <v>0</v>
      </c>
      <c r="H1310" s="1" t="str">
        <f>"95/12/22"</f>
        <v>95/12/22</v>
      </c>
      <c r="I1310" s="1" t="str">
        <f t="shared" si="324"/>
        <v>كيلوگرم</v>
      </c>
      <c r="J1310" s="1" t="str">
        <f t="shared" ref="J1310:J1316" si="333">"0000000076"</f>
        <v>0000000076</v>
      </c>
      <c r="K1310" s="1" t="str">
        <f t="shared" ref="K1310:K1316" si="334">"قير 60/70 - فله"</f>
        <v>قير 60/70 - فله</v>
      </c>
      <c r="L1310" s="1">
        <v>100</v>
      </c>
      <c r="M1310" s="1" t="str">
        <f t="shared" si="330"/>
        <v>مخازن قير اصفهان</v>
      </c>
      <c r="N1310" s="1">
        <v>10828</v>
      </c>
      <c r="O1310" s="1">
        <v>50034123</v>
      </c>
      <c r="P1310" s="1" t="str">
        <f>"  زرين گستربيستون"</f>
        <v xml:space="preserve">  زرين گستربيستون</v>
      </c>
      <c r="Q1310" s="1">
        <v>62</v>
      </c>
      <c r="R1310" s="1" t="str">
        <f>"فروش داخلي - سازمان بنيادمسكن انقلاب اسلامي"</f>
        <v>فروش داخلي - سازمان بنيادمسكن انقلاب اسلامي</v>
      </c>
      <c r="S1310" s="1" t="str">
        <f t="shared" si="325"/>
        <v>قرارداد فروش</v>
      </c>
      <c r="T1310" s="1" t="str">
        <f t="shared" si="326"/>
        <v>ندارد</v>
      </c>
      <c r="U1310" s="1" t="str">
        <f>"پيرالي مجيد(1045ج 94)"</f>
        <v>پيرالي مجيد(1045ج 94)</v>
      </c>
      <c r="V1310" s="1">
        <v>956200342</v>
      </c>
      <c r="W1310" s="1">
        <v>956200342</v>
      </c>
      <c r="X1310" s="1" t="str">
        <f>"1395470439"</f>
        <v>1395470439</v>
      </c>
      <c r="Y1310" s="1" t="str">
        <f>"95/12/22"</f>
        <v>95/12/22</v>
      </c>
      <c r="Z1310" s="1" t="str">
        <f>"56776/د"</f>
        <v>56776/د</v>
      </c>
      <c r="AA1310" s="1" t="str">
        <f>"بنيادمسكن انقلاب اسلامي"</f>
        <v>بنيادمسكن انقلاب اسلامي</v>
      </c>
      <c r="AB1310" s="1" t="str">
        <f>"95/12/21"</f>
        <v>95/12/21</v>
      </c>
      <c r="AC1310" s="1" t="str">
        <f>"استان كرمانشاه"</f>
        <v>استان كرمانشاه</v>
      </c>
      <c r="AD1310" s="1" t="str">
        <f>"95/12/22"</f>
        <v>95/12/22</v>
      </c>
      <c r="AE1310" s="1" t="str">
        <f t="shared" si="332"/>
        <v>اختتام</v>
      </c>
      <c r="AF1310" s="1" t="str">
        <f>""</f>
        <v/>
      </c>
      <c r="AG1310" s="1" t="str">
        <f>""</f>
        <v/>
      </c>
      <c r="AH1310" s="1" t="str">
        <f>""</f>
        <v/>
      </c>
      <c r="AI1310" s="1" t="str">
        <f>""</f>
        <v/>
      </c>
      <c r="AJ1310" s="1" t="str">
        <f>""</f>
        <v/>
      </c>
      <c r="AK1310" s="1" t="str">
        <f>""</f>
        <v/>
      </c>
    </row>
    <row r="1311" spans="1:37" x14ac:dyDescent="0.2">
      <c r="A1311" s="1">
        <v>88000</v>
      </c>
      <c r="B1311" s="1">
        <v>956200373</v>
      </c>
      <c r="C1311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311" s="1">
        <v>8848</v>
      </c>
      <c r="E1311" s="1">
        <v>88000</v>
      </c>
      <c r="F1311" s="1">
        <v>95</v>
      </c>
      <c r="G1311" s="1">
        <v>0</v>
      </c>
      <c r="H1311" s="1" t="str">
        <f>"95/12/23"</f>
        <v>95/12/23</v>
      </c>
      <c r="I1311" s="1" t="str">
        <f t="shared" si="324"/>
        <v>كيلوگرم</v>
      </c>
      <c r="J1311" s="1" t="str">
        <f t="shared" si="333"/>
        <v>0000000076</v>
      </c>
      <c r="K1311" s="1" t="str">
        <f t="shared" si="334"/>
        <v>قير 60/70 - فله</v>
      </c>
      <c r="L1311" s="1">
        <v>100</v>
      </c>
      <c r="M1311" s="1" t="str">
        <f t="shared" si="330"/>
        <v>مخازن قير اصفهان</v>
      </c>
      <c r="N1311" s="1">
        <v>10828</v>
      </c>
      <c r="O1311" s="1">
        <v>50034171</v>
      </c>
      <c r="P1311" s="1" t="str">
        <f>"  زرين گستربيستون"</f>
        <v xml:space="preserve">  زرين گستربيستون</v>
      </c>
      <c r="Q1311" s="1">
        <v>62</v>
      </c>
      <c r="R1311" s="1" t="str">
        <f>"فروش داخلي - سازمان بنيادمسكن انقلاب اسلامي"</f>
        <v>فروش داخلي - سازمان بنيادمسكن انقلاب اسلامي</v>
      </c>
      <c r="S1311" s="1" t="str">
        <f t="shared" si="325"/>
        <v>قرارداد فروش</v>
      </c>
      <c r="T1311" s="1" t="str">
        <f t="shared" si="326"/>
        <v>ندارد</v>
      </c>
      <c r="U1311" s="1" t="str">
        <f>"پيرالي مجيد(1045ج 94)"</f>
        <v>پيرالي مجيد(1045ج 94)</v>
      </c>
      <c r="V1311" s="1">
        <v>956200373</v>
      </c>
      <c r="W1311" s="1">
        <v>956200373</v>
      </c>
      <c r="X1311" s="1" t="str">
        <f>"1395470885"</f>
        <v>1395470885</v>
      </c>
      <c r="Y1311" s="1" t="str">
        <f>"95/12/23"</f>
        <v>95/12/23</v>
      </c>
      <c r="Z1311" s="1" t="str">
        <f>"57000/د"</f>
        <v>57000/د</v>
      </c>
      <c r="AA1311" s="1" t="str">
        <f>"بنيادمسكن انقلاب اسلامي"</f>
        <v>بنيادمسكن انقلاب اسلامي</v>
      </c>
      <c r="AB1311" s="1" t="str">
        <f>"95/12/22"</f>
        <v>95/12/22</v>
      </c>
      <c r="AC1311" s="1" t="str">
        <f>"استان كرمانشاه"</f>
        <v>استان كرمانشاه</v>
      </c>
      <c r="AD1311" s="1" t="str">
        <f>"95/12/23"</f>
        <v>95/12/23</v>
      </c>
      <c r="AE1311" s="1" t="str">
        <f t="shared" si="332"/>
        <v>اختتام</v>
      </c>
      <c r="AF1311" s="1" t="str">
        <f>""</f>
        <v/>
      </c>
      <c r="AG1311" s="1" t="str">
        <f>""</f>
        <v/>
      </c>
      <c r="AH1311" s="1" t="str">
        <f>""</f>
        <v/>
      </c>
      <c r="AI1311" s="1" t="str">
        <f>""</f>
        <v/>
      </c>
      <c r="AJ1311" s="1" t="str">
        <f>""</f>
        <v/>
      </c>
      <c r="AK1311" s="1" t="str">
        <f>""</f>
        <v/>
      </c>
    </row>
    <row r="1312" spans="1:37" x14ac:dyDescent="0.2">
      <c r="A1312" s="1">
        <v>135000</v>
      </c>
      <c r="B1312" s="1">
        <v>956200375</v>
      </c>
      <c r="C1312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312" s="1">
        <v>8848</v>
      </c>
      <c r="E1312" s="1">
        <v>135000</v>
      </c>
      <c r="F1312" s="1">
        <v>95</v>
      </c>
      <c r="G1312" s="1">
        <v>0</v>
      </c>
      <c r="H1312" s="1" t="str">
        <f>"95/12/23"</f>
        <v>95/12/23</v>
      </c>
      <c r="I1312" s="1" t="str">
        <f t="shared" si="324"/>
        <v>كيلوگرم</v>
      </c>
      <c r="J1312" s="1" t="str">
        <f t="shared" si="333"/>
        <v>0000000076</v>
      </c>
      <c r="K1312" s="1" t="str">
        <f t="shared" si="334"/>
        <v>قير 60/70 - فله</v>
      </c>
      <c r="L1312" s="1">
        <v>100</v>
      </c>
      <c r="M1312" s="1" t="str">
        <f t="shared" si="330"/>
        <v>مخازن قير اصفهان</v>
      </c>
      <c r="N1312" s="1">
        <v>10828</v>
      </c>
      <c r="O1312" s="1">
        <v>50034173</v>
      </c>
      <c r="P1312" s="1" t="str">
        <f>"  زرين گستربيستون"</f>
        <v xml:space="preserve">  زرين گستربيستون</v>
      </c>
      <c r="Q1312" s="1">
        <v>62</v>
      </c>
      <c r="R1312" s="1" t="str">
        <f>"فروش داخلي - سازمان بنيادمسكن انقلاب اسلامي"</f>
        <v>فروش داخلي - سازمان بنيادمسكن انقلاب اسلامي</v>
      </c>
      <c r="S1312" s="1" t="str">
        <f t="shared" si="325"/>
        <v>قرارداد فروش</v>
      </c>
      <c r="T1312" s="1" t="str">
        <f t="shared" si="326"/>
        <v>ندارد</v>
      </c>
      <c r="U1312" s="1" t="str">
        <f>"پيرالي مجيد(1045ج 94)"</f>
        <v>پيرالي مجيد(1045ج 94)</v>
      </c>
      <c r="V1312" s="1">
        <v>956200375</v>
      </c>
      <c r="W1312" s="1">
        <v>956200375</v>
      </c>
      <c r="X1312" s="1" t="str">
        <f>"1395470885"</f>
        <v>1395470885</v>
      </c>
      <c r="Y1312" s="1" t="str">
        <f>"95/12/23"</f>
        <v>95/12/23</v>
      </c>
      <c r="Z1312" s="1" t="str">
        <f>"56998/د"</f>
        <v>56998/د</v>
      </c>
      <c r="AA1312" s="1" t="str">
        <f>"بنيادمسكن انقلاب اسلامي"</f>
        <v>بنيادمسكن انقلاب اسلامي</v>
      </c>
      <c r="AB1312" s="1" t="str">
        <f>"95/12/22"</f>
        <v>95/12/22</v>
      </c>
      <c r="AC1312" s="1" t="str">
        <f>"استان كرمانشاه"</f>
        <v>استان كرمانشاه</v>
      </c>
      <c r="AD1312" s="1" t="str">
        <f>"95/12/23"</f>
        <v>95/12/23</v>
      </c>
      <c r="AE1312" s="1" t="str">
        <f t="shared" si="332"/>
        <v>اختتام</v>
      </c>
      <c r="AF1312" s="1" t="str">
        <f>""</f>
        <v/>
      </c>
      <c r="AG1312" s="1" t="str">
        <f>""</f>
        <v/>
      </c>
      <c r="AH1312" s="1" t="str">
        <f>""</f>
        <v/>
      </c>
      <c r="AI1312" s="1" t="str">
        <f>""</f>
        <v/>
      </c>
      <c r="AJ1312" s="1" t="str">
        <f>""</f>
        <v/>
      </c>
      <c r="AK1312" s="1" t="str">
        <f>""</f>
        <v/>
      </c>
    </row>
    <row r="1313" spans="1:37" x14ac:dyDescent="0.2">
      <c r="A1313" s="1">
        <v>98000</v>
      </c>
      <c r="B1313" s="1">
        <v>952000155</v>
      </c>
      <c r="C1313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1313" s="1">
        <v>6976</v>
      </c>
      <c r="E1313" s="1">
        <v>97580</v>
      </c>
      <c r="F1313" s="1">
        <v>95</v>
      </c>
      <c r="G1313" s="1">
        <v>420</v>
      </c>
      <c r="H1313" s="1" t="str">
        <f>"95/07/15"</f>
        <v>95/07/15</v>
      </c>
      <c r="I1313" s="1" t="str">
        <f t="shared" si="324"/>
        <v>كيلوگرم</v>
      </c>
      <c r="J1313" s="1" t="str">
        <f t="shared" si="333"/>
        <v>0000000076</v>
      </c>
      <c r="K1313" s="1" t="str">
        <f t="shared" si="334"/>
        <v>قير 60/70 - فله</v>
      </c>
      <c r="L1313" s="1">
        <v>100</v>
      </c>
      <c r="M1313" s="1" t="str">
        <f t="shared" si="330"/>
        <v>مخازن قير اصفهان</v>
      </c>
      <c r="N1313" s="1">
        <v>9692</v>
      </c>
      <c r="O1313" s="1">
        <v>50032115</v>
      </c>
      <c r="P1313" s="1" t="str">
        <f>"  شهرداري مروست"</f>
        <v xml:space="preserve">  شهرداري مروست</v>
      </c>
      <c r="Q1313" s="1">
        <v>20</v>
      </c>
      <c r="R1313" s="1" t="str">
        <f>"فروش داخلي - سازمان شهرداري ها و دهياري هاي كشور"</f>
        <v>فروش داخلي - سازمان شهرداري ها و دهياري هاي كشور</v>
      </c>
      <c r="S1313" s="1" t="str">
        <f t="shared" si="325"/>
        <v>قرارداد فروش</v>
      </c>
      <c r="T1313" s="1" t="str">
        <f t="shared" si="326"/>
        <v>ندارد</v>
      </c>
      <c r="U1313" s="1" t="str">
        <f>"قانعي محمدرضا(1011ج89)"</f>
        <v>قانعي محمدرضا(1011ج89)</v>
      </c>
      <c r="V1313" s="1">
        <v>952000155</v>
      </c>
      <c r="W1313" s="1">
        <v>952000155</v>
      </c>
      <c r="X1313" s="1" t="str">
        <f>"1395436486"</f>
        <v>1395436486</v>
      </c>
      <c r="Y1313" s="1" t="str">
        <f>"95/07/15"</f>
        <v>95/07/15</v>
      </c>
      <c r="Z1313" s="1" t="str">
        <f>"27915"</f>
        <v>27915</v>
      </c>
      <c r="AA1313" s="1" t="str">
        <f>"شهرداريها"</f>
        <v>شهرداريها</v>
      </c>
      <c r="AB1313" s="1" t="str">
        <f>"95/06/13"</f>
        <v>95/06/13</v>
      </c>
      <c r="AC1313" s="1" t="str">
        <f>"استان يزد"</f>
        <v>استان يزد</v>
      </c>
      <c r="AD1313" s="1" t="str">
        <f>"95/07/14"</f>
        <v>95/07/14</v>
      </c>
      <c r="AE1313" s="1" t="str">
        <f t="shared" si="332"/>
        <v>اختتام</v>
      </c>
      <c r="AF1313" s="1" t="str">
        <f>""</f>
        <v/>
      </c>
      <c r="AG1313" s="1" t="str">
        <f>""</f>
        <v/>
      </c>
      <c r="AH1313" s="1" t="str">
        <f>""</f>
        <v/>
      </c>
      <c r="AI1313" s="1" t="str">
        <f>""</f>
        <v/>
      </c>
      <c r="AJ1313" s="1" t="str">
        <f>""</f>
        <v/>
      </c>
      <c r="AK1313" s="1" t="str">
        <f>""</f>
        <v/>
      </c>
    </row>
    <row r="1314" spans="1:37" x14ac:dyDescent="0.2">
      <c r="A1314" s="1">
        <v>77000</v>
      </c>
      <c r="B1314" s="1">
        <v>952000315</v>
      </c>
      <c r="C1314" s="1" t="str">
        <f>"تخليه كهگيلويه وبويراحمدشهرستان ديشموك شهرداري ديشموك"</f>
        <v>تخليه كهگيلويه وبويراحمدشهرستان ديشموك شهرداري ديشموك</v>
      </c>
      <c r="D1314" s="1">
        <v>9361</v>
      </c>
      <c r="E1314" s="1">
        <v>75980</v>
      </c>
      <c r="F1314" s="1">
        <v>95</v>
      </c>
      <c r="G1314" s="1">
        <v>1020</v>
      </c>
      <c r="H1314" s="1" t="str">
        <f>"95/11/23"</f>
        <v>95/11/23</v>
      </c>
      <c r="I1314" s="1" t="str">
        <f t="shared" si="324"/>
        <v>كيلوگرم</v>
      </c>
      <c r="J1314" s="1" t="str">
        <f t="shared" si="333"/>
        <v>0000000076</v>
      </c>
      <c r="K1314" s="1" t="str">
        <f t="shared" si="334"/>
        <v>قير 60/70 - فله</v>
      </c>
      <c r="L1314" s="1">
        <v>100</v>
      </c>
      <c r="M1314" s="1" t="str">
        <f t="shared" si="330"/>
        <v>مخازن قير اصفهان</v>
      </c>
      <c r="N1314" s="1">
        <v>10898</v>
      </c>
      <c r="O1314" s="1">
        <v>50033672</v>
      </c>
      <c r="P1314" s="1" t="str">
        <f>"  شهرداري ديشموك"</f>
        <v xml:space="preserve">  شهرداري ديشموك</v>
      </c>
      <c r="Q1314" s="1">
        <v>20</v>
      </c>
      <c r="R1314" s="1" t="str">
        <f>"فروش داخلي - سازمان شهرداري ها و دهياري هاي كشور"</f>
        <v>فروش داخلي - سازمان شهرداري ها و دهياري هاي كشور</v>
      </c>
      <c r="S1314" s="1" t="str">
        <f t="shared" si="325"/>
        <v>قرارداد فروش</v>
      </c>
      <c r="T1314" s="1" t="str">
        <f t="shared" si="326"/>
        <v>ندارد</v>
      </c>
      <c r="U1314" s="1" t="str">
        <f>"عظيمي محمد(2842015)"</f>
        <v>عظيمي محمد(2842015)</v>
      </c>
      <c r="V1314" s="1">
        <v>952000315</v>
      </c>
      <c r="W1314" s="1">
        <v>952000315</v>
      </c>
      <c r="X1314" s="1" t="str">
        <f>"1395464401"</f>
        <v>1395464401</v>
      </c>
      <c r="Y1314" s="1" t="str">
        <f>"95/11/23"</f>
        <v>95/11/23</v>
      </c>
      <c r="Z1314" s="1" t="str">
        <f>"52435"</f>
        <v>52435</v>
      </c>
      <c r="AA1314" s="1" t="str">
        <f>"شهرداريها"</f>
        <v>شهرداريها</v>
      </c>
      <c r="AB1314" s="1" t="str">
        <f>"95/10/22"</f>
        <v>95/10/22</v>
      </c>
      <c r="AC1314" s="1" t="str">
        <f>"كهكيلويه و بوير احمد"</f>
        <v>كهكيلويه و بوير احمد</v>
      </c>
      <c r="AD1314" s="1" t="str">
        <f>"95/11/23"</f>
        <v>95/11/23</v>
      </c>
      <c r="AE1314" s="1" t="str">
        <f t="shared" si="332"/>
        <v>اختتام</v>
      </c>
      <c r="AF1314" s="1" t="str">
        <f>""</f>
        <v/>
      </c>
      <c r="AG1314" s="1" t="str">
        <f>""</f>
        <v/>
      </c>
      <c r="AH1314" s="1" t="str">
        <f>""</f>
        <v/>
      </c>
      <c r="AI1314" s="1" t="str">
        <f>""</f>
        <v/>
      </c>
      <c r="AJ1314" s="1" t="str">
        <f>""</f>
        <v/>
      </c>
      <c r="AK1314" s="1" t="str">
        <f>""</f>
        <v/>
      </c>
    </row>
    <row r="1315" spans="1:37" x14ac:dyDescent="0.2">
      <c r="A1315" s="1">
        <v>335000</v>
      </c>
      <c r="B1315" s="1">
        <v>956200045</v>
      </c>
      <c r="C1315" s="1" t="str">
        <f>"تخليه-ايلام-جاده ايلام- بدره -کارخانه آسفالت شرکت ايلام راه بان"</f>
        <v>تخليه-ايلام-جاده ايلام- بدره -کارخانه آسفالت شرکت ايلام راه بان</v>
      </c>
      <c r="D1315" s="1">
        <v>5950</v>
      </c>
      <c r="E1315" s="1">
        <v>333140</v>
      </c>
      <c r="F1315" s="1">
        <v>95</v>
      </c>
      <c r="G1315" s="1">
        <v>1860</v>
      </c>
      <c r="H1315" s="1" t="str">
        <f>"95/04/14"</f>
        <v>95/04/14</v>
      </c>
      <c r="I1315" s="1" t="str">
        <f t="shared" si="324"/>
        <v>كيلوگرم</v>
      </c>
      <c r="J1315" s="1" t="str">
        <f t="shared" si="333"/>
        <v>0000000076</v>
      </c>
      <c r="K1315" s="1" t="str">
        <f t="shared" si="334"/>
        <v>قير 60/70 - فله</v>
      </c>
      <c r="L1315" s="1">
        <v>100</v>
      </c>
      <c r="M1315" s="1" t="str">
        <f t="shared" si="330"/>
        <v>مخازن قير اصفهان</v>
      </c>
      <c r="N1315" s="1">
        <v>10942</v>
      </c>
      <c r="O1315" s="1">
        <v>50031189</v>
      </c>
      <c r="P1315" s="1" t="str">
        <f>"  سپهران سازه کبير کوه"</f>
        <v xml:space="preserve">  سپهران سازه کبير کوه</v>
      </c>
      <c r="Q1315" s="1">
        <v>62</v>
      </c>
      <c r="R1315" s="1" t="str">
        <f>"فروش داخلي - سازمان بنيادمسكن انقلاب اسلامي"</f>
        <v>فروش داخلي - سازمان بنيادمسكن انقلاب اسلامي</v>
      </c>
      <c r="S1315" s="1" t="str">
        <f t="shared" si="325"/>
        <v>قرارداد فروش</v>
      </c>
      <c r="T1315" s="1" t="str">
        <f t="shared" si="326"/>
        <v>ندارد</v>
      </c>
      <c r="U1315" s="1" t="str">
        <f>"عظيمي محمد(2842015)"</f>
        <v>عظيمي محمد(2842015)</v>
      </c>
      <c r="V1315" s="1">
        <v>956200045</v>
      </c>
      <c r="W1315" s="1">
        <v>956200045</v>
      </c>
      <c r="X1315" s="1" t="str">
        <f>"1395412854"</f>
        <v>1395412854</v>
      </c>
      <c r="Y1315" s="1" t="str">
        <f>"95/04/14"</f>
        <v>95/04/14</v>
      </c>
      <c r="Z1315" s="1" t="str">
        <f>"14223/د"</f>
        <v>14223/د</v>
      </c>
      <c r="AA1315" s="1" t="str">
        <f>"بنيادمسكن انقلاب اسلامي"</f>
        <v>بنيادمسكن انقلاب اسلامي</v>
      </c>
      <c r="AB1315" s="1" t="str">
        <f>"95/04/09"</f>
        <v>95/04/09</v>
      </c>
      <c r="AC1315" s="1" t="str">
        <f>"استان ايلام"</f>
        <v>استان ايلام</v>
      </c>
      <c r="AD1315" s="1" t="str">
        <f>"95/04/13"</f>
        <v>95/04/13</v>
      </c>
      <c r="AE1315" s="1" t="str">
        <f t="shared" si="332"/>
        <v>اختتام</v>
      </c>
      <c r="AF1315" s="1" t="str">
        <f>""</f>
        <v/>
      </c>
      <c r="AG1315" s="1" t="str">
        <f>""</f>
        <v/>
      </c>
      <c r="AH1315" s="1" t="str">
        <f>""</f>
        <v/>
      </c>
      <c r="AI1315" s="1" t="str">
        <f>""</f>
        <v/>
      </c>
      <c r="AJ1315" s="1" t="str">
        <f>""</f>
        <v/>
      </c>
      <c r="AK1315" s="1" t="str">
        <f>""</f>
        <v/>
      </c>
    </row>
    <row r="1316" spans="1:37" x14ac:dyDescent="0.2">
      <c r="A1316" s="1">
        <v>159000</v>
      </c>
      <c r="B1316" s="1">
        <v>952000342</v>
      </c>
      <c r="C1316" s="1" t="str">
        <f>"تخليه - اصفهان - خميني شهر - بالاتر از شهرک صنعتي برق الکترونيک کارخانه آسفالت"</f>
        <v>تخليه - اصفهان - خميني شهر - بالاتر از شهرک صنعتي برق الکترونيک کارخانه آسفالت</v>
      </c>
      <c r="D1316" s="1">
        <v>9361</v>
      </c>
      <c r="E1316" s="1">
        <v>158560</v>
      </c>
      <c r="F1316" s="1">
        <v>95</v>
      </c>
      <c r="G1316" s="1">
        <v>440</v>
      </c>
      <c r="H1316" s="1" t="str">
        <f>"95/11/24"</f>
        <v>95/11/24</v>
      </c>
      <c r="I1316" s="1" t="str">
        <f t="shared" si="324"/>
        <v>كيلوگرم</v>
      </c>
      <c r="J1316" s="1" t="str">
        <f t="shared" si="333"/>
        <v>0000000076</v>
      </c>
      <c r="K1316" s="1" t="str">
        <f t="shared" si="334"/>
        <v>قير 60/70 - فله</v>
      </c>
      <c r="L1316" s="1">
        <v>100</v>
      </c>
      <c r="M1316" s="1" t="str">
        <f t="shared" si="330"/>
        <v>مخازن قير اصفهان</v>
      </c>
      <c r="N1316" s="1">
        <v>10958</v>
      </c>
      <c r="O1316" s="1">
        <v>50033712</v>
      </c>
      <c r="P1316" s="1" t="str">
        <f>"  شهرداري دولت آباد اصفهان"</f>
        <v xml:space="preserve">  شهرداري دولت آباد اصفهان</v>
      </c>
      <c r="Q1316" s="1">
        <v>20</v>
      </c>
      <c r="R1316" s="1" t="str">
        <f>"فروش داخلي - سازمان شهرداري ها و دهياري هاي كشور"</f>
        <v>فروش داخلي - سازمان شهرداري ها و دهياري هاي كشور</v>
      </c>
      <c r="S1316" s="1" t="str">
        <f t="shared" si="325"/>
        <v>قرارداد فروش</v>
      </c>
      <c r="T1316" s="1" t="str">
        <f t="shared" si="326"/>
        <v>ندارد</v>
      </c>
      <c r="U1316" s="1" t="str">
        <f>"معماريان سعيد(1004ج89)"</f>
        <v>معماريان سعيد(1004ج89)</v>
      </c>
      <c r="V1316" s="1">
        <v>952000342</v>
      </c>
      <c r="W1316" s="1">
        <v>952000342</v>
      </c>
      <c r="X1316" s="1" t="str">
        <f>"1395464562"</f>
        <v>1395464562</v>
      </c>
      <c r="Y1316" s="1" t="str">
        <f>"95/11/24"</f>
        <v>95/11/24</v>
      </c>
      <c r="Z1316" s="1" t="str">
        <f>"27744"</f>
        <v>27744</v>
      </c>
      <c r="AA1316" s="1" t="str">
        <f>"شهرداريها"</f>
        <v>شهرداريها</v>
      </c>
      <c r="AB1316" s="1" t="str">
        <f>"95/06/10"</f>
        <v>95/06/10</v>
      </c>
      <c r="AC1316" s="1" t="str">
        <f>"استان اصفهان"</f>
        <v>استان اصفهان</v>
      </c>
      <c r="AD1316" s="1" t="str">
        <f>"95/11/24"</f>
        <v>95/11/24</v>
      </c>
      <c r="AE1316" s="1" t="str">
        <f t="shared" si="332"/>
        <v>اختتام</v>
      </c>
      <c r="AF1316" s="1" t="str">
        <f>""</f>
        <v/>
      </c>
      <c r="AG1316" s="1" t="str">
        <f>""</f>
        <v/>
      </c>
      <c r="AH1316" s="1" t="str">
        <f>""</f>
        <v/>
      </c>
      <c r="AI1316" s="1" t="str">
        <f>""</f>
        <v/>
      </c>
      <c r="AJ1316" s="1" t="str">
        <f>""</f>
        <v/>
      </c>
      <c r="AK1316" s="1" t="str">
        <f>""</f>
        <v/>
      </c>
    </row>
    <row r="1317" spans="1:37" x14ac:dyDescent="0.2">
      <c r="A1317" s="1">
        <v>77000</v>
      </c>
      <c r="B1317" s="1">
        <v>952000339</v>
      </c>
      <c r="C1317" s="1" t="str">
        <f>"تخليه : استان چهارمحال و بختياري شهرستان کيار جاده ايز شهرکرد جنب تونل ناغان کارخانه آسفالت اتحاد ناغان"</f>
        <v>تخليه : استان چهارمحال و بختياري شهرستان کيار جاده ايز شهرکرد جنب تونل ناغان کارخانه آسفالت اتحاد ناغان</v>
      </c>
      <c r="D1317" s="1">
        <v>9361</v>
      </c>
      <c r="E1317" s="1">
        <v>74960</v>
      </c>
      <c r="F1317" s="1">
        <v>95</v>
      </c>
      <c r="G1317" s="1">
        <v>2040</v>
      </c>
      <c r="H1317" s="1" t="str">
        <f>"95/11/24"</f>
        <v>95/11/24</v>
      </c>
      <c r="I1317" s="1" t="str">
        <f t="shared" si="324"/>
        <v>كيلوگرم</v>
      </c>
      <c r="J1317" s="1" t="str">
        <f>"1000000002"</f>
        <v>1000000002</v>
      </c>
      <c r="K1317" s="1" t="str">
        <f>"قير 85/100 - فله"</f>
        <v>قير 85/100 - فله</v>
      </c>
      <c r="L1317" s="1">
        <v>100</v>
      </c>
      <c r="M1317" s="1" t="str">
        <f t="shared" si="330"/>
        <v>مخازن قير اصفهان</v>
      </c>
      <c r="N1317" s="1">
        <v>7197</v>
      </c>
      <c r="O1317" s="1">
        <v>50033709</v>
      </c>
      <c r="P1317" s="1" t="str">
        <f>"  شهرداري گهرو"</f>
        <v xml:space="preserve">  شهرداري گهرو</v>
      </c>
      <c r="Q1317" s="1">
        <v>20</v>
      </c>
      <c r="R1317" s="1" t="str">
        <f>"فروش داخلي - سازمان شهرداري ها و دهياري هاي كشور"</f>
        <v>فروش داخلي - سازمان شهرداري ها و دهياري هاي كشور</v>
      </c>
      <c r="S1317" s="1" t="str">
        <f t="shared" si="325"/>
        <v>قرارداد فروش</v>
      </c>
      <c r="T1317" s="1" t="str">
        <f t="shared" si="326"/>
        <v>ندارد</v>
      </c>
      <c r="U1317" s="1" t="str">
        <f>"قره باغي مجيد(1871065)"</f>
        <v>قره باغي مجيد(1871065)</v>
      </c>
      <c r="V1317" s="1">
        <v>952000339</v>
      </c>
      <c r="W1317" s="1">
        <v>952000339</v>
      </c>
      <c r="X1317" s="1" t="str">
        <f>"1395464564"</f>
        <v>1395464564</v>
      </c>
      <c r="Y1317" s="1" t="str">
        <f>"95/11/24"</f>
        <v>95/11/24</v>
      </c>
      <c r="Z1317" s="1" t="str">
        <f>"43968"</f>
        <v>43968</v>
      </c>
      <c r="AA1317" s="1" t="str">
        <f>"شهرداريها"</f>
        <v>شهرداريها</v>
      </c>
      <c r="AB1317" s="1" t="str">
        <f>"95/09/06"</f>
        <v>95/09/06</v>
      </c>
      <c r="AC1317" s="1" t="str">
        <f>"استان چهارمحال بختياري"</f>
        <v>استان چهارمحال بختياري</v>
      </c>
      <c r="AD1317" s="1" t="str">
        <f>"95/11/24"</f>
        <v>95/11/24</v>
      </c>
      <c r="AE1317" s="1" t="str">
        <f t="shared" si="332"/>
        <v>اختتام</v>
      </c>
      <c r="AF1317" s="1" t="str">
        <f>""</f>
        <v/>
      </c>
      <c r="AG1317" s="1" t="str">
        <f>""</f>
        <v/>
      </c>
      <c r="AH1317" s="1" t="str">
        <f>""</f>
        <v/>
      </c>
      <c r="AI1317" s="1" t="str">
        <f>""</f>
        <v/>
      </c>
      <c r="AJ1317" s="1" t="str">
        <f>""</f>
        <v/>
      </c>
      <c r="AK1317" s="1" t="str">
        <f>""</f>
        <v/>
      </c>
    </row>
    <row r="1318" spans="1:37" x14ac:dyDescent="0.2">
      <c r="A1318" s="1">
        <v>150000</v>
      </c>
      <c r="B1318" s="1">
        <v>956200194</v>
      </c>
      <c r="C1318" s="1" t="str">
        <f>"تخليه-همدان کيلومتر54 همدان-رزن شرکت سراوک"</f>
        <v>تخليه-همدان کيلومتر54 همدان-رزن شرکت سراوک</v>
      </c>
      <c r="D1318" s="1">
        <v>9361</v>
      </c>
      <c r="E1318" s="1">
        <v>150000</v>
      </c>
      <c r="F1318" s="1">
        <v>95</v>
      </c>
      <c r="G1318" s="1">
        <v>0</v>
      </c>
      <c r="H1318" s="1" t="str">
        <f>"95/11/19"</f>
        <v>95/11/19</v>
      </c>
      <c r="I1318" s="1" t="str">
        <f t="shared" si="324"/>
        <v>كيلوگرم</v>
      </c>
      <c r="J1318" s="1" t="str">
        <f>"1000000002"</f>
        <v>1000000002</v>
      </c>
      <c r="K1318" s="1" t="str">
        <f>"قير 85/100 - فله"</f>
        <v>قير 85/100 - فله</v>
      </c>
      <c r="L1318" s="1">
        <v>100</v>
      </c>
      <c r="M1318" s="1" t="str">
        <f t="shared" si="330"/>
        <v>مخازن قير اصفهان</v>
      </c>
      <c r="N1318" s="1">
        <v>4013</v>
      </c>
      <c r="O1318" s="1">
        <v>50033627</v>
      </c>
      <c r="P1318" s="1" t="str">
        <f>"  ساختماني و راهسازي سراوك"</f>
        <v xml:space="preserve">  ساختماني و راهسازي سراوك</v>
      </c>
      <c r="Q1318" s="1">
        <v>62</v>
      </c>
      <c r="R1318" s="1" t="str">
        <f>"فروش داخلي - سازمان بنيادمسكن انقلاب اسلامي"</f>
        <v>فروش داخلي - سازمان بنيادمسكن انقلاب اسلامي</v>
      </c>
      <c r="S1318" s="1" t="str">
        <f t="shared" si="325"/>
        <v>قرارداد فروش</v>
      </c>
      <c r="T1318" s="1" t="str">
        <f t="shared" si="326"/>
        <v>ندارد</v>
      </c>
      <c r="U1318" s="1" t="str">
        <f>"حاجيلوئي علي اصغر(2842019)"</f>
        <v>حاجيلوئي علي اصغر(2842019)</v>
      </c>
      <c r="V1318" s="1">
        <v>956200194</v>
      </c>
      <c r="W1318" s="1">
        <v>956200194</v>
      </c>
      <c r="X1318" s="1" t="str">
        <f>"1395463366"</f>
        <v>1395463366</v>
      </c>
      <c r="Y1318" s="1" t="str">
        <f>"95/11/19"</f>
        <v>95/11/19</v>
      </c>
      <c r="Z1318" s="1" t="str">
        <f>"49879/د"</f>
        <v>49879/د</v>
      </c>
      <c r="AA1318" s="1" t="str">
        <f>"بنيادمسكن انقلاب اسلامي"</f>
        <v>بنيادمسكن انقلاب اسلامي</v>
      </c>
      <c r="AB1318" s="1" t="str">
        <f>"95/11/18"</f>
        <v>95/11/18</v>
      </c>
      <c r="AC1318" s="1" t="str">
        <f>"استان همدان"</f>
        <v>استان همدان</v>
      </c>
      <c r="AD1318" s="1" t="str">
        <f>"95/11/19"</f>
        <v>95/11/19</v>
      </c>
      <c r="AE1318" s="1" t="str">
        <f t="shared" si="332"/>
        <v>اختتام</v>
      </c>
      <c r="AF1318" s="1" t="str">
        <f>""</f>
        <v/>
      </c>
      <c r="AG1318" s="1" t="str">
        <f>""</f>
        <v/>
      </c>
      <c r="AH1318" s="1" t="str">
        <f>""</f>
        <v/>
      </c>
      <c r="AI1318" s="1" t="str">
        <f>""</f>
        <v/>
      </c>
      <c r="AJ1318" s="1" t="str">
        <f>""</f>
        <v/>
      </c>
      <c r="AK1318" s="1" t="str">
        <f>""</f>
        <v/>
      </c>
    </row>
    <row r="1319" spans="1:37" x14ac:dyDescent="0.2">
      <c r="A1319" s="1">
        <v>50000</v>
      </c>
      <c r="B1319" s="1">
        <v>956200318</v>
      </c>
      <c r="C1319" s="1" t="str">
        <f>"تخليه-همدان کيلومتر54 همدان-رزن شرکت سراوک"</f>
        <v>تخليه-همدان کيلومتر54 همدان-رزن شرکت سراوک</v>
      </c>
      <c r="D1319" s="1">
        <v>8848</v>
      </c>
      <c r="E1319" s="1">
        <v>50000</v>
      </c>
      <c r="F1319" s="1">
        <v>95</v>
      </c>
      <c r="G1319" s="1">
        <v>0</v>
      </c>
      <c r="H1319" s="1" t="str">
        <f>"95/12/11"</f>
        <v>95/12/11</v>
      </c>
      <c r="I1319" s="1" t="str">
        <f t="shared" si="324"/>
        <v>كيلوگرم</v>
      </c>
      <c r="J1319" s="1" t="str">
        <f>"1000000002"</f>
        <v>1000000002</v>
      </c>
      <c r="K1319" s="1" t="str">
        <f>"قير 85/100 - فله"</f>
        <v>قير 85/100 - فله</v>
      </c>
      <c r="L1319" s="1">
        <v>100</v>
      </c>
      <c r="M1319" s="1" t="str">
        <f t="shared" si="330"/>
        <v>مخازن قير اصفهان</v>
      </c>
      <c r="N1319" s="1">
        <v>4013</v>
      </c>
      <c r="O1319" s="1">
        <v>50033966</v>
      </c>
      <c r="P1319" s="1" t="str">
        <f>"  ساختماني و راهسازي سراوك"</f>
        <v xml:space="preserve">  ساختماني و راهسازي سراوك</v>
      </c>
      <c r="Q1319" s="1">
        <v>62</v>
      </c>
      <c r="R1319" s="1" t="str">
        <f>"فروش داخلي - سازمان بنيادمسكن انقلاب اسلامي"</f>
        <v>فروش داخلي - سازمان بنيادمسكن انقلاب اسلامي</v>
      </c>
      <c r="S1319" s="1" t="str">
        <f t="shared" si="325"/>
        <v>قرارداد فروش</v>
      </c>
      <c r="T1319" s="1" t="str">
        <f t="shared" si="326"/>
        <v>ندارد</v>
      </c>
      <c r="U1319" s="1" t="str">
        <f>"حاجيلوئي علي اصغر(2842019)"</f>
        <v>حاجيلوئي علي اصغر(2842019)</v>
      </c>
      <c r="V1319" s="1">
        <v>956200318</v>
      </c>
      <c r="W1319" s="1">
        <v>956200318</v>
      </c>
      <c r="X1319" s="1" t="str">
        <f>"1395468780"</f>
        <v>1395468780</v>
      </c>
      <c r="Y1319" s="1" t="str">
        <f>"95/12/11"</f>
        <v>95/12/11</v>
      </c>
      <c r="Z1319" s="1" t="str">
        <f>"54616/د"</f>
        <v>54616/د</v>
      </c>
      <c r="AA1319" s="1" t="str">
        <f>"بنيادمسكن انقلاب اسلامي"</f>
        <v>بنيادمسكن انقلاب اسلامي</v>
      </c>
      <c r="AB1319" s="1" t="str">
        <f>"95/12/10"</f>
        <v>95/12/10</v>
      </c>
      <c r="AC1319" s="1" t="str">
        <f>"استان همدان"</f>
        <v>استان همدان</v>
      </c>
      <c r="AD1319" s="1" t="str">
        <f>"95/12/11"</f>
        <v>95/12/11</v>
      </c>
      <c r="AE1319" s="1" t="str">
        <f t="shared" si="332"/>
        <v>اختتام</v>
      </c>
      <c r="AF1319" s="1" t="str">
        <f>""</f>
        <v/>
      </c>
      <c r="AG1319" s="1" t="str">
        <f>""</f>
        <v/>
      </c>
      <c r="AH1319" s="1" t="str">
        <f>""</f>
        <v/>
      </c>
      <c r="AI1319" s="1" t="str">
        <f>""</f>
        <v/>
      </c>
      <c r="AJ1319" s="1" t="str">
        <f>""</f>
        <v/>
      </c>
      <c r="AK1319" s="1" t="str">
        <f>""</f>
        <v/>
      </c>
    </row>
    <row r="1320" spans="1:37" x14ac:dyDescent="0.2">
      <c r="A1320" s="1">
        <v>50000</v>
      </c>
      <c r="B1320" s="1">
        <v>956200353</v>
      </c>
      <c r="C1320" s="1" t="str">
        <f>"تخليه-همدان کيلومتر54 همدان-رزن شرکت سراوک"</f>
        <v>تخليه-همدان کيلومتر54 همدان-رزن شرکت سراوک</v>
      </c>
      <c r="D1320" s="1">
        <v>8848</v>
      </c>
      <c r="E1320" s="1">
        <v>49920</v>
      </c>
      <c r="F1320" s="1">
        <v>95</v>
      </c>
      <c r="G1320" s="1">
        <v>80</v>
      </c>
      <c r="H1320" s="1" t="str">
        <f>"95/12/22"</f>
        <v>95/12/22</v>
      </c>
      <c r="I1320" s="1" t="str">
        <f t="shared" si="324"/>
        <v>كيلوگرم</v>
      </c>
      <c r="J1320" s="1" t="str">
        <f>"1000000002"</f>
        <v>1000000002</v>
      </c>
      <c r="K1320" s="1" t="str">
        <f>"قير 85/100 - فله"</f>
        <v>قير 85/100 - فله</v>
      </c>
      <c r="L1320" s="1">
        <v>100</v>
      </c>
      <c r="M1320" s="1" t="str">
        <f t="shared" si="330"/>
        <v>مخازن قير اصفهان</v>
      </c>
      <c r="N1320" s="1">
        <v>4013</v>
      </c>
      <c r="O1320" s="1">
        <v>50034135</v>
      </c>
      <c r="P1320" s="1" t="str">
        <f>"  ساختماني و راهسازي سراوك"</f>
        <v xml:space="preserve">  ساختماني و راهسازي سراوك</v>
      </c>
      <c r="Q1320" s="1">
        <v>62</v>
      </c>
      <c r="R1320" s="1" t="str">
        <f>"فروش داخلي - سازمان بنيادمسكن انقلاب اسلامي"</f>
        <v>فروش داخلي - سازمان بنيادمسكن انقلاب اسلامي</v>
      </c>
      <c r="S1320" s="1" t="str">
        <f t="shared" si="325"/>
        <v>قرارداد فروش</v>
      </c>
      <c r="T1320" s="1" t="str">
        <f t="shared" si="326"/>
        <v>ندارد</v>
      </c>
      <c r="U1320" s="1" t="str">
        <f>"حاجيلوئي علي اصغر(2842019)"</f>
        <v>حاجيلوئي علي اصغر(2842019)</v>
      </c>
      <c r="V1320" s="1">
        <v>956200353</v>
      </c>
      <c r="W1320" s="1">
        <v>956200353</v>
      </c>
      <c r="X1320" s="1" t="str">
        <f>"1395470441"</f>
        <v>1395470441</v>
      </c>
      <c r="Y1320" s="1" t="str">
        <f>"95/12/22"</f>
        <v>95/12/22</v>
      </c>
      <c r="Z1320" s="1" t="str">
        <f>"56736/د"</f>
        <v>56736/د</v>
      </c>
      <c r="AA1320" s="1" t="str">
        <f>"بنيادمسكن انقلاب اسلامي"</f>
        <v>بنيادمسكن انقلاب اسلامي</v>
      </c>
      <c r="AB1320" s="1" t="str">
        <f>"95/12/21"</f>
        <v>95/12/21</v>
      </c>
      <c r="AC1320" s="1" t="str">
        <f>"استان همدان"</f>
        <v>استان همدان</v>
      </c>
      <c r="AD1320" s="1" t="str">
        <f>"95/12/22"</f>
        <v>95/12/22</v>
      </c>
      <c r="AE1320" s="1" t="str">
        <f t="shared" si="332"/>
        <v>اختتام</v>
      </c>
      <c r="AF1320" s="1" t="str">
        <f>""</f>
        <v/>
      </c>
      <c r="AG1320" s="1" t="str">
        <f>""</f>
        <v/>
      </c>
      <c r="AH1320" s="1" t="str">
        <f>""</f>
        <v/>
      </c>
      <c r="AI1320" s="1" t="str">
        <f>""</f>
        <v/>
      </c>
      <c r="AJ1320" s="1" t="str">
        <f>""</f>
        <v/>
      </c>
      <c r="AK1320" s="1" t="str">
        <f>""</f>
        <v/>
      </c>
    </row>
    <row r="1321" spans="1:37" x14ac:dyDescent="0.2">
      <c r="A1321" s="1">
        <v>108000</v>
      </c>
      <c r="B1321" s="1">
        <v>952000004</v>
      </c>
      <c r="C1321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1321" s="1">
        <v>6426</v>
      </c>
      <c r="E1321" s="1">
        <v>107000</v>
      </c>
      <c r="F1321" s="1">
        <v>95</v>
      </c>
      <c r="G1321" s="1">
        <v>1000</v>
      </c>
      <c r="H1321" s="1" t="str">
        <f>"95/05/25"</f>
        <v>95/05/25</v>
      </c>
      <c r="I1321" s="1" t="str">
        <f t="shared" si="324"/>
        <v>كيلوگرم</v>
      </c>
      <c r="J1321" s="1" t="str">
        <f t="shared" ref="J1321:J1334" si="335">"0000000076"</f>
        <v>0000000076</v>
      </c>
      <c r="K1321" s="1" t="str">
        <f t="shared" ref="K1321:K1334" si="336">"قير 60/70 - فله"</f>
        <v>قير 60/70 - فله</v>
      </c>
      <c r="L1321" s="1">
        <v>100</v>
      </c>
      <c r="M1321" s="1" t="str">
        <f t="shared" si="330"/>
        <v>مخازن قير اصفهان</v>
      </c>
      <c r="N1321" s="1">
        <v>9739</v>
      </c>
      <c r="O1321" s="1">
        <v>50031537</v>
      </c>
      <c r="P1321" s="1" t="str">
        <f>"  شهرداري اردل"</f>
        <v xml:space="preserve">  شهرداري اردل</v>
      </c>
      <c r="Q1321" s="1">
        <v>20</v>
      </c>
      <c r="R1321" s="1" t="str">
        <f>"فروش داخلي - سازمان شهرداري ها و دهياري هاي كشور"</f>
        <v>فروش داخلي - سازمان شهرداري ها و دهياري هاي كشور</v>
      </c>
      <c r="S1321" s="1" t="str">
        <f t="shared" si="325"/>
        <v>قرارداد فروش</v>
      </c>
      <c r="T1321" s="1" t="str">
        <f t="shared" si="326"/>
        <v>ندارد</v>
      </c>
      <c r="U1321" s="1" t="str">
        <f>"قره باغي مجيد(1871065)"</f>
        <v>قره باغي مجيد(1871065)</v>
      </c>
      <c r="V1321" s="1">
        <v>952000004</v>
      </c>
      <c r="W1321" s="1">
        <v>952000004</v>
      </c>
      <c r="X1321" s="1" t="str">
        <f>"1395423680"</f>
        <v>1395423680</v>
      </c>
      <c r="Y1321" s="1" t="str">
        <f>"95/05/24"</f>
        <v>95/05/24</v>
      </c>
      <c r="Z1321" s="1" t="str">
        <f>"18935"</f>
        <v>18935</v>
      </c>
      <c r="AA1321" s="1" t="str">
        <f>"شهرداريها"</f>
        <v>شهرداريها</v>
      </c>
      <c r="AB1321" s="1" t="str">
        <f>"95/05/03"</f>
        <v>95/05/03</v>
      </c>
      <c r="AC1321" s="1" t="str">
        <f>"استان چهارمحال بختياري"</f>
        <v>استان چهارمحال بختياري</v>
      </c>
      <c r="AD1321" s="1" t="str">
        <f>"95/05/24"</f>
        <v>95/05/24</v>
      </c>
      <c r="AE1321" s="1" t="str">
        <f t="shared" si="332"/>
        <v>اختتام</v>
      </c>
      <c r="AF1321" s="1" t="str">
        <f>""</f>
        <v/>
      </c>
      <c r="AG1321" s="1" t="str">
        <f>""</f>
        <v/>
      </c>
      <c r="AH1321" s="1" t="str">
        <f>""</f>
        <v/>
      </c>
      <c r="AI1321" s="1" t="str">
        <f>""</f>
        <v/>
      </c>
      <c r="AJ1321" s="1" t="str">
        <f>""</f>
        <v/>
      </c>
      <c r="AK1321" s="1" t="str">
        <f>""</f>
        <v/>
      </c>
    </row>
    <row r="1322" spans="1:37" x14ac:dyDescent="0.2">
      <c r="A1322" s="1">
        <v>130000</v>
      </c>
      <c r="B1322" s="1">
        <v>956200396</v>
      </c>
      <c r="C1322" s="1" t="str">
        <f>"تخليه-گچساران-روستاي سعادت آباد-کارخانه آسفالت بهزادي"</f>
        <v>تخليه-گچساران-روستاي سعادت آباد-کارخانه آسفالت بهزادي</v>
      </c>
      <c r="D1322" s="1">
        <v>8848</v>
      </c>
      <c r="E1322" s="1">
        <v>129000</v>
      </c>
      <c r="F1322" s="1">
        <v>95</v>
      </c>
      <c r="G1322" s="1">
        <v>1000</v>
      </c>
      <c r="H1322" s="1" t="str">
        <f>"95/12/25"</f>
        <v>95/12/25</v>
      </c>
      <c r="I1322" s="1" t="str">
        <f t="shared" si="324"/>
        <v>كيلوگرم</v>
      </c>
      <c r="J1322" s="1" t="str">
        <f t="shared" si="335"/>
        <v>0000000076</v>
      </c>
      <c r="K1322" s="1" t="str">
        <f t="shared" si="336"/>
        <v>قير 60/70 - فله</v>
      </c>
      <c r="L1322" s="1">
        <v>100</v>
      </c>
      <c r="M1322" s="1" t="str">
        <f t="shared" si="330"/>
        <v>مخازن قير اصفهان</v>
      </c>
      <c r="N1322" s="1">
        <v>11060</v>
      </c>
      <c r="O1322" s="1">
        <v>50034218</v>
      </c>
      <c r="P1322" s="1" t="str">
        <f>"  آتي سازان کهکشان"</f>
        <v xml:space="preserve">  آتي سازان کهکشان</v>
      </c>
      <c r="Q1322" s="1">
        <v>62</v>
      </c>
      <c r="R1322" s="1" t="str">
        <f>"فروش داخلي - سازمان بنيادمسكن انقلاب اسلامي"</f>
        <v>فروش داخلي - سازمان بنيادمسكن انقلاب اسلامي</v>
      </c>
      <c r="S1322" s="1" t="str">
        <f t="shared" si="325"/>
        <v>قرارداد فروش</v>
      </c>
      <c r="T1322" s="1" t="str">
        <f t="shared" si="326"/>
        <v>ندارد</v>
      </c>
      <c r="U1322" s="1" t="str">
        <f>"غلام نجفي سيامك‌‌‌‌‌‌(1881082)"</f>
        <v>غلام نجفي سيامك‌‌‌‌‌‌(1881082)</v>
      </c>
      <c r="V1322" s="1">
        <v>956200396</v>
      </c>
      <c r="W1322" s="1">
        <v>956200396</v>
      </c>
      <c r="X1322" s="1" t="str">
        <f>"1395470894"</f>
        <v>1395470894</v>
      </c>
      <c r="Y1322" s="1" t="str">
        <f>"95/12/25"</f>
        <v>95/12/25</v>
      </c>
      <c r="Z1322" s="1" t="str">
        <f>"57029/د"</f>
        <v>57029/د</v>
      </c>
      <c r="AA1322" s="1" t="str">
        <f>"بنيادمسكن انقلاب اسلامي"</f>
        <v>بنيادمسكن انقلاب اسلامي</v>
      </c>
      <c r="AB1322" s="1" t="str">
        <f>"95/12/22"</f>
        <v>95/12/22</v>
      </c>
      <c r="AC1322" s="1" t="str">
        <f>"كهكيلويه و بوير احمد"</f>
        <v>كهكيلويه و بوير احمد</v>
      </c>
      <c r="AD1322" s="1" t="str">
        <f>"95/12/23"</f>
        <v>95/12/23</v>
      </c>
      <c r="AE1322" s="1" t="str">
        <f t="shared" si="332"/>
        <v>اختتام</v>
      </c>
      <c r="AF1322" s="1" t="str">
        <f>""</f>
        <v/>
      </c>
      <c r="AG1322" s="1" t="str">
        <f>""</f>
        <v/>
      </c>
      <c r="AH1322" s="1" t="str">
        <f>""</f>
        <v/>
      </c>
      <c r="AI1322" s="1" t="str">
        <f>""</f>
        <v/>
      </c>
      <c r="AJ1322" s="1" t="str">
        <f>""</f>
        <v/>
      </c>
      <c r="AK1322" s="1" t="str">
        <f>""</f>
        <v/>
      </c>
    </row>
    <row r="1323" spans="1:37" x14ac:dyDescent="0.2">
      <c r="A1323" s="1">
        <v>560000</v>
      </c>
      <c r="B1323" s="1">
        <v>956200105</v>
      </c>
      <c r="C1323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323" s="1">
        <v>7026</v>
      </c>
      <c r="E1323" s="1">
        <v>559220</v>
      </c>
      <c r="F1323" s="1">
        <v>95</v>
      </c>
      <c r="G1323" s="1">
        <v>780</v>
      </c>
      <c r="H1323" s="1" t="str">
        <f>"95/09/16"</f>
        <v>95/09/16</v>
      </c>
      <c r="I1323" s="1" t="str">
        <f t="shared" si="324"/>
        <v>كيلوگرم</v>
      </c>
      <c r="J1323" s="1" t="str">
        <f t="shared" si="335"/>
        <v>0000000076</v>
      </c>
      <c r="K1323" s="1" t="str">
        <f t="shared" si="336"/>
        <v>قير 60/70 - فله</v>
      </c>
      <c r="L1323" s="1">
        <v>100</v>
      </c>
      <c r="M1323" s="1" t="str">
        <f t="shared" si="330"/>
        <v>مخازن قير اصفهان</v>
      </c>
      <c r="N1323" s="1">
        <v>11082</v>
      </c>
      <c r="O1323" s="1">
        <v>50032892</v>
      </c>
      <c r="P1323" s="1" t="str">
        <f>"  پارسيان كاني پاسارگاد"</f>
        <v xml:space="preserve">  پارسيان كاني پاسارگاد</v>
      </c>
      <c r="Q1323" s="1">
        <v>62</v>
      </c>
      <c r="R1323" s="1" t="str">
        <f>"فروش داخلي - سازمان بنيادمسكن انقلاب اسلامي"</f>
        <v>فروش داخلي - سازمان بنيادمسكن انقلاب اسلامي</v>
      </c>
      <c r="S1323" s="1" t="str">
        <f t="shared" si="325"/>
        <v>قرارداد فروش</v>
      </c>
      <c r="T1323" s="1" t="str">
        <f t="shared" si="326"/>
        <v>ندارد</v>
      </c>
      <c r="U1323" s="1" t="str">
        <f>"قره باغي مجيد(1871065)"</f>
        <v>قره باغي مجيد(1871065)</v>
      </c>
      <c r="V1323" s="1">
        <v>956200105</v>
      </c>
      <c r="W1323" s="1">
        <v>956200105</v>
      </c>
      <c r="X1323" s="1" t="str">
        <f>"1395449864"</f>
        <v>1395449864</v>
      </c>
      <c r="Y1323" s="1" t="str">
        <f>"95/09/16"</f>
        <v>95/09/16</v>
      </c>
      <c r="Z1323" s="1" t="str">
        <f>"38877/د"</f>
        <v>38877/د</v>
      </c>
      <c r="AA1323" s="1" t="str">
        <f>"بنياد"</f>
        <v>بنياد</v>
      </c>
      <c r="AB1323" s="1" t="str">
        <f>"95/09/15"</f>
        <v>95/09/15</v>
      </c>
      <c r="AC1323" s="1" t="str">
        <f>"استان اصفهان"</f>
        <v>استان اصفهان</v>
      </c>
      <c r="AD1323" s="1" t="str">
        <f>"95/09/16"</f>
        <v>95/09/16</v>
      </c>
      <c r="AE1323" s="1" t="str">
        <f t="shared" si="332"/>
        <v>اختتام</v>
      </c>
      <c r="AF1323" s="1" t="str">
        <f>""</f>
        <v/>
      </c>
      <c r="AG1323" s="1" t="str">
        <f>""</f>
        <v/>
      </c>
      <c r="AH1323" s="1" t="str">
        <f>""</f>
        <v/>
      </c>
      <c r="AI1323" s="1" t="str">
        <f>""</f>
        <v/>
      </c>
      <c r="AJ1323" s="1" t="str">
        <f>""</f>
        <v/>
      </c>
      <c r="AK1323" s="1" t="str">
        <f>""</f>
        <v/>
      </c>
    </row>
    <row r="1324" spans="1:37" x14ac:dyDescent="0.2">
      <c r="A1324" s="1">
        <v>340000</v>
      </c>
      <c r="B1324" s="1">
        <v>956200177</v>
      </c>
      <c r="C1324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324" s="1">
        <v>9361</v>
      </c>
      <c r="E1324" s="1">
        <v>339720</v>
      </c>
      <c r="F1324" s="1">
        <v>95</v>
      </c>
      <c r="G1324" s="1">
        <v>280</v>
      </c>
      <c r="H1324" s="1" t="str">
        <f>"95/11/04"</f>
        <v>95/11/04</v>
      </c>
      <c r="I1324" s="1" t="str">
        <f t="shared" si="324"/>
        <v>كيلوگرم</v>
      </c>
      <c r="J1324" s="1" t="str">
        <f t="shared" si="335"/>
        <v>0000000076</v>
      </c>
      <c r="K1324" s="1" t="str">
        <f t="shared" si="336"/>
        <v>قير 60/70 - فله</v>
      </c>
      <c r="L1324" s="1">
        <v>100</v>
      </c>
      <c r="M1324" s="1" t="str">
        <f t="shared" si="330"/>
        <v>مخازن قير اصفهان</v>
      </c>
      <c r="N1324" s="1">
        <v>11082</v>
      </c>
      <c r="O1324" s="1">
        <v>50033510</v>
      </c>
      <c r="P1324" s="1" t="str">
        <f>"  پارسيان كاني پاسارگاد"</f>
        <v xml:space="preserve">  پارسيان كاني پاسارگاد</v>
      </c>
      <c r="Q1324" s="1">
        <v>62</v>
      </c>
      <c r="R1324" s="1" t="str">
        <f>"فروش داخلي - سازمان بنيادمسكن انقلاب اسلامي"</f>
        <v>فروش داخلي - سازمان بنيادمسكن انقلاب اسلامي</v>
      </c>
      <c r="S1324" s="1" t="str">
        <f t="shared" si="325"/>
        <v>قرارداد فروش</v>
      </c>
      <c r="T1324" s="1" t="str">
        <f t="shared" si="326"/>
        <v>ندارد</v>
      </c>
      <c r="U1324" s="1" t="str">
        <f>"مرادي نجاتعلي(1020ج89)"</f>
        <v>مرادي نجاتعلي(1020ج89)</v>
      </c>
      <c r="V1324" s="1">
        <v>956200177</v>
      </c>
      <c r="W1324" s="1">
        <v>956200177</v>
      </c>
      <c r="X1324" s="1" t="str">
        <f>"1395460248"</f>
        <v>1395460248</v>
      </c>
      <c r="Y1324" s="1" t="str">
        <f>"95/11/04"</f>
        <v>95/11/04</v>
      </c>
      <c r="Z1324" s="1" t="str">
        <f>"45490/د"</f>
        <v>45490/د</v>
      </c>
      <c r="AA1324" s="1" t="str">
        <f>"بنيادمسكن انقلاب اسلامي"</f>
        <v>بنيادمسكن انقلاب اسلامي</v>
      </c>
      <c r="AB1324" s="1" t="str">
        <f>"95/10/25"</f>
        <v>95/10/25</v>
      </c>
      <c r="AC1324" s="1" t="str">
        <f>"استان اصفهان"</f>
        <v>استان اصفهان</v>
      </c>
      <c r="AD1324" s="1" t="str">
        <f>"95/11/04"</f>
        <v>95/11/04</v>
      </c>
      <c r="AE1324" s="1" t="str">
        <f t="shared" si="332"/>
        <v>اختتام</v>
      </c>
      <c r="AF1324" s="1" t="str">
        <f>""</f>
        <v/>
      </c>
      <c r="AG1324" s="1" t="str">
        <f>""</f>
        <v/>
      </c>
      <c r="AH1324" s="1" t="str">
        <f>""</f>
        <v/>
      </c>
      <c r="AI1324" s="1" t="str">
        <f>""</f>
        <v/>
      </c>
      <c r="AJ1324" s="1" t="str">
        <f>""</f>
        <v/>
      </c>
      <c r="AK1324" s="1" t="str">
        <f>""</f>
        <v/>
      </c>
    </row>
    <row r="1325" spans="1:37" x14ac:dyDescent="0.2">
      <c r="A1325" s="1">
        <v>140000</v>
      </c>
      <c r="B1325" s="1">
        <v>956200069</v>
      </c>
      <c r="C1325" s="1" t="str">
        <f>"تخليه-ايلام- دهلران-کيلومتر14جاده دهلران به مهران-جاده شهيد طرازي کارخانه آسفالت راه و باند ماندگار غرب"</f>
        <v>تخليه-ايلام- دهلران-کيلومتر14جاده دهلران به مهران-جاده شهيد طرازي کارخانه آسفالت راه و باند ماندگار غرب</v>
      </c>
      <c r="D1325" s="1">
        <v>6876</v>
      </c>
      <c r="E1325" s="1">
        <v>138160</v>
      </c>
      <c r="F1325" s="1">
        <v>95</v>
      </c>
      <c r="G1325" s="1">
        <v>1840</v>
      </c>
      <c r="H1325" s="1" t="str">
        <f>"95/06/03"</f>
        <v>95/06/03</v>
      </c>
      <c r="I1325" s="1" t="str">
        <f t="shared" si="324"/>
        <v>كيلوگرم</v>
      </c>
      <c r="J1325" s="1" t="str">
        <f t="shared" si="335"/>
        <v>0000000076</v>
      </c>
      <c r="K1325" s="1" t="str">
        <f t="shared" si="336"/>
        <v>قير 60/70 - فله</v>
      </c>
      <c r="L1325" s="1">
        <v>100</v>
      </c>
      <c r="M1325" s="1" t="str">
        <f t="shared" si="330"/>
        <v>مخازن قير اصفهان</v>
      </c>
      <c r="N1325" s="1">
        <v>11089</v>
      </c>
      <c r="O1325" s="1">
        <v>50031618</v>
      </c>
      <c r="P1325" s="1" t="str">
        <f>"  سازه برج شهر پيام"</f>
        <v xml:space="preserve">  سازه برج شهر پيام</v>
      </c>
      <c r="Q1325" s="1">
        <v>62</v>
      </c>
      <c r="R1325" s="1" t="str">
        <f>"فروش داخلي - سازمان بنيادمسكن انقلاب اسلامي"</f>
        <v>فروش داخلي - سازمان بنيادمسكن انقلاب اسلامي</v>
      </c>
      <c r="S1325" s="1" t="str">
        <f t="shared" si="325"/>
        <v>قرارداد فروش</v>
      </c>
      <c r="T1325" s="1" t="str">
        <f t="shared" si="326"/>
        <v>ندارد</v>
      </c>
      <c r="U1325" s="1" t="str">
        <f>"عظيمي محمد(2842015)"</f>
        <v>عظيمي محمد(2842015)</v>
      </c>
      <c r="V1325" s="1">
        <v>956200069</v>
      </c>
      <c r="W1325" s="1">
        <v>956200069</v>
      </c>
      <c r="X1325" s="1" t="str">
        <f>"1395426720"</f>
        <v>1395426720</v>
      </c>
      <c r="Y1325" s="1" t="str">
        <f>"95/06/03"</f>
        <v>95/06/03</v>
      </c>
      <c r="Z1325" s="1" t="str">
        <f>"21632/د"</f>
        <v>21632/د</v>
      </c>
      <c r="AA1325" s="1" t="str">
        <f>"بنيادمسكن انقلاب اسلامي"</f>
        <v>بنيادمسكن انقلاب اسلامي</v>
      </c>
      <c r="AB1325" s="1" t="str">
        <f>"95/05/27"</f>
        <v>95/05/27</v>
      </c>
      <c r="AC1325" s="1" t="str">
        <f>"استان ايلام"</f>
        <v>استان ايلام</v>
      </c>
      <c r="AD1325" s="1" t="str">
        <f>"95/06/03"</f>
        <v>95/06/03</v>
      </c>
      <c r="AE1325" s="1" t="str">
        <f t="shared" si="332"/>
        <v>اختتام</v>
      </c>
      <c r="AF1325" s="1" t="str">
        <f>""</f>
        <v/>
      </c>
      <c r="AG1325" s="1" t="str">
        <f>""</f>
        <v/>
      </c>
      <c r="AH1325" s="1" t="str">
        <f>""</f>
        <v/>
      </c>
      <c r="AI1325" s="1" t="str">
        <f>""</f>
        <v/>
      </c>
      <c r="AJ1325" s="1" t="str">
        <f>""</f>
        <v/>
      </c>
      <c r="AK1325" s="1" t="str">
        <f>""</f>
        <v/>
      </c>
    </row>
    <row r="1326" spans="1:37" x14ac:dyDescent="0.2">
      <c r="A1326" s="1">
        <v>16000</v>
      </c>
      <c r="B1326" s="1">
        <v>951100036</v>
      </c>
      <c r="C1326" s="1" t="str">
        <f>"تخليه- يزد کيلومتر 6 کمربندي جديد يزد به تفت کارخانه راهسازي پوشش راه وحيد"</f>
        <v>تخليه- يزد کيلومتر 6 کمربندي جديد يزد به تفت کارخانه راهسازي پوشش راه وحيد</v>
      </c>
      <c r="D1326" s="1">
        <v>5650</v>
      </c>
      <c r="E1326" s="1">
        <v>15180</v>
      </c>
      <c r="F1326" s="1">
        <v>95</v>
      </c>
      <c r="G1326" s="1">
        <v>820</v>
      </c>
      <c r="H1326" s="1" t="str">
        <f>"95/02/13"</f>
        <v>95/02/13</v>
      </c>
      <c r="I1326" s="1" t="str">
        <f t="shared" si="324"/>
        <v>كيلوگرم</v>
      </c>
      <c r="J1326" s="1" t="str">
        <f t="shared" si="335"/>
        <v>0000000076</v>
      </c>
      <c r="K1326" s="1" t="str">
        <f t="shared" si="336"/>
        <v>قير 60/70 - فله</v>
      </c>
      <c r="L1326" s="1">
        <v>100</v>
      </c>
      <c r="M1326" s="1" t="str">
        <f t="shared" si="330"/>
        <v>مخازن قير اصفهان</v>
      </c>
      <c r="N1326" s="1">
        <v>11092</v>
      </c>
      <c r="O1326" s="1">
        <v>50030694</v>
      </c>
      <c r="P1326" s="1" t="str">
        <f>"  ايجادراه عقيق يزد"</f>
        <v xml:space="preserve">  ايجادراه عقيق يزد</v>
      </c>
      <c r="Q1326" s="1">
        <v>11</v>
      </c>
      <c r="R1326" s="1" t="str">
        <f>"فروش داخلي تهران - بورس"</f>
        <v>فروش داخلي تهران - بورس</v>
      </c>
      <c r="S1326" s="1" t="str">
        <f t="shared" si="325"/>
        <v>قرارداد فروش</v>
      </c>
      <c r="T1326" s="1" t="str">
        <f t="shared" si="326"/>
        <v>ندارد</v>
      </c>
      <c r="U1326" s="1" t="str">
        <f>"اسماعيلي پور امين (1013ج89)"</f>
        <v>اسماعيلي پور امين (1013ج89)</v>
      </c>
      <c r="V1326" s="1">
        <v>951100036</v>
      </c>
      <c r="W1326" s="1">
        <v>951100036</v>
      </c>
      <c r="X1326" s="1" t="str">
        <f>"1395401940"</f>
        <v>1395401940</v>
      </c>
      <c r="Y1326" s="1" t="str">
        <f>"95/02/12"</f>
        <v>95/02/12</v>
      </c>
      <c r="Z1326" s="1" t="str">
        <f>"95-34301"</f>
        <v>95-34301</v>
      </c>
      <c r="AA1326" s="1" t="str">
        <f>"راه سازي"</f>
        <v>راه سازي</v>
      </c>
      <c r="AB1326" s="1" t="str">
        <f>"95/02/12"</f>
        <v>95/02/12</v>
      </c>
      <c r="AC1326" s="1" t="str">
        <f>"استان يزد"</f>
        <v>استان يزد</v>
      </c>
      <c r="AD1326" s="1" t="str">
        <f>"95/02/11"</f>
        <v>95/02/11</v>
      </c>
      <c r="AE1326" s="1" t="str">
        <f t="shared" si="332"/>
        <v>اختتام</v>
      </c>
      <c r="AF1326" s="1" t="str">
        <f>""</f>
        <v/>
      </c>
      <c r="AG1326" s="1" t="str">
        <f>""</f>
        <v/>
      </c>
      <c r="AH1326" s="1" t="str">
        <f>""</f>
        <v/>
      </c>
      <c r="AI1326" s="1" t="str">
        <f>""</f>
        <v/>
      </c>
      <c r="AJ1326" s="1" t="str">
        <f>""</f>
        <v/>
      </c>
      <c r="AK1326" s="1" t="str">
        <f>""</f>
        <v/>
      </c>
    </row>
    <row r="1327" spans="1:37" x14ac:dyDescent="0.2">
      <c r="A1327" s="1">
        <v>171000</v>
      </c>
      <c r="B1327" s="1">
        <v>956300021</v>
      </c>
      <c r="C1327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1327" s="1">
        <v>9361</v>
      </c>
      <c r="E1327" s="1">
        <v>171000</v>
      </c>
      <c r="F1327" s="1">
        <v>95</v>
      </c>
      <c r="G1327" s="1">
        <v>0</v>
      </c>
      <c r="H1327" s="1" t="str">
        <f>"95/11/25"</f>
        <v>95/11/25</v>
      </c>
      <c r="I1327" s="1" t="str">
        <f t="shared" si="324"/>
        <v>كيلوگرم</v>
      </c>
      <c r="J1327" s="1" t="str">
        <f t="shared" si="335"/>
        <v>0000000076</v>
      </c>
      <c r="K1327" s="1" t="str">
        <f t="shared" si="336"/>
        <v>قير 60/70 - فله</v>
      </c>
      <c r="L1327" s="1">
        <v>100</v>
      </c>
      <c r="M1327" s="1" t="str">
        <f t="shared" si="330"/>
        <v>مخازن قير اصفهان</v>
      </c>
      <c r="N1327" s="1">
        <v>11098</v>
      </c>
      <c r="O1327" s="1">
        <v>50033736</v>
      </c>
      <c r="P1327" s="1" t="str">
        <f>"  اداره كل نوسازي توسعه وتجهيزمدارس استان اصفهان"</f>
        <v xml:space="preserve">  اداره كل نوسازي توسعه وتجهيزمدارس استان اصفهان</v>
      </c>
      <c r="Q1327" s="1">
        <v>63</v>
      </c>
      <c r="R1327" s="1" t="str">
        <f>"سازمان نوسازي،توسعه و تجهيز مدارس كشور"</f>
        <v>سازمان نوسازي،توسعه و تجهيز مدارس كشور</v>
      </c>
      <c r="S1327" s="1" t="str">
        <f t="shared" si="325"/>
        <v>قرارداد فروش</v>
      </c>
      <c r="T1327" s="1" t="str">
        <f t="shared" si="326"/>
        <v>ندارد</v>
      </c>
      <c r="U1327" s="1" t="str">
        <f>"سيفي پور عبدالمجيد(1009ج89)"</f>
        <v>سيفي پور عبدالمجيد(1009ج89)</v>
      </c>
      <c r="V1327" s="1">
        <v>956300021</v>
      </c>
      <c r="W1327" s="1">
        <v>956300021</v>
      </c>
      <c r="X1327" s="1" t="str">
        <f>"1395464660"</f>
        <v>1395464660</v>
      </c>
      <c r="Y1327" s="1" t="str">
        <f>"95/11/25"</f>
        <v>95/11/25</v>
      </c>
      <c r="Z1327" s="1" t="str">
        <f>"3-95/422-34978"</f>
        <v>3-95/422-34978</v>
      </c>
      <c r="AA1327" s="1" t="str">
        <f>"سازمان نوسازي توسعه وتجهيزمدارس كشور"</f>
        <v>سازمان نوسازي توسعه وتجهيزمدارس كشور</v>
      </c>
      <c r="AB1327" s="1" t="str">
        <f>"95/11/24"</f>
        <v>95/11/24</v>
      </c>
      <c r="AC1327" s="1" t="str">
        <f>"استان اصفهان"</f>
        <v>استان اصفهان</v>
      </c>
      <c r="AD1327" s="1" t="str">
        <f>"95/11/25"</f>
        <v>95/11/25</v>
      </c>
      <c r="AE1327" s="1" t="str">
        <f>"تاييدشده"</f>
        <v>تاييدشده</v>
      </c>
      <c r="AF1327" s="1" t="str">
        <f>""</f>
        <v/>
      </c>
      <c r="AG1327" s="1" t="str">
        <f>""</f>
        <v/>
      </c>
      <c r="AH1327" s="1" t="str">
        <f>""</f>
        <v/>
      </c>
      <c r="AI1327" s="1" t="str">
        <f>""</f>
        <v/>
      </c>
      <c r="AJ1327" s="1" t="str">
        <f>""</f>
        <v/>
      </c>
      <c r="AK1327" s="1" t="str">
        <f>""</f>
        <v/>
      </c>
    </row>
    <row r="1328" spans="1:37" x14ac:dyDescent="0.2">
      <c r="A1328" s="1">
        <v>40000</v>
      </c>
      <c r="B1328" s="1">
        <v>956200421</v>
      </c>
      <c r="C1328" s="1" t="str">
        <f>"تخليه - کرمان - کيلومتر 30 جاده سيرجان - بافت"</f>
        <v>تخليه - کرمان - کيلومتر 30 جاده سيرجان - بافت</v>
      </c>
      <c r="D1328" s="1">
        <v>8848</v>
      </c>
      <c r="E1328" s="1">
        <v>38560</v>
      </c>
      <c r="F1328" s="1">
        <v>95</v>
      </c>
      <c r="G1328" s="1">
        <v>1440</v>
      </c>
      <c r="H1328" s="1" t="str">
        <f>"95/12/28"</f>
        <v>95/12/28</v>
      </c>
      <c r="I1328" s="1" t="str">
        <f t="shared" si="324"/>
        <v>كيلوگرم</v>
      </c>
      <c r="J1328" s="1" t="str">
        <f t="shared" si="335"/>
        <v>0000000076</v>
      </c>
      <c r="K1328" s="1" t="str">
        <f t="shared" si="336"/>
        <v>قير 60/70 - فله</v>
      </c>
      <c r="L1328" s="1">
        <v>100</v>
      </c>
      <c r="M1328" s="1" t="str">
        <f t="shared" si="330"/>
        <v>مخازن قير اصفهان</v>
      </c>
      <c r="N1328" s="1">
        <v>11106</v>
      </c>
      <c r="O1328" s="1">
        <v>50034310</v>
      </c>
      <c r="P1328" s="1" t="str">
        <f>"  آرين بتن سيرجان"</f>
        <v xml:space="preserve">  آرين بتن سيرجان</v>
      </c>
      <c r="Q1328" s="1">
        <v>62</v>
      </c>
      <c r="R1328" s="1" t="str">
        <f>"فروش داخلي - سازمان بنيادمسكن انقلاب اسلامي"</f>
        <v>فروش داخلي - سازمان بنيادمسكن انقلاب اسلامي</v>
      </c>
      <c r="S1328" s="1" t="str">
        <f t="shared" si="325"/>
        <v>قرارداد فروش</v>
      </c>
      <c r="T1328" s="1" t="str">
        <f t="shared" si="326"/>
        <v>ندارد</v>
      </c>
      <c r="U1328" s="1" t="str">
        <f>"پورباقري ترابر (4914036)"</f>
        <v>پورباقري ترابر (4914036)</v>
      </c>
      <c r="V1328" s="1">
        <v>956200421</v>
      </c>
      <c r="W1328" s="1">
        <v>956200421</v>
      </c>
      <c r="X1328" s="1" t="str">
        <f>"1395470952"</f>
        <v>1395470952</v>
      </c>
      <c r="Y1328" s="1" t="str">
        <f>"95/12/28"</f>
        <v>95/12/28</v>
      </c>
      <c r="Z1328" s="1" t="str">
        <f>"57177/د"</f>
        <v>57177/د</v>
      </c>
      <c r="AA1328" s="1" t="str">
        <f>"بنيادمسكن انقلاب اسلامي"</f>
        <v>بنيادمسكن انقلاب اسلامي</v>
      </c>
      <c r="AB1328" s="1" t="str">
        <f>"95/12/22"</f>
        <v>95/12/22</v>
      </c>
      <c r="AC1328" s="1" t="str">
        <f>"استان كرمان"</f>
        <v>استان كرمان</v>
      </c>
      <c r="AD1328" s="1" t="str">
        <f>"95/12/24"</f>
        <v>95/12/24</v>
      </c>
      <c r="AE1328" s="1" t="str">
        <f t="shared" ref="AE1328:AE1359" si="337">"اختتام"</f>
        <v>اختتام</v>
      </c>
      <c r="AF1328" s="1" t="str">
        <f>""</f>
        <v/>
      </c>
      <c r="AG1328" s="1" t="str">
        <f>""</f>
        <v/>
      </c>
      <c r="AH1328" s="1" t="str">
        <f>""</f>
        <v/>
      </c>
      <c r="AI1328" s="1" t="str">
        <f>""</f>
        <v/>
      </c>
      <c r="AJ1328" s="1" t="str">
        <f>""</f>
        <v/>
      </c>
      <c r="AK1328" s="1" t="str">
        <f>""</f>
        <v/>
      </c>
    </row>
    <row r="1329" spans="1:37" x14ac:dyDescent="0.2">
      <c r="A1329" s="1">
        <v>392000</v>
      </c>
      <c r="B1329" s="1">
        <v>956200121</v>
      </c>
      <c r="C1329" s="1" t="str">
        <f>"تخليه -خراسان جنوبي بيرجندكيلومتر5جاده خوسف جنب كويرتاير کارخانه آسفالت بتن آسفالت جهان راه"</f>
        <v>تخليه -خراسان جنوبي بيرجندكيلومتر5جاده خوسف جنب كويرتاير کارخانه آسفالت بتن آسفالت جهان راه</v>
      </c>
      <c r="D1329" s="1">
        <v>8861</v>
      </c>
      <c r="E1329" s="1">
        <v>390760</v>
      </c>
      <c r="F1329" s="1">
        <v>95</v>
      </c>
      <c r="G1329" s="1">
        <v>1240</v>
      </c>
      <c r="H1329" s="1" t="str">
        <f>"95/10/06"</f>
        <v>95/10/06</v>
      </c>
      <c r="I1329" s="1" t="str">
        <f t="shared" si="324"/>
        <v>كيلوگرم</v>
      </c>
      <c r="J1329" s="1" t="str">
        <f t="shared" si="335"/>
        <v>0000000076</v>
      </c>
      <c r="K1329" s="1" t="str">
        <f t="shared" si="336"/>
        <v>قير 60/70 - فله</v>
      </c>
      <c r="L1329" s="1">
        <v>100</v>
      </c>
      <c r="M1329" s="1" t="str">
        <f t="shared" si="330"/>
        <v>مخازن قير اصفهان</v>
      </c>
      <c r="N1329" s="1">
        <v>11109</v>
      </c>
      <c r="O1329" s="1">
        <v>50033223</v>
      </c>
      <c r="P1329" s="1" t="str">
        <f>"  راهسازي وساختمان مسيرياب بيرجند"</f>
        <v xml:space="preserve">  راهسازي وساختمان مسيرياب بيرجند</v>
      </c>
      <c r="Q1329" s="1">
        <v>62</v>
      </c>
      <c r="R1329" s="1" t="str">
        <f>"فروش داخلي - سازمان بنيادمسكن انقلاب اسلامي"</f>
        <v>فروش داخلي - سازمان بنيادمسكن انقلاب اسلامي</v>
      </c>
      <c r="S1329" s="1" t="str">
        <f t="shared" si="325"/>
        <v>قرارداد فروش</v>
      </c>
      <c r="T1329" s="1" t="str">
        <f t="shared" si="326"/>
        <v>ندارد</v>
      </c>
      <c r="U1329" s="1" t="str">
        <f>"عزيزي صفر(1006ج 89)"</f>
        <v>عزيزي صفر(1006ج 89)</v>
      </c>
      <c r="V1329" s="1">
        <v>956200121</v>
      </c>
      <c r="W1329" s="1">
        <v>956200121</v>
      </c>
      <c r="X1329" s="1" t="str">
        <f>"1395454527"</f>
        <v>1395454527</v>
      </c>
      <c r="Y1329" s="1" t="str">
        <f>"95/10/06"</f>
        <v>95/10/06</v>
      </c>
      <c r="Z1329" s="1" t="str">
        <f>"41437/د"</f>
        <v>41437/د</v>
      </c>
      <c r="AA1329" s="1" t="str">
        <f>"بنيادمسكن انقلاب اسلامي"</f>
        <v>بنيادمسكن انقلاب اسلامي</v>
      </c>
      <c r="AB1329" s="1" t="str">
        <f>"95/10/01"</f>
        <v>95/10/01</v>
      </c>
      <c r="AC1329" s="1" t="str">
        <f>"خراسان جنوبي"</f>
        <v>خراسان جنوبي</v>
      </c>
      <c r="AD1329" s="1" t="str">
        <f>"95/10/05"</f>
        <v>95/10/05</v>
      </c>
      <c r="AE1329" s="1" t="str">
        <f t="shared" si="337"/>
        <v>اختتام</v>
      </c>
      <c r="AF1329" s="1" t="str">
        <f>""</f>
        <v/>
      </c>
      <c r="AG1329" s="1" t="str">
        <f>""</f>
        <v/>
      </c>
      <c r="AH1329" s="1" t="str">
        <f>""</f>
        <v/>
      </c>
      <c r="AI1329" s="1" t="str">
        <f>""</f>
        <v/>
      </c>
      <c r="AJ1329" s="1" t="str">
        <f>""</f>
        <v/>
      </c>
      <c r="AK1329" s="1" t="str">
        <f>""</f>
        <v/>
      </c>
    </row>
    <row r="1330" spans="1:37" x14ac:dyDescent="0.2">
      <c r="A1330" s="1">
        <v>306000</v>
      </c>
      <c r="B1330" s="1">
        <v>956200092</v>
      </c>
      <c r="C1330" s="1" t="str">
        <f>"تخليه - ايلام- جاده قديم صالح آباد بالاتر از شهرک سرطاف-کارخانه آسفالت  ايلام قيرپاش"</f>
        <v>تخليه - ايلام- جاده قديم صالح آباد بالاتر از شهرک سرطاف-کارخانه آسفالت  ايلام قيرپاش</v>
      </c>
      <c r="D1330" s="1">
        <v>8023</v>
      </c>
      <c r="E1330" s="1">
        <v>305020</v>
      </c>
      <c r="F1330" s="1">
        <v>95</v>
      </c>
      <c r="G1330" s="1">
        <v>980</v>
      </c>
      <c r="H1330" s="1" t="str">
        <f>"95/08/05"</f>
        <v>95/08/05</v>
      </c>
      <c r="I1330" s="1" t="str">
        <f t="shared" si="324"/>
        <v>كيلوگرم</v>
      </c>
      <c r="J1330" s="1" t="str">
        <f t="shared" si="335"/>
        <v>0000000076</v>
      </c>
      <c r="K1330" s="1" t="str">
        <f t="shared" si="336"/>
        <v>قير 60/70 - فله</v>
      </c>
      <c r="L1330" s="1">
        <v>100</v>
      </c>
      <c r="M1330" s="1" t="str">
        <f t="shared" si="330"/>
        <v>مخازن قير اصفهان</v>
      </c>
      <c r="N1330" s="1">
        <v>11161</v>
      </c>
      <c r="O1330" s="1">
        <v>50032272</v>
      </c>
      <c r="P1330" s="1" t="str">
        <f>"  آب کاوش گستر غرب"</f>
        <v xml:space="preserve">  آب کاوش گستر غرب</v>
      </c>
      <c r="Q1330" s="1">
        <v>62</v>
      </c>
      <c r="R1330" s="1" t="str">
        <f>"فروش داخلي - سازمان بنيادمسكن انقلاب اسلامي"</f>
        <v>فروش داخلي - سازمان بنيادمسكن انقلاب اسلامي</v>
      </c>
      <c r="S1330" s="1" t="str">
        <f t="shared" si="325"/>
        <v>قرارداد فروش</v>
      </c>
      <c r="T1330" s="1" t="str">
        <f t="shared" si="326"/>
        <v>ندارد</v>
      </c>
      <c r="U1330" s="1" t="str">
        <f>"عظيمي محمد(2842015)"</f>
        <v>عظيمي محمد(2842015)</v>
      </c>
      <c r="V1330" s="1">
        <v>956200092</v>
      </c>
      <c r="W1330" s="1">
        <v>956200092</v>
      </c>
      <c r="X1330" s="1" t="str">
        <f>"1395441026"</f>
        <v>1395441026</v>
      </c>
      <c r="Y1330" s="1" t="str">
        <f>"95/08/05"</f>
        <v>95/08/05</v>
      </c>
      <c r="Z1330" s="1" t="str">
        <f>"31268/د"</f>
        <v>31268/د</v>
      </c>
      <c r="AA1330" s="1" t="str">
        <f>"بنيادمسكن انقلاب اسلامي"</f>
        <v>بنيادمسكن انقلاب اسلامي</v>
      </c>
      <c r="AB1330" s="1" t="str">
        <f>"95/07/27"</f>
        <v>95/07/27</v>
      </c>
      <c r="AC1330" s="1" t="str">
        <f>"استان ايلام"</f>
        <v>استان ايلام</v>
      </c>
      <c r="AD1330" s="1" t="str">
        <f>"95/08/05"</f>
        <v>95/08/05</v>
      </c>
      <c r="AE1330" s="1" t="str">
        <f t="shared" si="337"/>
        <v>اختتام</v>
      </c>
      <c r="AF1330" s="1" t="str">
        <f>""</f>
        <v/>
      </c>
      <c r="AG1330" s="1" t="str">
        <f>""</f>
        <v/>
      </c>
      <c r="AH1330" s="1" t="str">
        <f>""</f>
        <v/>
      </c>
      <c r="AI1330" s="1" t="str">
        <f>""</f>
        <v/>
      </c>
      <c r="AJ1330" s="1" t="str">
        <f>""</f>
        <v/>
      </c>
      <c r="AK1330" s="1" t="str">
        <f>""</f>
        <v/>
      </c>
    </row>
    <row r="1331" spans="1:37" x14ac:dyDescent="0.2">
      <c r="A1331" s="1">
        <v>65000</v>
      </c>
      <c r="B1331" s="1">
        <v>952000064</v>
      </c>
      <c r="C1331" s="1" t="str">
        <f>"تخليه - لرستان- جاده خرم آباد کوهدشت 20کيلومتري فرعي سمت راست شهرک دام"</f>
        <v>تخليه - لرستان- جاده خرم آباد کوهدشت 20کيلومتري فرعي سمت راست شهرک دام</v>
      </c>
      <c r="D1331" s="1">
        <v>6876</v>
      </c>
      <c r="E1331" s="1">
        <v>64180</v>
      </c>
      <c r="F1331" s="1">
        <v>95</v>
      </c>
      <c r="G1331" s="1">
        <v>820</v>
      </c>
      <c r="H1331" s="1" t="str">
        <f>"95/06/14"</f>
        <v>95/06/14</v>
      </c>
      <c r="I1331" s="1" t="str">
        <f t="shared" si="324"/>
        <v>كيلوگرم</v>
      </c>
      <c r="J1331" s="1" t="str">
        <f t="shared" si="335"/>
        <v>0000000076</v>
      </c>
      <c r="K1331" s="1" t="str">
        <f t="shared" si="336"/>
        <v>قير 60/70 - فله</v>
      </c>
      <c r="L1331" s="1">
        <v>100</v>
      </c>
      <c r="M1331" s="1" t="str">
        <f t="shared" si="330"/>
        <v>مخازن قير اصفهان</v>
      </c>
      <c r="N1331" s="1">
        <v>11171</v>
      </c>
      <c r="O1331" s="1">
        <v>50031765</v>
      </c>
      <c r="P1331" s="1" t="str">
        <f>"  شهرداري سراب دوره"</f>
        <v xml:space="preserve">  شهرداري سراب دوره</v>
      </c>
      <c r="Q1331" s="1">
        <v>20</v>
      </c>
      <c r="R1331" s="1" t="str">
        <f>"فروش داخلي - سازمان شهرداري ها و دهياري هاي كشور"</f>
        <v>فروش داخلي - سازمان شهرداري ها و دهياري هاي كشور</v>
      </c>
      <c r="S1331" s="1" t="str">
        <f t="shared" si="325"/>
        <v>قرارداد فروش</v>
      </c>
      <c r="T1331" s="1" t="str">
        <f t="shared" si="326"/>
        <v>ندارد</v>
      </c>
      <c r="U1331" s="1" t="str">
        <f>"بستاني محسن (2882039)"</f>
        <v>بستاني محسن (2882039)</v>
      </c>
      <c r="V1331" s="1">
        <v>952000064</v>
      </c>
      <c r="W1331" s="1">
        <v>952000064</v>
      </c>
      <c r="X1331" s="1" t="str">
        <f>"1395428834"</f>
        <v>1395428834</v>
      </c>
      <c r="Y1331" s="1" t="str">
        <f>"95/06/14"</f>
        <v>95/06/14</v>
      </c>
      <c r="Z1331" s="1" t="str">
        <f>"27682"</f>
        <v>27682</v>
      </c>
      <c r="AA1331" s="1" t="str">
        <f>"شهرداريها"</f>
        <v>شهرداريها</v>
      </c>
      <c r="AB1331" s="1" t="str">
        <f>"95/06/10"</f>
        <v>95/06/10</v>
      </c>
      <c r="AC1331" s="1" t="str">
        <f>"لرستان"</f>
        <v>لرستان</v>
      </c>
      <c r="AD1331" s="1" t="str">
        <f>"95/06/13"</f>
        <v>95/06/13</v>
      </c>
      <c r="AE1331" s="1" t="str">
        <f t="shared" si="337"/>
        <v>اختتام</v>
      </c>
      <c r="AF1331" s="1" t="str">
        <f>""</f>
        <v/>
      </c>
      <c r="AG1331" s="1" t="str">
        <f>""</f>
        <v/>
      </c>
      <c r="AH1331" s="1" t="str">
        <f>""</f>
        <v/>
      </c>
      <c r="AI1331" s="1" t="str">
        <f>""</f>
        <v/>
      </c>
      <c r="AJ1331" s="1" t="str">
        <f>""</f>
        <v/>
      </c>
      <c r="AK1331" s="1" t="str">
        <f>""</f>
        <v/>
      </c>
    </row>
    <row r="1332" spans="1:37" x14ac:dyDescent="0.2">
      <c r="A1332" s="1">
        <v>65000</v>
      </c>
      <c r="B1332" s="1">
        <v>952000188</v>
      </c>
      <c r="C1332" s="1" t="str">
        <f>"تخليه - لرستان- جاده خرم آباد کوهدشت 20کيلومتري فرعي سمت راست شهرک دام"</f>
        <v>تخليه - لرستان- جاده خرم آباد کوهدشت 20کيلومتري فرعي سمت راست شهرک دام</v>
      </c>
      <c r="D1332" s="1">
        <v>8023</v>
      </c>
      <c r="E1332" s="1">
        <v>64620</v>
      </c>
      <c r="F1332" s="1">
        <v>95</v>
      </c>
      <c r="G1332" s="1">
        <v>380</v>
      </c>
      <c r="H1332" s="1" t="str">
        <f>"95/08/15"</f>
        <v>95/08/15</v>
      </c>
      <c r="I1332" s="1" t="str">
        <f t="shared" si="324"/>
        <v>كيلوگرم</v>
      </c>
      <c r="J1332" s="1" t="str">
        <f t="shared" si="335"/>
        <v>0000000076</v>
      </c>
      <c r="K1332" s="1" t="str">
        <f t="shared" si="336"/>
        <v>قير 60/70 - فله</v>
      </c>
      <c r="L1332" s="1">
        <v>100</v>
      </c>
      <c r="M1332" s="1" t="str">
        <f t="shared" si="330"/>
        <v>مخازن قير اصفهان</v>
      </c>
      <c r="N1332" s="1">
        <v>11171</v>
      </c>
      <c r="O1332" s="1">
        <v>50032492</v>
      </c>
      <c r="P1332" s="1" t="str">
        <f>"  شهرداري سراب دوره"</f>
        <v xml:space="preserve">  شهرداري سراب دوره</v>
      </c>
      <c r="Q1332" s="1">
        <v>20</v>
      </c>
      <c r="R1332" s="1" t="str">
        <f>"فروش داخلي - سازمان شهرداري ها و دهياري هاي كشور"</f>
        <v>فروش داخلي - سازمان شهرداري ها و دهياري هاي كشور</v>
      </c>
      <c r="S1332" s="1" t="str">
        <f t="shared" si="325"/>
        <v>قرارداد فروش</v>
      </c>
      <c r="T1332" s="1" t="str">
        <f t="shared" si="326"/>
        <v>ندارد</v>
      </c>
      <c r="U1332" s="1" t="str">
        <f>"بستاني محسن (2882039)"</f>
        <v>بستاني محسن (2882039)</v>
      </c>
      <c r="V1332" s="1">
        <v>952000188</v>
      </c>
      <c r="W1332" s="1">
        <v>952000188</v>
      </c>
      <c r="X1332" s="1" t="str">
        <f>"1395443199"</f>
        <v>1395443199</v>
      </c>
      <c r="Y1332" s="1" t="str">
        <f>"95/08/15"</f>
        <v>95/08/15</v>
      </c>
      <c r="Z1332" s="1" t="str">
        <f>"39493"</f>
        <v>39493</v>
      </c>
      <c r="AA1332" s="1" t="str">
        <f>"شهرداريها"</f>
        <v>شهرداريها</v>
      </c>
      <c r="AB1332" s="1" t="str">
        <f>"95/08/11"</f>
        <v>95/08/11</v>
      </c>
      <c r="AC1332" s="1" t="str">
        <f>"لرستان"</f>
        <v>لرستان</v>
      </c>
      <c r="AD1332" s="1" t="str">
        <f>"95/08/15"</f>
        <v>95/08/15</v>
      </c>
      <c r="AE1332" s="1" t="str">
        <f t="shared" si="337"/>
        <v>اختتام</v>
      </c>
      <c r="AF1332" s="1" t="str">
        <f>""</f>
        <v/>
      </c>
      <c r="AG1332" s="1" t="str">
        <f>""</f>
        <v/>
      </c>
      <c r="AH1332" s="1" t="str">
        <f>""</f>
        <v/>
      </c>
      <c r="AI1332" s="1" t="str">
        <f>""</f>
        <v/>
      </c>
      <c r="AJ1332" s="1" t="str">
        <f>""</f>
        <v/>
      </c>
      <c r="AK1332" s="1" t="str">
        <f>""</f>
        <v/>
      </c>
    </row>
    <row r="1333" spans="1:37" x14ac:dyDescent="0.2">
      <c r="A1333" s="1">
        <v>65000</v>
      </c>
      <c r="B1333" s="1">
        <v>952000074</v>
      </c>
      <c r="C1333" s="1" t="str">
        <f>"تخليه لرستان -شهرستان شول آباد-شهرداري شول آباد"</f>
        <v>تخليه لرستان -شهرستان شول آباد-شهرداري شول آباد</v>
      </c>
      <c r="D1333" s="1">
        <v>6876</v>
      </c>
      <c r="E1333" s="1">
        <v>63380</v>
      </c>
      <c r="F1333" s="1">
        <v>95</v>
      </c>
      <c r="G1333" s="1">
        <v>1620</v>
      </c>
      <c r="H1333" s="1" t="str">
        <f>"95/06/15"</f>
        <v>95/06/15</v>
      </c>
      <c r="I1333" s="1" t="str">
        <f t="shared" si="324"/>
        <v>كيلوگرم</v>
      </c>
      <c r="J1333" s="1" t="str">
        <f t="shared" si="335"/>
        <v>0000000076</v>
      </c>
      <c r="K1333" s="1" t="str">
        <f t="shared" si="336"/>
        <v>قير 60/70 - فله</v>
      </c>
      <c r="L1333" s="1">
        <v>100</v>
      </c>
      <c r="M1333" s="1" t="str">
        <f t="shared" si="330"/>
        <v>مخازن قير اصفهان</v>
      </c>
      <c r="N1333" s="1">
        <v>11178</v>
      </c>
      <c r="O1333" s="1">
        <v>50031798</v>
      </c>
      <c r="P1333" s="1" t="str">
        <f>"  شهرداري شول آباد"</f>
        <v xml:space="preserve">  شهرداري شول آباد</v>
      </c>
      <c r="Q1333" s="1">
        <v>20</v>
      </c>
      <c r="R1333" s="1" t="str">
        <f>"فروش داخلي - سازمان شهرداري ها و دهياري هاي كشور"</f>
        <v>فروش داخلي - سازمان شهرداري ها و دهياري هاي كشور</v>
      </c>
      <c r="S1333" s="1" t="str">
        <f t="shared" si="325"/>
        <v>قرارداد فروش</v>
      </c>
      <c r="T1333" s="1" t="str">
        <f t="shared" si="326"/>
        <v>ندارد</v>
      </c>
      <c r="U1333" s="1" t="str">
        <f>"رضائي كلهر حسن (1901099)"</f>
        <v>رضائي كلهر حسن (1901099)</v>
      </c>
      <c r="V1333" s="1">
        <v>952000074</v>
      </c>
      <c r="W1333" s="1">
        <v>952000074</v>
      </c>
      <c r="X1333" s="1" t="str">
        <f>"1395428997"</f>
        <v>1395428997</v>
      </c>
      <c r="Y1333" s="1" t="str">
        <f>"95/06/15"</f>
        <v>95/06/15</v>
      </c>
      <c r="Z1333" s="1" t="str">
        <f>"27663"</f>
        <v>27663</v>
      </c>
      <c r="AA1333" s="1" t="str">
        <f>"شهرداريها"</f>
        <v>شهرداريها</v>
      </c>
      <c r="AB1333" s="1" t="str">
        <f>"95/06/10"</f>
        <v>95/06/10</v>
      </c>
      <c r="AC1333" s="1" t="str">
        <f>"لرستان"</f>
        <v>لرستان</v>
      </c>
      <c r="AD1333" s="1" t="str">
        <f>"95/06/14"</f>
        <v>95/06/14</v>
      </c>
      <c r="AE1333" s="1" t="str">
        <f t="shared" si="337"/>
        <v>اختتام</v>
      </c>
      <c r="AF1333" s="1" t="str">
        <f>""</f>
        <v/>
      </c>
      <c r="AG1333" s="1" t="str">
        <f>""</f>
        <v/>
      </c>
      <c r="AH1333" s="1" t="str">
        <f>""</f>
        <v/>
      </c>
      <c r="AI1333" s="1" t="str">
        <f>""</f>
        <v/>
      </c>
      <c r="AJ1333" s="1" t="str">
        <f>""</f>
        <v/>
      </c>
      <c r="AK1333" s="1" t="str">
        <f>""</f>
        <v/>
      </c>
    </row>
    <row r="1334" spans="1:37" x14ac:dyDescent="0.2">
      <c r="A1334" s="1">
        <v>95000</v>
      </c>
      <c r="B1334" s="1">
        <v>952000077</v>
      </c>
      <c r="C1334" s="1" t="str">
        <f>"تخليه لرستان شهرستان كوهدشت كيلومتر10جاده كوهدشت زانوگه كارخانه آسفالت شهرداري كوهدشت"</f>
        <v>تخليه لرستان شهرستان كوهدشت كيلومتر10جاده كوهدشت زانوگه كارخانه آسفالت شهرداري كوهدشت</v>
      </c>
      <c r="D1334" s="1">
        <v>6876</v>
      </c>
      <c r="E1334" s="1">
        <v>94740</v>
      </c>
      <c r="F1334" s="1">
        <v>95</v>
      </c>
      <c r="G1334" s="1">
        <v>260</v>
      </c>
      <c r="H1334" s="1" t="str">
        <f>"95/06/15"</f>
        <v>95/06/15</v>
      </c>
      <c r="I1334" s="1" t="str">
        <f t="shared" si="324"/>
        <v>كيلوگرم</v>
      </c>
      <c r="J1334" s="1" t="str">
        <f t="shared" si="335"/>
        <v>0000000076</v>
      </c>
      <c r="K1334" s="1" t="str">
        <f t="shared" si="336"/>
        <v>قير 60/70 - فله</v>
      </c>
      <c r="L1334" s="1">
        <v>100</v>
      </c>
      <c r="M1334" s="1" t="str">
        <f t="shared" si="330"/>
        <v>مخازن قير اصفهان</v>
      </c>
      <c r="N1334" s="1">
        <v>11179</v>
      </c>
      <c r="O1334" s="1">
        <v>50031811</v>
      </c>
      <c r="P1334" s="1" t="str">
        <f>"  شهرداري كوناني"</f>
        <v xml:space="preserve">  شهرداري كوناني</v>
      </c>
      <c r="Q1334" s="1">
        <v>20</v>
      </c>
      <c r="R1334" s="1" t="str">
        <f>"فروش داخلي - سازمان شهرداري ها و دهياري هاي كشور"</f>
        <v>فروش داخلي - سازمان شهرداري ها و دهياري هاي كشور</v>
      </c>
      <c r="S1334" s="1" t="str">
        <f t="shared" si="325"/>
        <v>قرارداد فروش</v>
      </c>
      <c r="T1334" s="1" t="str">
        <f t="shared" si="326"/>
        <v>ندارد</v>
      </c>
      <c r="U1334" s="1" t="str">
        <f>"عظيمي محمد(2842015)"</f>
        <v>عظيمي محمد(2842015)</v>
      </c>
      <c r="V1334" s="1">
        <v>952000077</v>
      </c>
      <c r="W1334" s="1">
        <v>952000077</v>
      </c>
      <c r="X1334" s="1" t="str">
        <f>"1395429123"</f>
        <v>1395429123</v>
      </c>
      <c r="Y1334" s="1" t="str">
        <f>"95/06/15"</f>
        <v>95/06/15</v>
      </c>
      <c r="Z1334" s="1" t="str">
        <f>"27929"</f>
        <v>27929</v>
      </c>
      <c r="AA1334" s="1" t="str">
        <f>"شهرداريها"</f>
        <v>شهرداريها</v>
      </c>
      <c r="AB1334" s="1" t="str">
        <f>"95/06/13"</f>
        <v>95/06/13</v>
      </c>
      <c r="AC1334" s="1" t="str">
        <f>"لرستان"</f>
        <v>لرستان</v>
      </c>
      <c r="AD1334" s="1" t="str">
        <f>"95/06/15"</f>
        <v>95/06/15</v>
      </c>
      <c r="AE1334" s="1" t="str">
        <f t="shared" si="337"/>
        <v>اختتام</v>
      </c>
      <c r="AF1334" s="1" t="str">
        <f>""</f>
        <v/>
      </c>
      <c r="AG1334" s="1" t="str">
        <f>""</f>
        <v/>
      </c>
      <c r="AH1334" s="1" t="str">
        <f>""</f>
        <v/>
      </c>
      <c r="AI1334" s="1" t="str">
        <f>""</f>
        <v/>
      </c>
      <c r="AJ1334" s="1" t="str">
        <f>""</f>
        <v/>
      </c>
      <c r="AK1334" s="1" t="str">
        <f>""</f>
        <v/>
      </c>
    </row>
    <row r="1335" spans="1:37" x14ac:dyDescent="0.2">
      <c r="A1335" s="1">
        <v>89000</v>
      </c>
      <c r="B1335" s="1">
        <v>956200196</v>
      </c>
      <c r="C1335" s="1" t="str">
        <f>"تخليه - کردستان - سه راهي مريوان -کارخانه آسفالت قشلاق"</f>
        <v>تخليه - کردستان - سه راهي مريوان -کارخانه آسفالت قشلاق</v>
      </c>
      <c r="D1335" s="1">
        <v>9361</v>
      </c>
      <c r="E1335" s="1">
        <v>84480</v>
      </c>
      <c r="F1335" s="1">
        <v>95</v>
      </c>
      <c r="G1335" s="1">
        <v>4520</v>
      </c>
      <c r="H1335" s="1" t="str">
        <f>"95/11/19"</f>
        <v>95/11/19</v>
      </c>
      <c r="I1335" s="1" t="str">
        <f t="shared" si="324"/>
        <v>كيلوگرم</v>
      </c>
      <c r="J1335" s="1" t="str">
        <f>"1000000002"</f>
        <v>1000000002</v>
      </c>
      <c r="K1335" s="1" t="str">
        <f>"قير 85/100 - فله"</f>
        <v>قير 85/100 - فله</v>
      </c>
      <c r="L1335" s="1">
        <v>100</v>
      </c>
      <c r="M1335" s="1" t="str">
        <f t="shared" si="330"/>
        <v>مخازن قير اصفهان</v>
      </c>
      <c r="N1335" s="1">
        <v>8328</v>
      </c>
      <c r="O1335" s="1">
        <v>50033629</v>
      </c>
      <c r="P1335" s="1" t="str">
        <f>"  آبيدركردستان"</f>
        <v xml:space="preserve">  آبيدركردستان</v>
      </c>
      <c r="Q1335" s="1">
        <v>62</v>
      </c>
      <c r="R1335" s="1" t="str">
        <f>"فروش داخلي - سازمان بنيادمسكن انقلاب اسلامي"</f>
        <v>فروش داخلي - سازمان بنيادمسكن انقلاب اسلامي</v>
      </c>
      <c r="S1335" s="1" t="str">
        <f t="shared" si="325"/>
        <v>قرارداد فروش</v>
      </c>
      <c r="T1335" s="1" t="str">
        <f t="shared" si="326"/>
        <v>ندارد</v>
      </c>
      <c r="U1335" s="1" t="str">
        <f>"قنبري امين(2872037)"</f>
        <v>قنبري امين(2872037)</v>
      </c>
      <c r="V1335" s="1">
        <v>956200196</v>
      </c>
      <c r="W1335" s="1">
        <v>956200196</v>
      </c>
      <c r="X1335" s="1" t="str">
        <f>"1395463366"</f>
        <v>1395463366</v>
      </c>
      <c r="Y1335" s="1" t="str">
        <f>"95/11/19"</f>
        <v>95/11/19</v>
      </c>
      <c r="Z1335" s="1" t="str">
        <f>"49888/د"</f>
        <v>49888/د</v>
      </c>
      <c r="AA1335" s="1" t="str">
        <f>"بنيادمسكن انقلاب اسلامي"</f>
        <v>بنيادمسكن انقلاب اسلامي</v>
      </c>
      <c r="AB1335" s="1" t="str">
        <f>"95/11/18"</f>
        <v>95/11/18</v>
      </c>
      <c r="AC1335" s="1" t="str">
        <f>"استان كردستان"</f>
        <v>استان كردستان</v>
      </c>
      <c r="AD1335" s="1" t="str">
        <f>"95/11/19"</f>
        <v>95/11/19</v>
      </c>
      <c r="AE1335" s="1" t="str">
        <f t="shared" si="337"/>
        <v>اختتام</v>
      </c>
      <c r="AF1335" s="1" t="str">
        <f>""</f>
        <v/>
      </c>
      <c r="AG1335" s="1" t="str">
        <f>""</f>
        <v/>
      </c>
      <c r="AH1335" s="1" t="str">
        <f>""</f>
        <v/>
      </c>
      <c r="AI1335" s="1" t="str">
        <f>""</f>
        <v/>
      </c>
      <c r="AJ1335" s="1" t="str">
        <f>""</f>
        <v/>
      </c>
      <c r="AK1335" s="1" t="str">
        <f>""</f>
        <v/>
      </c>
    </row>
    <row r="1336" spans="1:37" x14ac:dyDescent="0.2">
      <c r="A1336" s="1">
        <v>72000</v>
      </c>
      <c r="B1336" s="1">
        <v>952000114</v>
      </c>
      <c r="C1336" s="1" t="str">
        <f>"تخليه - فريدن - شهردامنه-کارخانه آسفالت دامنه"</f>
        <v>تخليه - فريدن - شهردامنه-کارخانه آسفالت دامنه</v>
      </c>
      <c r="D1336" s="1">
        <v>6976</v>
      </c>
      <c r="E1336" s="1">
        <v>71660</v>
      </c>
      <c r="F1336" s="1">
        <v>95</v>
      </c>
      <c r="G1336" s="1">
        <v>340</v>
      </c>
      <c r="H1336" s="1" t="str">
        <f>"95/07/06"</f>
        <v>95/07/06</v>
      </c>
      <c r="I1336" s="1" t="str">
        <f t="shared" si="324"/>
        <v>كيلوگرم</v>
      </c>
      <c r="J1336" s="1" t="str">
        <f t="shared" ref="J1336:J1343" si="338">"0000000076"</f>
        <v>0000000076</v>
      </c>
      <c r="K1336" s="1" t="str">
        <f t="shared" ref="K1336:K1343" si="339">"قير 60/70 - فله"</f>
        <v>قير 60/70 - فله</v>
      </c>
      <c r="L1336" s="1">
        <v>100</v>
      </c>
      <c r="M1336" s="1" t="str">
        <f t="shared" si="330"/>
        <v>مخازن قير اصفهان</v>
      </c>
      <c r="N1336" s="1">
        <v>11188</v>
      </c>
      <c r="O1336" s="1">
        <v>50031984</v>
      </c>
      <c r="P1336" s="1" t="str">
        <f>"  شهرداري رزوه"</f>
        <v xml:space="preserve">  شهرداري رزوه</v>
      </c>
      <c r="Q1336" s="1">
        <v>20</v>
      </c>
      <c r="R1336" s="1" t="str">
        <f>"فروش داخلي - سازمان شهرداري ها و دهياري هاي كشور"</f>
        <v>فروش داخلي - سازمان شهرداري ها و دهياري هاي كشور</v>
      </c>
      <c r="S1336" s="1" t="str">
        <f t="shared" si="325"/>
        <v>قرارداد فروش</v>
      </c>
      <c r="T1336" s="1" t="str">
        <f t="shared" si="326"/>
        <v>ندارد</v>
      </c>
      <c r="U1336" s="1" t="str">
        <f>"سيفي پور گودرز(1019ج89)"</f>
        <v>سيفي پور گودرز(1019ج89)</v>
      </c>
      <c r="V1336" s="1">
        <v>952000114</v>
      </c>
      <c r="W1336" s="1">
        <v>952000114</v>
      </c>
      <c r="X1336" s="1" t="str">
        <f>"1395433839"</f>
        <v>1395433839</v>
      </c>
      <c r="Y1336" s="1" t="str">
        <f>"95/07/06"</f>
        <v>95/07/06</v>
      </c>
      <c r="Z1336" s="1" t="str">
        <f>"27715"</f>
        <v>27715</v>
      </c>
      <c r="AA1336" s="1" t="str">
        <f>"شهرداريها"</f>
        <v>شهرداريها</v>
      </c>
      <c r="AB1336" s="1" t="str">
        <f>"95/06/10"</f>
        <v>95/06/10</v>
      </c>
      <c r="AC1336" s="1" t="str">
        <f>"استان اصفهان"</f>
        <v>استان اصفهان</v>
      </c>
      <c r="AD1336" s="1" t="str">
        <f>"95/07/05"</f>
        <v>95/07/05</v>
      </c>
      <c r="AE1336" s="1" t="str">
        <f t="shared" si="337"/>
        <v>اختتام</v>
      </c>
      <c r="AF1336" s="1" t="str">
        <f>""</f>
        <v/>
      </c>
      <c r="AG1336" s="1" t="str">
        <f>""</f>
        <v/>
      </c>
      <c r="AH1336" s="1" t="str">
        <f>""</f>
        <v/>
      </c>
      <c r="AI1336" s="1" t="str">
        <f>""</f>
        <v/>
      </c>
      <c r="AJ1336" s="1" t="str">
        <f>""</f>
        <v/>
      </c>
      <c r="AK1336" s="1" t="str">
        <f>""</f>
        <v/>
      </c>
    </row>
    <row r="1337" spans="1:37" x14ac:dyDescent="0.2">
      <c r="A1337" s="1">
        <v>77000</v>
      </c>
      <c r="B1337" s="1">
        <v>952000245</v>
      </c>
      <c r="C1337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337" s="1">
        <v>7026</v>
      </c>
      <c r="E1337" s="1">
        <v>76040</v>
      </c>
      <c r="F1337" s="1">
        <v>95</v>
      </c>
      <c r="G1337" s="1">
        <v>960</v>
      </c>
      <c r="H1337" s="1" t="str">
        <f>"95/09/07"</f>
        <v>95/09/07</v>
      </c>
      <c r="I1337" s="1" t="str">
        <f t="shared" si="324"/>
        <v>كيلوگرم</v>
      </c>
      <c r="J1337" s="1" t="str">
        <f t="shared" si="338"/>
        <v>0000000076</v>
      </c>
      <c r="K1337" s="1" t="str">
        <f t="shared" si="339"/>
        <v>قير 60/70 - فله</v>
      </c>
      <c r="L1337" s="1">
        <v>100</v>
      </c>
      <c r="M1337" s="1" t="str">
        <f t="shared" si="330"/>
        <v>مخازن قير اصفهان</v>
      </c>
      <c r="N1337" s="1">
        <v>11194</v>
      </c>
      <c r="O1337" s="1">
        <v>50032707</v>
      </c>
      <c r="P1337" s="1" t="str">
        <f>"  شهرداري سوق"</f>
        <v xml:space="preserve">  شهرداري سوق</v>
      </c>
      <c r="Q1337" s="1">
        <v>20</v>
      </c>
      <c r="R1337" s="1" t="str">
        <f>"فروش داخلي - سازمان شهرداري ها و دهياري هاي كشور"</f>
        <v>فروش داخلي - سازمان شهرداري ها و دهياري هاي كشور</v>
      </c>
      <c r="S1337" s="1" t="str">
        <f t="shared" si="325"/>
        <v>قرارداد فروش</v>
      </c>
      <c r="T1337" s="1" t="str">
        <f t="shared" si="326"/>
        <v>ندارد</v>
      </c>
      <c r="U1337" s="1" t="str">
        <f>"دشت بشي پودنگ وبرادران رضا(4844014)"</f>
        <v>دشت بشي پودنگ وبرادران رضا(4844014)</v>
      </c>
      <c r="V1337" s="1">
        <v>952000245</v>
      </c>
      <c r="W1337" s="1">
        <v>952000245</v>
      </c>
      <c r="X1337" s="1" t="str">
        <f>"1395447617"</f>
        <v>1395447617</v>
      </c>
      <c r="Y1337" s="1" t="str">
        <f>"95/09/07"</f>
        <v>95/09/07</v>
      </c>
      <c r="Z1337" s="1" t="str">
        <f>"42231"</f>
        <v>42231</v>
      </c>
      <c r="AA1337" s="1" t="str">
        <f>"شهرداريها"</f>
        <v>شهرداريها</v>
      </c>
      <c r="AB1337" s="1" t="str">
        <f>"95/08/25"</f>
        <v>95/08/25</v>
      </c>
      <c r="AC1337" s="1" t="str">
        <f>"كهكيلويه و بوير احمد"</f>
        <v>كهكيلويه و بوير احمد</v>
      </c>
      <c r="AD1337" s="1" t="str">
        <f>"95/09/06"</f>
        <v>95/09/06</v>
      </c>
      <c r="AE1337" s="1" t="str">
        <f t="shared" si="337"/>
        <v>اختتام</v>
      </c>
      <c r="AF1337" s="1" t="str">
        <f>""</f>
        <v/>
      </c>
      <c r="AG1337" s="1" t="str">
        <f>""</f>
        <v/>
      </c>
      <c r="AH1337" s="1" t="str">
        <f>""</f>
        <v/>
      </c>
      <c r="AI1337" s="1" t="str">
        <f>""</f>
        <v/>
      </c>
      <c r="AJ1337" s="1" t="str">
        <f>""</f>
        <v/>
      </c>
      <c r="AK1337" s="1" t="str">
        <f>""</f>
        <v/>
      </c>
    </row>
    <row r="1338" spans="1:37" x14ac:dyDescent="0.2">
      <c r="A1338" s="1">
        <v>117000</v>
      </c>
      <c r="B1338" s="1">
        <v>952000331</v>
      </c>
      <c r="C1338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1338" s="1">
        <v>9361</v>
      </c>
      <c r="E1338" s="1">
        <v>115460</v>
      </c>
      <c r="F1338" s="1">
        <v>95</v>
      </c>
      <c r="G1338" s="1">
        <v>1540</v>
      </c>
      <c r="H1338" s="1" t="str">
        <f>"95/11/24"</f>
        <v>95/11/24</v>
      </c>
      <c r="I1338" s="1" t="str">
        <f t="shared" si="324"/>
        <v>كيلوگرم</v>
      </c>
      <c r="J1338" s="1" t="str">
        <f t="shared" si="338"/>
        <v>0000000076</v>
      </c>
      <c r="K1338" s="1" t="str">
        <f t="shared" si="339"/>
        <v>قير 60/70 - فله</v>
      </c>
      <c r="L1338" s="1">
        <v>100</v>
      </c>
      <c r="M1338" s="1" t="str">
        <f t="shared" si="330"/>
        <v>مخازن قير اصفهان</v>
      </c>
      <c r="N1338" s="1">
        <v>11204</v>
      </c>
      <c r="O1338" s="1">
        <v>50033695</v>
      </c>
      <c r="P1338" s="1" t="str">
        <f>"  شهرداري چرام"</f>
        <v xml:space="preserve">  شهرداري چرام</v>
      </c>
      <c r="Q1338" s="1">
        <v>20</v>
      </c>
      <c r="R1338" s="1" t="str">
        <f>"فروش داخلي - سازمان شهرداري ها و دهياري هاي كشور"</f>
        <v>فروش داخلي - سازمان شهرداري ها و دهياري هاي كشور</v>
      </c>
      <c r="S1338" s="1" t="str">
        <f t="shared" si="325"/>
        <v>قرارداد فروش</v>
      </c>
      <c r="T1338" s="1" t="str">
        <f t="shared" si="326"/>
        <v>ندارد</v>
      </c>
      <c r="U1338" s="1" t="str">
        <f>"غلام نجفي سيامك‌‌‌‌‌‌(1881082)"</f>
        <v>غلام نجفي سيامك‌‌‌‌‌‌(1881082)</v>
      </c>
      <c r="V1338" s="1">
        <v>952000331</v>
      </c>
      <c r="W1338" s="1">
        <v>952000331</v>
      </c>
      <c r="X1338" s="1" t="str">
        <f>"1395464401"</f>
        <v>1395464401</v>
      </c>
      <c r="Y1338" s="1" t="str">
        <f>"95/11/24"</f>
        <v>95/11/24</v>
      </c>
      <c r="Z1338" s="1" t="str">
        <f>"46055"</f>
        <v>46055</v>
      </c>
      <c r="AA1338" s="1" t="str">
        <f>"شهرداريها"</f>
        <v>شهرداريها</v>
      </c>
      <c r="AB1338" s="1" t="str">
        <f>"95/09/17"</f>
        <v>95/09/17</v>
      </c>
      <c r="AC1338" s="1" t="str">
        <f>"كهكيلويه و بوير احمد"</f>
        <v>كهكيلويه و بوير احمد</v>
      </c>
      <c r="AD1338" s="1" t="str">
        <f>"95/11/23"</f>
        <v>95/11/23</v>
      </c>
      <c r="AE1338" s="1" t="str">
        <f t="shared" si="337"/>
        <v>اختتام</v>
      </c>
      <c r="AF1338" s="1" t="str">
        <f>""</f>
        <v/>
      </c>
      <c r="AG1338" s="1" t="str">
        <f>""</f>
        <v/>
      </c>
      <c r="AH1338" s="1" t="str">
        <f>""</f>
        <v/>
      </c>
      <c r="AI1338" s="1" t="str">
        <f>""</f>
        <v/>
      </c>
      <c r="AJ1338" s="1" t="str">
        <f>""</f>
        <v/>
      </c>
      <c r="AK1338" s="1" t="str">
        <f>""</f>
        <v/>
      </c>
    </row>
    <row r="1339" spans="1:37" x14ac:dyDescent="0.2">
      <c r="A1339" s="1">
        <v>66000</v>
      </c>
      <c r="B1339" s="1">
        <v>952000176</v>
      </c>
      <c r="C1339" s="1" t="str">
        <f>"تخليه كهگيلويه وبويراحمدياسوج كارخانه آسفالت شهرداري ياسوج"</f>
        <v>تخليه كهگيلويه وبويراحمدياسوج كارخانه آسفالت شهرداري ياسوج</v>
      </c>
      <c r="D1339" s="1">
        <v>8973</v>
      </c>
      <c r="E1339" s="1">
        <v>64840</v>
      </c>
      <c r="F1339" s="1">
        <v>95</v>
      </c>
      <c r="G1339" s="1">
        <v>1160</v>
      </c>
      <c r="H1339" s="1" t="str">
        <f>"95/08/10"</f>
        <v>95/08/10</v>
      </c>
      <c r="I1339" s="1" t="str">
        <f t="shared" si="324"/>
        <v>كيلوگرم</v>
      </c>
      <c r="J1339" s="1" t="str">
        <f t="shared" si="338"/>
        <v>0000000076</v>
      </c>
      <c r="K1339" s="1" t="str">
        <f t="shared" si="339"/>
        <v>قير 60/70 - فله</v>
      </c>
      <c r="L1339" s="1">
        <v>100</v>
      </c>
      <c r="M1339" s="1" t="str">
        <f t="shared" si="330"/>
        <v>مخازن قير اصفهان</v>
      </c>
      <c r="N1339" s="1">
        <v>11208</v>
      </c>
      <c r="O1339" s="1">
        <v>50033260</v>
      </c>
      <c r="P1339" s="1" t="str">
        <f>"  شهرداري چيتاب"</f>
        <v xml:space="preserve">  شهرداري چيتاب</v>
      </c>
      <c r="Q1339" s="1">
        <v>20</v>
      </c>
      <c r="R1339" s="1" t="str">
        <f>"فروش داخلي - سازمان شهرداري ها و دهياري هاي كشور"</f>
        <v>فروش داخلي - سازمان شهرداري ها و دهياري هاي كشور</v>
      </c>
      <c r="S1339" s="1" t="str">
        <f t="shared" si="325"/>
        <v>قرارداد فروش</v>
      </c>
      <c r="T1339" s="1" t="str">
        <f t="shared" si="326"/>
        <v>ندارد</v>
      </c>
      <c r="U1339" s="1" t="str">
        <f>"دشت بشي پودنگ وبرادران رضا(4844014)"</f>
        <v>دشت بشي پودنگ وبرادران رضا(4844014)</v>
      </c>
      <c r="V1339" s="1">
        <v>952000176</v>
      </c>
      <c r="W1339" s="1">
        <v>952000176</v>
      </c>
      <c r="X1339" s="1" t="str">
        <f>"1395441430"</f>
        <v>1395441430</v>
      </c>
      <c r="Y1339" s="1" t="str">
        <f>"95/08/10"</f>
        <v>95/08/10</v>
      </c>
      <c r="Z1339" s="1" t="str">
        <f>"35623"</f>
        <v>35623</v>
      </c>
      <c r="AA1339" s="1" t="str">
        <f>"شهرداريها"</f>
        <v>شهرداريها</v>
      </c>
      <c r="AB1339" s="1" t="str">
        <f>"95/07/25"</f>
        <v>95/07/25</v>
      </c>
      <c r="AC1339" s="1" t="str">
        <f>"كهكيلويه و بوير احمد"</f>
        <v>كهكيلويه و بوير احمد</v>
      </c>
      <c r="AD1339" s="1" t="str">
        <f>"95/08/09"</f>
        <v>95/08/09</v>
      </c>
      <c r="AE1339" s="1" t="str">
        <f t="shared" si="337"/>
        <v>اختتام</v>
      </c>
      <c r="AF1339" s="1" t="str">
        <f>""</f>
        <v/>
      </c>
      <c r="AG1339" s="1" t="str">
        <f>""</f>
        <v/>
      </c>
      <c r="AH1339" s="1" t="str">
        <f>""</f>
        <v/>
      </c>
      <c r="AI1339" s="1" t="str">
        <f>""</f>
        <v/>
      </c>
      <c r="AJ1339" s="1" t="str">
        <f>""</f>
        <v/>
      </c>
      <c r="AK1339" s="1" t="str">
        <f>""</f>
        <v/>
      </c>
    </row>
    <row r="1340" spans="1:37" x14ac:dyDescent="0.2">
      <c r="A1340" s="1">
        <v>68000</v>
      </c>
      <c r="B1340" s="1">
        <v>952000346</v>
      </c>
      <c r="C1340" s="1" t="str">
        <f>"تخليه كهگيلويه وبويراحمدياسوج كارخانه آسفالت شهرداري ياسوج"</f>
        <v>تخليه كهگيلويه وبويراحمدياسوج كارخانه آسفالت شهرداري ياسوج</v>
      </c>
      <c r="D1340" s="1">
        <v>9361</v>
      </c>
      <c r="E1340" s="1">
        <v>65180</v>
      </c>
      <c r="F1340" s="1">
        <v>95</v>
      </c>
      <c r="G1340" s="1">
        <v>2820</v>
      </c>
      <c r="H1340" s="1" t="str">
        <f>"95/11/24"</f>
        <v>95/11/24</v>
      </c>
      <c r="I1340" s="1" t="str">
        <f t="shared" si="324"/>
        <v>كيلوگرم</v>
      </c>
      <c r="J1340" s="1" t="str">
        <f t="shared" si="338"/>
        <v>0000000076</v>
      </c>
      <c r="K1340" s="1" t="str">
        <f t="shared" si="339"/>
        <v>قير 60/70 - فله</v>
      </c>
      <c r="L1340" s="1">
        <v>100</v>
      </c>
      <c r="M1340" s="1" t="str">
        <f t="shared" si="330"/>
        <v>مخازن قير اصفهان</v>
      </c>
      <c r="N1340" s="1">
        <v>11208</v>
      </c>
      <c r="O1340" s="1">
        <v>50033716</v>
      </c>
      <c r="P1340" s="1" t="str">
        <f>"  شهرداري چيتاب"</f>
        <v xml:space="preserve">  شهرداري چيتاب</v>
      </c>
      <c r="Q1340" s="1">
        <v>20</v>
      </c>
      <c r="R1340" s="1" t="str">
        <f>"فروش داخلي - سازمان شهرداري ها و دهياري هاي كشور"</f>
        <v>فروش داخلي - سازمان شهرداري ها و دهياري هاي كشور</v>
      </c>
      <c r="S1340" s="1" t="str">
        <f t="shared" si="325"/>
        <v>قرارداد فروش</v>
      </c>
      <c r="T1340" s="1" t="str">
        <f t="shared" si="326"/>
        <v>ندارد</v>
      </c>
      <c r="U1340" s="1" t="str">
        <f>"دشت بشي پودنگ وبرادران رضا(4844014)"</f>
        <v>دشت بشي پودنگ وبرادران رضا(4844014)</v>
      </c>
      <c r="V1340" s="1">
        <v>952000346</v>
      </c>
      <c r="W1340" s="1">
        <v>952000346</v>
      </c>
      <c r="X1340" s="1" t="str">
        <f>"1395464562"</f>
        <v>1395464562</v>
      </c>
      <c r="Y1340" s="1" t="str">
        <f>"95/11/24"</f>
        <v>95/11/24</v>
      </c>
      <c r="Z1340" s="1" t="str">
        <f>"48263"</f>
        <v>48263</v>
      </c>
      <c r="AA1340" s="1" t="str">
        <f>"شهرداريها"</f>
        <v>شهرداريها</v>
      </c>
      <c r="AB1340" s="1" t="str">
        <f>"95/09/30"</f>
        <v>95/09/30</v>
      </c>
      <c r="AC1340" s="1" t="str">
        <f>"كهكيلويه و بوير احمد"</f>
        <v>كهكيلويه و بوير احمد</v>
      </c>
      <c r="AD1340" s="1" t="str">
        <f>"95/11/24"</f>
        <v>95/11/24</v>
      </c>
      <c r="AE1340" s="1" t="str">
        <f t="shared" si="337"/>
        <v>اختتام</v>
      </c>
      <c r="AF1340" s="1" t="str">
        <f>""</f>
        <v/>
      </c>
      <c r="AG1340" s="1" t="str">
        <f>""</f>
        <v/>
      </c>
      <c r="AH1340" s="1" t="str">
        <f>""</f>
        <v/>
      </c>
      <c r="AI1340" s="1" t="str">
        <f>""</f>
        <v/>
      </c>
      <c r="AJ1340" s="1" t="str">
        <f>""</f>
        <v/>
      </c>
      <c r="AK1340" s="1" t="str">
        <f>""</f>
        <v/>
      </c>
    </row>
    <row r="1341" spans="1:37" x14ac:dyDescent="0.2">
      <c r="A1341" s="1">
        <v>689000</v>
      </c>
      <c r="B1341" s="1">
        <v>956200100</v>
      </c>
      <c r="C1341" s="1" t="str">
        <f>"تخليه -لرستان-کيلومتر 7 جاده ازنا-اليگودرز-نرسيده به ازنا-پشت شهرک المهدي"</f>
        <v>تخليه -لرستان-کيلومتر 7 جاده ازنا-اليگودرز-نرسيده به ازنا-پشت شهرک المهدي</v>
      </c>
      <c r="D1341" s="1">
        <v>7026</v>
      </c>
      <c r="E1341" s="1">
        <v>688040</v>
      </c>
      <c r="F1341" s="1">
        <v>95</v>
      </c>
      <c r="G1341" s="1">
        <v>960</v>
      </c>
      <c r="H1341" s="1" t="str">
        <f>"95/09/14"</f>
        <v>95/09/14</v>
      </c>
      <c r="I1341" s="1" t="str">
        <f t="shared" si="324"/>
        <v>كيلوگرم</v>
      </c>
      <c r="J1341" s="1" t="str">
        <f t="shared" si="338"/>
        <v>0000000076</v>
      </c>
      <c r="K1341" s="1" t="str">
        <f t="shared" si="339"/>
        <v>قير 60/70 - فله</v>
      </c>
      <c r="L1341" s="1">
        <v>100</v>
      </c>
      <c r="M1341" s="1" t="str">
        <f t="shared" si="330"/>
        <v>مخازن قير اصفهان</v>
      </c>
      <c r="N1341" s="1">
        <v>11217</v>
      </c>
      <c r="O1341" s="1">
        <v>50032840</v>
      </c>
      <c r="P1341" s="1" t="str">
        <f>"  شميم کاه گل"</f>
        <v xml:space="preserve">  شميم کاه گل</v>
      </c>
      <c r="Q1341" s="1">
        <v>62</v>
      </c>
      <c r="R1341" s="1" t="str">
        <f>"فروش داخلي - سازمان بنيادمسكن انقلاب اسلامي"</f>
        <v>فروش داخلي - سازمان بنيادمسكن انقلاب اسلامي</v>
      </c>
      <c r="S1341" s="1" t="str">
        <f t="shared" si="325"/>
        <v>قرارداد فروش</v>
      </c>
      <c r="T1341" s="1" t="str">
        <f t="shared" si="326"/>
        <v>ندارد</v>
      </c>
      <c r="U1341" s="1" t="str">
        <f>"رضائي كلهر حسن (1901099)"</f>
        <v>رضائي كلهر حسن (1901099)</v>
      </c>
      <c r="V1341" s="1">
        <v>956200100</v>
      </c>
      <c r="W1341" s="1">
        <v>956200100</v>
      </c>
      <c r="X1341" s="1" t="str">
        <f>"1395449223"</f>
        <v>1395449223</v>
      </c>
      <c r="Y1341" s="1" t="str">
        <f>"95/09/14"</f>
        <v>95/09/14</v>
      </c>
      <c r="Z1341" s="1" t="str">
        <f>"38407/د"</f>
        <v>38407/د</v>
      </c>
      <c r="AA1341" s="1" t="str">
        <f>"بنيادمسكن انقلاب اسلامي"</f>
        <v>بنيادمسكن انقلاب اسلامي</v>
      </c>
      <c r="AB1341" s="1" t="str">
        <f>"95/09/13"</f>
        <v>95/09/13</v>
      </c>
      <c r="AC1341" s="1" t="str">
        <f>"لرستان"</f>
        <v>لرستان</v>
      </c>
      <c r="AD1341" s="1" t="str">
        <f>"95/09/14"</f>
        <v>95/09/14</v>
      </c>
      <c r="AE1341" s="1" t="str">
        <f t="shared" si="337"/>
        <v>اختتام</v>
      </c>
      <c r="AF1341" s="1" t="str">
        <f>""</f>
        <v/>
      </c>
      <c r="AG1341" s="1" t="str">
        <f>""</f>
        <v/>
      </c>
      <c r="AH1341" s="1" t="str">
        <f>""</f>
        <v/>
      </c>
      <c r="AI1341" s="1" t="str">
        <f>""</f>
        <v/>
      </c>
      <c r="AJ1341" s="1" t="str">
        <f>""</f>
        <v/>
      </c>
      <c r="AK1341" s="1" t="str">
        <f>""</f>
        <v/>
      </c>
    </row>
    <row r="1342" spans="1:37" x14ac:dyDescent="0.2">
      <c r="A1342" s="1">
        <v>215000</v>
      </c>
      <c r="B1342" s="1">
        <v>956200110</v>
      </c>
      <c r="C1342" s="1" t="str">
        <f>"تخليه - خراسان رضوي-مشهد-کيلومتر 21 جاده کلات-جاده کنار جهد بتن"</f>
        <v>تخليه - خراسان رضوي-مشهد-کيلومتر 21 جاده کلات-جاده کنار جهد بتن</v>
      </c>
      <c r="D1342" s="1">
        <v>8861</v>
      </c>
      <c r="E1342" s="1">
        <v>213680</v>
      </c>
      <c r="F1342" s="1">
        <v>95</v>
      </c>
      <c r="G1342" s="1">
        <v>1320</v>
      </c>
      <c r="H1342" s="1" t="str">
        <f>"95/10/05"</f>
        <v>95/10/05</v>
      </c>
      <c r="I1342" s="1" t="str">
        <f t="shared" si="324"/>
        <v>كيلوگرم</v>
      </c>
      <c r="J1342" s="1" t="str">
        <f t="shared" si="338"/>
        <v>0000000076</v>
      </c>
      <c r="K1342" s="1" t="str">
        <f t="shared" si="339"/>
        <v>قير 60/70 - فله</v>
      </c>
      <c r="L1342" s="1">
        <v>100</v>
      </c>
      <c r="M1342" s="1" t="str">
        <f t="shared" si="330"/>
        <v>مخازن قير اصفهان</v>
      </c>
      <c r="N1342" s="1">
        <v>11222</v>
      </c>
      <c r="O1342" s="1">
        <v>50033144</v>
      </c>
      <c r="P1342" s="1" t="str">
        <f>"  مشکين راه توس"</f>
        <v xml:space="preserve">  مشکين راه توس</v>
      </c>
      <c r="Q1342" s="1">
        <v>62</v>
      </c>
      <c r="R1342" s="1" t="str">
        <f>"فروش داخلي - سازمان بنيادمسكن انقلاب اسلامي"</f>
        <v>فروش داخلي - سازمان بنيادمسكن انقلاب اسلامي</v>
      </c>
      <c r="S1342" s="1" t="str">
        <f t="shared" si="325"/>
        <v>قرارداد فروش</v>
      </c>
      <c r="T1342" s="1" t="str">
        <f t="shared" si="326"/>
        <v>ندارد</v>
      </c>
      <c r="U1342" s="1" t="str">
        <f>"حسيني سيدجواد(1841076)"</f>
        <v>حسيني سيدجواد(1841076)</v>
      </c>
      <c r="V1342" s="1">
        <v>956200110</v>
      </c>
      <c r="W1342" s="1">
        <v>956200110</v>
      </c>
      <c r="X1342" s="1" t="str">
        <f>"1395454456"</f>
        <v>1395454456</v>
      </c>
      <c r="Y1342" s="1" t="str">
        <f>"95/10/05"</f>
        <v>95/10/05</v>
      </c>
      <c r="Z1342" s="1" t="str">
        <f>"40140/د"</f>
        <v>40140/د</v>
      </c>
      <c r="AA1342" s="1" t="str">
        <f>"بنيادمسكن انقلاب اسلامي"</f>
        <v>بنيادمسكن انقلاب اسلامي</v>
      </c>
      <c r="AB1342" s="1" t="str">
        <f>"95/09/23"</f>
        <v>95/09/23</v>
      </c>
      <c r="AC1342" s="1" t="str">
        <f>"خراسان رضوي"</f>
        <v>خراسان رضوي</v>
      </c>
      <c r="AD1342" s="1" t="str">
        <f>"95/10/05"</f>
        <v>95/10/05</v>
      </c>
      <c r="AE1342" s="1" t="str">
        <f t="shared" si="337"/>
        <v>اختتام</v>
      </c>
      <c r="AF1342" s="1" t="str">
        <f>""</f>
        <v/>
      </c>
      <c r="AG1342" s="1" t="str">
        <f>""</f>
        <v/>
      </c>
      <c r="AH1342" s="1" t="str">
        <f>""</f>
        <v/>
      </c>
      <c r="AI1342" s="1" t="str">
        <f>""</f>
        <v/>
      </c>
      <c r="AJ1342" s="1" t="str">
        <f>""</f>
        <v/>
      </c>
      <c r="AK1342" s="1" t="str">
        <f>""</f>
        <v/>
      </c>
    </row>
    <row r="1343" spans="1:37" x14ac:dyDescent="0.2">
      <c r="A1343" s="1">
        <v>43000</v>
      </c>
      <c r="B1343" s="1">
        <v>956200250</v>
      </c>
      <c r="C1343" s="1" t="str">
        <f>"تخليه - تهران -پاکدشت-جمال آباد -کارخانه آبادراهان بهنام"</f>
        <v>تخليه - تهران -پاکدشت-جمال آباد -کارخانه آبادراهان بهنام</v>
      </c>
      <c r="D1343" s="1">
        <v>9361</v>
      </c>
      <c r="E1343" s="1">
        <v>42380</v>
      </c>
      <c r="F1343" s="1">
        <v>95</v>
      </c>
      <c r="G1343" s="1">
        <v>620</v>
      </c>
      <c r="H1343" s="1" t="str">
        <f>"95/11/27"</f>
        <v>95/11/27</v>
      </c>
      <c r="I1343" s="1" t="str">
        <f t="shared" si="324"/>
        <v>كيلوگرم</v>
      </c>
      <c r="J1343" s="1" t="str">
        <f t="shared" si="338"/>
        <v>0000000076</v>
      </c>
      <c r="K1343" s="1" t="str">
        <f t="shared" si="339"/>
        <v>قير 60/70 - فله</v>
      </c>
      <c r="L1343" s="1">
        <v>100</v>
      </c>
      <c r="M1343" s="1" t="str">
        <f t="shared" si="330"/>
        <v>مخازن قير اصفهان</v>
      </c>
      <c r="N1343" s="1">
        <v>11262</v>
      </c>
      <c r="O1343" s="1">
        <v>50033783</v>
      </c>
      <c r="P1343" s="1" t="str">
        <f>"  تدبير سازه پرگاس"</f>
        <v xml:space="preserve">  تدبير سازه پرگاس</v>
      </c>
      <c r="Q1343" s="1">
        <v>62</v>
      </c>
      <c r="R1343" s="1" t="str">
        <f>"فروش داخلي - سازمان بنيادمسكن انقلاب اسلامي"</f>
        <v>فروش داخلي - سازمان بنيادمسكن انقلاب اسلامي</v>
      </c>
      <c r="S1343" s="1" t="str">
        <f t="shared" si="325"/>
        <v>قرارداد فروش</v>
      </c>
      <c r="T1343" s="1" t="str">
        <f t="shared" si="326"/>
        <v>ندارد</v>
      </c>
      <c r="U1343" s="1" t="str">
        <f>"حاج صادقي باقر(1841027)"</f>
        <v>حاج صادقي باقر(1841027)</v>
      </c>
      <c r="V1343" s="1">
        <v>956200250</v>
      </c>
      <c r="W1343" s="1">
        <v>956200250</v>
      </c>
      <c r="X1343" s="1" t="str">
        <f>"1395465843"</f>
        <v>1395465843</v>
      </c>
      <c r="Y1343" s="1" t="str">
        <f>"95/11/27"</f>
        <v>95/11/27</v>
      </c>
      <c r="Z1343" s="1" t="str">
        <f>"51493/د"</f>
        <v>51493/د</v>
      </c>
      <c r="AA1343" s="1" t="str">
        <f>"بنيادمسكن انقلاب اسلامي"</f>
        <v>بنيادمسكن انقلاب اسلامي</v>
      </c>
      <c r="AB1343" s="1" t="str">
        <f>"95/11/26"</f>
        <v>95/11/26</v>
      </c>
      <c r="AC1343" s="1" t="str">
        <f>"استان تهران"</f>
        <v>استان تهران</v>
      </c>
      <c r="AD1343" s="1" t="str">
        <f>"95/11/27"</f>
        <v>95/11/27</v>
      </c>
      <c r="AE1343" s="1" t="str">
        <f t="shared" si="337"/>
        <v>اختتام</v>
      </c>
      <c r="AF1343" s="1" t="str">
        <f>""</f>
        <v/>
      </c>
      <c r="AG1343" s="1" t="str">
        <f>""</f>
        <v/>
      </c>
      <c r="AH1343" s="1" t="str">
        <f>""</f>
        <v/>
      </c>
      <c r="AI1343" s="1" t="str">
        <f>""</f>
        <v/>
      </c>
      <c r="AJ1343" s="1" t="str">
        <f>""</f>
        <v/>
      </c>
      <c r="AK1343" s="1" t="str">
        <f>""</f>
        <v/>
      </c>
    </row>
    <row r="1344" spans="1:37" x14ac:dyDescent="0.2">
      <c r="A1344" s="1">
        <v>500000</v>
      </c>
      <c r="B1344" s="1">
        <v>951100119</v>
      </c>
      <c r="C1344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44" s="1">
        <v>6876</v>
      </c>
      <c r="E1344" s="1">
        <v>499600</v>
      </c>
      <c r="F1344" s="1">
        <v>95</v>
      </c>
      <c r="G1344" s="1">
        <v>400</v>
      </c>
      <c r="H1344" s="1" t="str">
        <f>"95/06/29"</f>
        <v>95/06/29</v>
      </c>
      <c r="I1344" s="1" t="str">
        <f t="shared" si="324"/>
        <v>كيلوگرم</v>
      </c>
      <c r="J1344" s="1" t="str">
        <f>"1000000002"</f>
        <v>1000000002</v>
      </c>
      <c r="K1344" s="1" t="str">
        <f>"قير 85/100 - فله"</f>
        <v>قير 85/100 - فله</v>
      </c>
      <c r="L1344" s="1">
        <v>100</v>
      </c>
      <c r="M1344" s="1" t="str">
        <f t="shared" si="330"/>
        <v>مخازن قير اصفهان</v>
      </c>
      <c r="N1344" s="1">
        <v>7047</v>
      </c>
      <c r="O1344" s="1">
        <v>50031905</v>
      </c>
      <c r="P1344" s="1" t="str">
        <f>"  شهرداري شهركرد"</f>
        <v xml:space="preserve">  شهرداري شهركرد</v>
      </c>
      <c r="Q1344" s="1">
        <v>11</v>
      </c>
      <c r="R1344" s="1" t="str">
        <f>"فروش داخلي تهران - بورس"</f>
        <v>فروش داخلي تهران - بورس</v>
      </c>
      <c r="S1344" s="1" t="str">
        <f t="shared" si="325"/>
        <v>قرارداد فروش</v>
      </c>
      <c r="T1344" s="1" t="str">
        <f t="shared" si="326"/>
        <v>ندارد</v>
      </c>
      <c r="U1344" s="1" t="str">
        <f>"مظلوم فريبرز(1008ج89)"</f>
        <v>مظلوم فريبرز(1008ج89)</v>
      </c>
      <c r="V1344" s="1">
        <v>951100119</v>
      </c>
      <c r="W1344" s="1">
        <v>951100119</v>
      </c>
      <c r="X1344" s="1" t="str">
        <f>"1395431887"</f>
        <v>1395431887</v>
      </c>
      <c r="Y1344" s="1" t="str">
        <f>"95/06/29"</f>
        <v>95/06/29</v>
      </c>
      <c r="Z1344" s="1" t="str">
        <f>"95-34617"</f>
        <v>95-34617</v>
      </c>
      <c r="AA1344" s="1" t="str">
        <f>"شهرداريها"</f>
        <v>شهرداريها</v>
      </c>
      <c r="AB1344" s="1" t="str">
        <f>"95/06/29"</f>
        <v>95/06/29</v>
      </c>
      <c r="AC1344" s="1" t="str">
        <f>"استان چهارمحال بختياري"</f>
        <v>استان چهارمحال بختياري</v>
      </c>
      <c r="AD1344" s="1" t="str">
        <f>"95/06/24"</f>
        <v>95/06/24</v>
      </c>
      <c r="AE1344" s="1" t="str">
        <f t="shared" si="337"/>
        <v>اختتام</v>
      </c>
      <c r="AF1344" s="1" t="str">
        <f>""</f>
        <v/>
      </c>
      <c r="AG1344" s="1" t="str">
        <f>""</f>
        <v/>
      </c>
      <c r="AH1344" s="1" t="str">
        <f>""</f>
        <v/>
      </c>
      <c r="AI1344" s="1" t="str">
        <f>""</f>
        <v/>
      </c>
      <c r="AJ1344" s="1" t="str">
        <f>""</f>
        <v/>
      </c>
      <c r="AK1344" s="1" t="str">
        <f>""</f>
        <v/>
      </c>
    </row>
    <row r="1345" spans="1:37" x14ac:dyDescent="0.2">
      <c r="A1345" s="1">
        <v>139000</v>
      </c>
      <c r="B1345" s="1">
        <v>956200306</v>
      </c>
      <c r="C1345" s="1" t="str">
        <f>"تخليه - کرمانشاه -10کيلومتري جاده سراب نيلوفر سه راهي شاهيني-کارخانه الياف سخت دانه"</f>
        <v>تخليه - کرمانشاه -10کيلومتري جاده سراب نيلوفر سه راهي شاهيني-کارخانه الياف سخت دانه</v>
      </c>
      <c r="D1345" s="1">
        <v>8848</v>
      </c>
      <c r="E1345" s="1">
        <v>138160</v>
      </c>
      <c r="F1345" s="1">
        <v>95</v>
      </c>
      <c r="G1345" s="1">
        <v>840</v>
      </c>
      <c r="H1345" s="1" t="str">
        <f>"95/12/10"</f>
        <v>95/12/10</v>
      </c>
      <c r="I1345" s="1" t="str">
        <f t="shared" si="324"/>
        <v>كيلوگرم</v>
      </c>
      <c r="J1345" s="1" t="str">
        <f t="shared" ref="J1345:J1354" si="340">"0000000076"</f>
        <v>0000000076</v>
      </c>
      <c r="K1345" s="1" t="str">
        <f t="shared" ref="K1345:K1354" si="341">"قير 60/70 - فله"</f>
        <v>قير 60/70 - فله</v>
      </c>
      <c r="L1345" s="1">
        <v>100</v>
      </c>
      <c r="M1345" s="1" t="str">
        <f t="shared" si="330"/>
        <v>مخازن قير اصفهان</v>
      </c>
      <c r="N1345" s="1">
        <v>11283</v>
      </c>
      <c r="O1345" s="1">
        <v>50033939</v>
      </c>
      <c r="P1345" s="1" t="str">
        <f>"  نوين راه آزادگان کرمانشاه"</f>
        <v xml:space="preserve">  نوين راه آزادگان کرمانشاه</v>
      </c>
      <c r="Q1345" s="1">
        <v>62</v>
      </c>
      <c r="R1345" s="1" t="str">
        <f t="shared" ref="R1345:R1352" si="342">"فروش داخلي - سازمان بنيادمسكن انقلاب اسلامي"</f>
        <v>فروش داخلي - سازمان بنيادمسكن انقلاب اسلامي</v>
      </c>
      <c r="S1345" s="1" t="str">
        <f t="shared" si="325"/>
        <v>قرارداد فروش</v>
      </c>
      <c r="T1345" s="1" t="str">
        <f t="shared" si="326"/>
        <v>ندارد</v>
      </c>
      <c r="U1345" s="1" t="str">
        <f>"ميهن دوست عبداله(2842010)"</f>
        <v>ميهن دوست عبداله(2842010)</v>
      </c>
      <c r="V1345" s="1">
        <v>956200306</v>
      </c>
      <c r="W1345" s="1">
        <v>956200306</v>
      </c>
      <c r="X1345" s="1" t="str">
        <f>"1395468357"</f>
        <v>1395468357</v>
      </c>
      <c r="Y1345" s="1" t="str">
        <f>"95/12/10"</f>
        <v>95/12/10</v>
      </c>
      <c r="Z1345" s="1" t="str">
        <f>"54420/د"</f>
        <v>54420/د</v>
      </c>
      <c r="AA1345" s="1" t="str">
        <f t="shared" ref="AA1345:AA1352" si="343">"بنيادمسكن انقلاب اسلامي"</f>
        <v>بنيادمسكن انقلاب اسلامي</v>
      </c>
      <c r="AB1345" s="1" t="str">
        <f>"95/12/09"</f>
        <v>95/12/09</v>
      </c>
      <c r="AC1345" s="1" t="str">
        <f>"استان كرمانشاه"</f>
        <v>استان كرمانشاه</v>
      </c>
      <c r="AD1345" s="1" t="str">
        <f>"95/12/10"</f>
        <v>95/12/10</v>
      </c>
      <c r="AE1345" s="1" t="str">
        <f t="shared" si="337"/>
        <v>اختتام</v>
      </c>
      <c r="AF1345" s="1" t="str">
        <f>""</f>
        <v/>
      </c>
      <c r="AG1345" s="1" t="str">
        <f>""</f>
        <v/>
      </c>
      <c r="AH1345" s="1" t="str">
        <f>""</f>
        <v/>
      </c>
      <c r="AI1345" s="1" t="str">
        <f>""</f>
        <v/>
      </c>
      <c r="AJ1345" s="1" t="str">
        <f>""</f>
        <v/>
      </c>
      <c r="AK1345" s="1" t="str">
        <f>""</f>
        <v/>
      </c>
    </row>
    <row r="1346" spans="1:37" x14ac:dyDescent="0.2">
      <c r="A1346" s="1">
        <v>344000</v>
      </c>
      <c r="B1346" s="1">
        <v>956200361</v>
      </c>
      <c r="C1346" s="1" t="str">
        <f>"تخليه - کرج-تهراندشت خيابان گل شکر-کارخانه آسفالت کردان"</f>
        <v>تخليه - کرج-تهراندشت خيابان گل شکر-کارخانه آسفالت کردان</v>
      </c>
      <c r="D1346" s="1">
        <v>8848</v>
      </c>
      <c r="E1346" s="1">
        <v>344000</v>
      </c>
      <c r="F1346" s="1">
        <v>95</v>
      </c>
      <c r="G1346" s="1">
        <v>0</v>
      </c>
      <c r="H1346" s="1" t="str">
        <f>"95/12/23"</f>
        <v>95/12/23</v>
      </c>
      <c r="I1346" s="1" t="str">
        <f t="shared" ref="I1346:I1409" si="344">"كيلوگرم"</f>
        <v>كيلوگرم</v>
      </c>
      <c r="J1346" s="1" t="str">
        <f t="shared" si="340"/>
        <v>0000000076</v>
      </c>
      <c r="K1346" s="1" t="str">
        <f t="shared" si="341"/>
        <v>قير 60/70 - فله</v>
      </c>
      <c r="L1346" s="1">
        <v>100</v>
      </c>
      <c r="M1346" s="1" t="str">
        <f t="shared" si="330"/>
        <v>مخازن قير اصفهان</v>
      </c>
      <c r="N1346" s="1">
        <v>11298</v>
      </c>
      <c r="O1346" s="1">
        <v>50034148</v>
      </c>
      <c r="P1346" s="1" t="str">
        <f>"  اسکان بناي مشاهير"</f>
        <v xml:space="preserve">  اسکان بناي مشاهير</v>
      </c>
      <c r="Q1346" s="1">
        <v>62</v>
      </c>
      <c r="R1346" s="1" t="str">
        <f t="shared" si="342"/>
        <v>فروش داخلي - سازمان بنيادمسكن انقلاب اسلامي</v>
      </c>
      <c r="S1346" s="1" t="str">
        <f t="shared" ref="S1346:S1409" si="345">"قرارداد فروش"</f>
        <v>قرارداد فروش</v>
      </c>
      <c r="T1346" s="1" t="str">
        <f t="shared" ref="T1346:T1409" si="346">"ندارد"</f>
        <v>ندارد</v>
      </c>
      <c r="U1346" s="1" t="str">
        <f>"بهاري مرتضي (1881070)"</f>
        <v>بهاري مرتضي (1881070)</v>
      </c>
      <c r="V1346" s="1">
        <v>956200361</v>
      </c>
      <c r="W1346" s="1">
        <v>956200361</v>
      </c>
      <c r="X1346" s="1" t="str">
        <f>"1395470439"</f>
        <v>1395470439</v>
      </c>
      <c r="Y1346" s="1" t="str">
        <f>"95/12/23"</f>
        <v>95/12/23</v>
      </c>
      <c r="Z1346" s="1" t="str">
        <f>"56750/د"</f>
        <v>56750/د</v>
      </c>
      <c r="AA1346" s="1" t="str">
        <f t="shared" si="343"/>
        <v>بنيادمسكن انقلاب اسلامي</v>
      </c>
      <c r="AB1346" s="1" t="str">
        <f>"95/12/21"</f>
        <v>95/12/21</v>
      </c>
      <c r="AC1346" s="1" t="str">
        <f>"البرز"</f>
        <v>البرز</v>
      </c>
      <c r="AD1346" s="1" t="str">
        <f>"95/12/22"</f>
        <v>95/12/22</v>
      </c>
      <c r="AE1346" s="1" t="str">
        <f t="shared" si="337"/>
        <v>اختتام</v>
      </c>
      <c r="AF1346" s="1" t="str">
        <f>""</f>
        <v/>
      </c>
      <c r="AG1346" s="1" t="str">
        <f>""</f>
        <v/>
      </c>
      <c r="AH1346" s="1" t="str">
        <f>""</f>
        <v/>
      </c>
      <c r="AI1346" s="1" t="str">
        <f>""</f>
        <v/>
      </c>
      <c r="AJ1346" s="1" t="str">
        <f>""</f>
        <v/>
      </c>
      <c r="AK1346" s="1" t="str">
        <f>""</f>
        <v/>
      </c>
    </row>
    <row r="1347" spans="1:37" x14ac:dyDescent="0.2">
      <c r="A1347" s="1">
        <v>85000</v>
      </c>
      <c r="B1347" s="1">
        <v>956200381</v>
      </c>
      <c r="C1347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1347" s="1">
        <v>8848</v>
      </c>
      <c r="E1347" s="1">
        <v>85000</v>
      </c>
      <c r="F1347" s="1">
        <v>95</v>
      </c>
      <c r="G1347" s="1">
        <v>0</v>
      </c>
      <c r="H1347" s="1" t="str">
        <f>"95/12/24"</f>
        <v>95/12/24</v>
      </c>
      <c r="I1347" s="1" t="str">
        <f t="shared" si="344"/>
        <v>كيلوگرم</v>
      </c>
      <c r="J1347" s="1" t="str">
        <f t="shared" si="340"/>
        <v>0000000076</v>
      </c>
      <c r="K1347" s="1" t="str">
        <f t="shared" si="341"/>
        <v>قير 60/70 - فله</v>
      </c>
      <c r="L1347" s="1">
        <v>100</v>
      </c>
      <c r="M1347" s="1" t="str">
        <f t="shared" si="330"/>
        <v>مخازن قير اصفهان</v>
      </c>
      <c r="N1347" s="1">
        <v>11303</v>
      </c>
      <c r="O1347" s="1">
        <v>50034192</v>
      </c>
      <c r="P1347" s="1" t="str">
        <f>"  برج و پل کيميا"</f>
        <v xml:space="preserve">  برج و پل کيميا</v>
      </c>
      <c r="Q1347" s="1">
        <v>62</v>
      </c>
      <c r="R1347" s="1" t="str">
        <f t="shared" si="342"/>
        <v>فروش داخلي - سازمان بنيادمسكن انقلاب اسلامي</v>
      </c>
      <c r="S1347" s="1" t="str">
        <f t="shared" si="345"/>
        <v>قرارداد فروش</v>
      </c>
      <c r="T1347" s="1" t="str">
        <f t="shared" si="346"/>
        <v>ندارد</v>
      </c>
      <c r="U1347" s="1" t="str">
        <f>"ميهن دوست عبداله(2842010)"</f>
        <v>ميهن دوست عبداله(2842010)</v>
      </c>
      <c r="V1347" s="1">
        <v>956200381</v>
      </c>
      <c r="W1347" s="1">
        <v>956200381</v>
      </c>
      <c r="X1347" s="1" t="str">
        <f>"1395470885"</f>
        <v>1395470885</v>
      </c>
      <c r="Y1347" s="1" t="str">
        <f>"95/12/24"</f>
        <v>95/12/24</v>
      </c>
      <c r="Z1347" s="1" t="str">
        <f>"57043/د"</f>
        <v>57043/د</v>
      </c>
      <c r="AA1347" s="1" t="str">
        <f t="shared" si="343"/>
        <v>بنيادمسكن انقلاب اسلامي</v>
      </c>
      <c r="AB1347" s="1" t="str">
        <f>"95/12/22"</f>
        <v>95/12/22</v>
      </c>
      <c r="AC1347" s="1" t="str">
        <f>"استان كرمانشاه"</f>
        <v>استان كرمانشاه</v>
      </c>
      <c r="AD1347" s="1" t="str">
        <f>"95/12/23"</f>
        <v>95/12/23</v>
      </c>
      <c r="AE1347" s="1" t="str">
        <f t="shared" si="337"/>
        <v>اختتام</v>
      </c>
      <c r="AF1347" s="1" t="str">
        <f>""</f>
        <v/>
      </c>
      <c r="AG1347" s="1" t="str">
        <f>""</f>
        <v/>
      </c>
      <c r="AH1347" s="1" t="str">
        <f>""</f>
        <v/>
      </c>
      <c r="AI1347" s="1" t="str">
        <f>""</f>
        <v/>
      </c>
      <c r="AJ1347" s="1" t="str">
        <f>""</f>
        <v/>
      </c>
      <c r="AK1347" s="1" t="str">
        <f>""</f>
        <v/>
      </c>
    </row>
    <row r="1348" spans="1:37" x14ac:dyDescent="0.2">
      <c r="A1348" s="1">
        <v>31000</v>
      </c>
      <c r="B1348" s="1">
        <v>956200365</v>
      </c>
      <c r="C1348" s="1" t="str">
        <f>"تخليه - خراسان رضوي-خواف-بلوارفرهنگ-کيلومتر 5 جاده براکوه-شرکت راهسازي نيکچه"</f>
        <v>تخليه - خراسان رضوي-خواف-بلوارفرهنگ-کيلومتر 5 جاده براکوه-شرکت راهسازي نيکچه</v>
      </c>
      <c r="D1348" s="1">
        <v>8848</v>
      </c>
      <c r="E1348" s="1">
        <v>30100</v>
      </c>
      <c r="F1348" s="1">
        <v>95</v>
      </c>
      <c r="G1348" s="1">
        <v>900</v>
      </c>
      <c r="H1348" s="1" t="str">
        <f>"95/12/23"</f>
        <v>95/12/23</v>
      </c>
      <c r="I1348" s="1" t="str">
        <f t="shared" si="344"/>
        <v>كيلوگرم</v>
      </c>
      <c r="J1348" s="1" t="str">
        <f t="shared" si="340"/>
        <v>0000000076</v>
      </c>
      <c r="K1348" s="1" t="str">
        <f t="shared" si="341"/>
        <v>قير 60/70 - فله</v>
      </c>
      <c r="L1348" s="1">
        <v>100</v>
      </c>
      <c r="M1348" s="1" t="str">
        <f t="shared" si="330"/>
        <v>مخازن قير اصفهان</v>
      </c>
      <c r="N1348" s="1">
        <v>11304</v>
      </c>
      <c r="O1348" s="1">
        <v>50034155</v>
      </c>
      <c r="P1348" s="1" t="str">
        <f>"  راه سازي و ساختماني نيکچه"</f>
        <v xml:space="preserve">  راه سازي و ساختماني نيکچه</v>
      </c>
      <c r="Q1348" s="1">
        <v>62</v>
      </c>
      <c r="R1348" s="1" t="str">
        <f t="shared" si="342"/>
        <v>فروش داخلي - سازمان بنيادمسكن انقلاب اسلامي</v>
      </c>
      <c r="S1348" s="1" t="str">
        <f t="shared" si="345"/>
        <v>قرارداد فروش</v>
      </c>
      <c r="T1348" s="1" t="str">
        <f t="shared" si="346"/>
        <v>ندارد</v>
      </c>
      <c r="U1348" s="1" t="str">
        <f>"نظام دوست امين (1911102)"</f>
        <v>نظام دوست امين (1911102)</v>
      </c>
      <c r="V1348" s="1">
        <v>956200365</v>
      </c>
      <c r="W1348" s="1">
        <v>956200365</v>
      </c>
      <c r="X1348" s="1" t="str">
        <f>"1395470439"</f>
        <v>1395470439</v>
      </c>
      <c r="Y1348" s="1" t="str">
        <f>"95/12/23"</f>
        <v>95/12/23</v>
      </c>
      <c r="Z1348" s="1" t="str">
        <f>"56730/د"</f>
        <v>56730/د</v>
      </c>
      <c r="AA1348" s="1" t="str">
        <f t="shared" si="343"/>
        <v>بنيادمسكن انقلاب اسلامي</v>
      </c>
      <c r="AB1348" s="1" t="str">
        <f>"95/12/21"</f>
        <v>95/12/21</v>
      </c>
      <c r="AC1348" s="1" t="str">
        <f>"خراسان رضوي"</f>
        <v>خراسان رضوي</v>
      </c>
      <c r="AD1348" s="1" t="str">
        <f>"95/12/22"</f>
        <v>95/12/22</v>
      </c>
      <c r="AE1348" s="1" t="str">
        <f t="shared" si="337"/>
        <v>اختتام</v>
      </c>
      <c r="AF1348" s="1" t="str">
        <f>""</f>
        <v/>
      </c>
      <c r="AG1348" s="1" t="str">
        <f>""</f>
        <v/>
      </c>
      <c r="AH1348" s="1" t="str">
        <f>""</f>
        <v/>
      </c>
      <c r="AI1348" s="1" t="str">
        <f>""</f>
        <v/>
      </c>
      <c r="AJ1348" s="1" t="str">
        <f>""</f>
        <v/>
      </c>
      <c r="AK1348" s="1" t="str">
        <f>""</f>
        <v/>
      </c>
    </row>
    <row r="1349" spans="1:37" x14ac:dyDescent="0.2">
      <c r="A1349" s="1">
        <v>54000</v>
      </c>
      <c r="B1349" s="1">
        <v>956200386</v>
      </c>
      <c r="C1349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1349" s="1">
        <v>8848</v>
      </c>
      <c r="E1349" s="1">
        <v>54000</v>
      </c>
      <c r="F1349" s="1">
        <v>95</v>
      </c>
      <c r="G1349" s="1">
        <v>0</v>
      </c>
      <c r="H1349" s="1" t="str">
        <f>"95/12/24"</f>
        <v>95/12/24</v>
      </c>
      <c r="I1349" s="1" t="str">
        <f t="shared" si="344"/>
        <v>كيلوگرم</v>
      </c>
      <c r="J1349" s="1" t="str">
        <f t="shared" si="340"/>
        <v>0000000076</v>
      </c>
      <c r="K1349" s="1" t="str">
        <f t="shared" si="341"/>
        <v>قير 60/70 - فله</v>
      </c>
      <c r="L1349" s="1">
        <v>100</v>
      </c>
      <c r="M1349" s="1" t="str">
        <f t="shared" si="330"/>
        <v>مخازن قير اصفهان</v>
      </c>
      <c r="N1349" s="1">
        <v>11306</v>
      </c>
      <c r="O1349" s="1">
        <v>50034207</v>
      </c>
      <c r="P1349" s="1" t="str">
        <f>"  رابين راه امير"</f>
        <v xml:space="preserve">  رابين راه امير</v>
      </c>
      <c r="Q1349" s="1">
        <v>62</v>
      </c>
      <c r="R1349" s="1" t="str">
        <f t="shared" si="342"/>
        <v>فروش داخلي - سازمان بنيادمسكن انقلاب اسلامي</v>
      </c>
      <c r="S1349" s="1" t="str">
        <f t="shared" si="345"/>
        <v>قرارداد فروش</v>
      </c>
      <c r="T1349" s="1" t="str">
        <f t="shared" si="346"/>
        <v>ندارد</v>
      </c>
      <c r="U1349" s="1" t="str">
        <f>"حاجيلوئي علي اصغر(2842019)"</f>
        <v>حاجيلوئي علي اصغر(2842019)</v>
      </c>
      <c r="V1349" s="1">
        <v>956200386</v>
      </c>
      <c r="W1349" s="1">
        <v>956200386</v>
      </c>
      <c r="X1349" s="1" t="str">
        <f>"1395470885"</f>
        <v>1395470885</v>
      </c>
      <c r="Y1349" s="1" t="str">
        <f>"95/12/24"</f>
        <v>95/12/24</v>
      </c>
      <c r="Z1349" s="1" t="str">
        <f>"57105/د"</f>
        <v>57105/د</v>
      </c>
      <c r="AA1349" s="1" t="str">
        <f t="shared" si="343"/>
        <v>بنيادمسكن انقلاب اسلامي</v>
      </c>
      <c r="AB1349" s="1" t="str">
        <f>"95/12/22"</f>
        <v>95/12/22</v>
      </c>
      <c r="AC1349" s="1" t="str">
        <f>"استان كرمانشاه"</f>
        <v>استان كرمانشاه</v>
      </c>
      <c r="AD1349" s="1" t="str">
        <f>"95/12/23"</f>
        <v>95/12/23</v>
      </c>
      <c r="AE1349" s="1" t="str">
        <f t="shared" si="337"/>
        <v>اختتام</v>
      </c>
      <c r="AF1349" s="1" t="str">
        <f>""</f>
        <v/>
      </c>
      <c r="AG1349" s="1" t="str">
        <f>""</f>
        <v/>
      </c>
      <c r="AH1349" s="1" t="str">
        <f>""</f>
        <v/>
      </c>
      <c r="AI1349" s="1" t="str">
        <f>""</f>
        <v/>
      </c>
      <c r="AJ1349" s="1" t="str">
        <f>""</f>
        <v/>
      </c>
      <c r="AK1349" s="1" t="str">
        <f>""</f>
        <v/>
      </c>
    </row>
    <row r="1350" spans="1:37" x14ac:dyDescent="0.2">
      <c r="A1350" s="1">
        <v>41000</v>
      </c>
      <c r="B1350" s="1">
        <v>956200391</v>
      </c>
      <c r="C1350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1350" s="1">
        <v>8848</v>
      </c>
      <c r="E1350" s="1">
        <v>38620</v>
      </c>
      <c r="F1350" s="1">
        <v>95</v>
      </c>
      <c r="G1350" s="1">
        <v>2380</v>
      </c>
      <c r="H1350" s="1" t="str">
        <f>"95/12/24"</f>
        <v>95/12/24</v>
      </c>
      <c r="I1350" s="1" t="str">
        <f t="shared" si="344"/>
        <v>كيلوگرم</v>
      </c>
      <c r="J1350" s="1" t="str">
        <f t="shared" si="340"/>
        <v>0000000076</v>
      </c>
      <c r="K1350" s="1" t="str">
        <f t="shared" si="341"/>
        <v>قير 60/70 - فله</v>
      </c>
      <c r="L1350" s="1">
        <v>100</v>
      </c>
      <c r="M1350" s="1" t="str">
        <f t="shared" si="330"/>
        <v>مخازن قير اصفهان</v>
      </c>
      <c r="N1350" s="1">
        <v>11306</v>
      </c>
      <c r="O1350" s="1">
        <v>50034212</v>
      </c>
      <c r="P1350" s="1" t="str">
        <f>"  رابين راه امير"</f>
        <v xml:space="preserve">  رابين راه امير</v>
      </c>
      <c r="Q1350" s="1">
        <v>62</v>
      </c>
      <c r="R1350" s="1" t="str">
        <f t="shared" si="342"/>
        <v>فروش داخلي - سازمان بنيادمسكن انقلاب اسلامي</v>
      </c>
      <c r="S1350" s="1" t="str">
        <f t="shared" si="345"/>
        <v>قرارداد فروش</v>
      </c>
      <c r="T1350" s="1" t="str">
        <f t="shared" si="346"/>
        <v>ندارد</v>
      </c>
      <c r="U1350" s="1" t="str">
        <f>"حاجيلوئي علي اصغر(2842019)"</f>
        <v>حاجيلوئي علي اصغر(2842019)</v>
      </c>
      <c r="V1350" s="1">
        <v>956200391</v>
      </c>
      <c r="W1350" s="1">
        <v>956200391</v>
      </c>
      <c r="X1350" s="1" t="str">
        <f>"1395470885"</f>
        <v>1395470885</v>
      </c>
      <c r="Y1350" s="1" t="str">
        <f>"95/12/24"</f>
        <v>95/12/24</v>
      </c>
      <c r="Z1350" s="1" t="str">
        <f>"57094/د"</f>
        <v>57094/د</v>
      </c>
      <c r="AA1350" s="1" t="str">
        <f t="shared" si="343"/>
        <v>بنيادمسكن انقلاب اسلامي</v>
      </c>
      <c r="AB1350" s="1" t="str">
        <f>"95/12/22"</f>
        <v>95/12/22</v>
      </c>
      <c r="AC1350" s="1" t="str">
        <f>"استان كرمانشاه"</f>
        <v>استان كرمانشاه</v>
      </c>
      <c r="AD1350" s="1" t="str">
        <f>"95/12/23"</f>
        <v>95/12/23</v>
      </c>
      <c r="AE1350" s="1" t="str">
        <f t="shared" si="337"/>
        <v>اختتام</v>
      </c>
      <c r="AF1350" s="1" t="str">
        <f>""</f>
        <v/>
      </c>
      <c r="AG1350" s="1" t="str">
        <f>""</f>
        <v/>
      </c>
      <c r="AH1350" s="1" t="str">
        <f>""</f>
        <v/>
      </c>
      <c r="AI1350" s="1" t="str">
        <f>""</f>
        <v/>
      </c>
      <c r="AJ1350" s="1" t="str">
        <f>""</f>
        <v/>
      </c>
      <c r="AK1350" s="1" t="str">
        <f>""</f>
        <v/>
      </c>
    </row>
    <row r="1351" spans="1:37" x14ac:dyDescent="0.2">
      <c r="A1351" s="1">
        <v>101000</v>
      </c>
      <c r="B1351" s="1">
        <v>956200401</v>
      </c>
      <c r="C1351" s="1" t="str">
        <f>"تخليه - کرمان -کيلومتر 15 جاده کرمان-زرند روبروي پمپ جديد احداث-کارخانه آسفالت نژاد حسين"</f>
        <v>تخليه - کرمان -کيلومتر 15 جاده کرمان-زرند روبروي پمپ جديد احداث-کارخانه آسفالت نژاد حسين</v>
      </c>
      <c r="D1351" s="1">
        <v>8848</v>
      </c>
      <c r="E1351" s="1">
        <v>99600</v>
      </c>
      <c r="F1351" s="1">
        <v>95</v>
      </c>
      <c r="G1351" s="1">
        <v>1400</v>
      </c>
      <c r="H1351" s="1" t="str">
        <f>"95/12/25"</f>
        <v>95/12/25</v>
      </c>
      <c r="I1351" s="1" t="str">
        <f t="shared" si="344"/>
        <v>كيلوگرم</v>
      </c>
      <c r="J1351" s="1" t="str">
        <f t="shared" si="340"/>
        <v>0000000076</v>
      </c>
      <c r="K1351" s="1" t="str">
        <f t="shared" si="341"/>
        <v>قير 60/70 - فله</v>
      </c>
      <c r="L1351" s="1">
        <v>100</v>
      </c>
      <c r="M1351" s="1" t="str">
        <f t="shared" si="330"/>
        <v>مخازن قير اصفهان</v>
      </c>
      <c r="N1351" s="1">
        <v>11307</v>
      </c>
      <c r="O1351" s="1">
        <v>50034247</v>
      </c>
      <c r="P1351" s="1" t="str">
        <f>"  خيبر فرابين"</f>
        <v xml:space="preserve">  خيبر فرابين</v>
      </c>
      <c r="Q1351" s="1">
        <v>62</v>
      </c>
      <c r="R1351" s="1" t="str">
        <f t="shared" si="342"/>
        <v>فروش داخلي - سازمان بنيادمسكن انقلاب اسلامي</v>
      </c>
      <c r="S1351" s="1" t="str">
        <f t="shared" si="345"/>
        <v>قرارداد فروش</v>
      </c>
      <c r="T1351" s="1" t="str">
        <f t="shared" si="346"/>
        <v>ندارد</v>
      </c>
      <c r="U1351" s="1" t="str">
        <f>"دهقانيان بيژن (4954038)"</f>
        <v>دهقانيان بيژن (4954038)</v>
      </c>
      <c r="V1351" s="1">
        <v>956200401</v>
      </c>
      <c r="W1351" s="1">
        <v>956200401</v>
      </c>
      <c r="X1351" s="1" t="str">
        <f>"1395470894"</f>
        <v>1395470894</v>
      </c>
      <c r="Y1351" s="1" t="str">
        <f>"95/12/25"</f>
        <v>95/12/25</v>
      </c>
      <c r="Z1351" s="1" t="str">
        <f>"56969/د"</f>
        <v>56969/د</v>
      </c>
      <c r="AA1351" s="1" t="str">
        <f t="shared" si="343"/>
        <v>بنيادمسكن انقلاب اسلامي</v>
      </c>
      <c r="AB1351" s="1" t="str">
        <f>"95/12/22"</f>
        <v>95/12/22</v>
      </c>
      <c r="AC1351" s="1" t="str">
        <f>"استان كرمان"</f>
        <v>استان كرمان</v>
      </c>
      <c r="AD1351" s="1" t="str">
        <f>"95/12/23"</f>
        <v>95/12/23</v>
      </c>
      <c r="AE1351" s="1" t="str">
        <f t="shared" si="337"/>
        <v>اختتام</v>
      </c>
      <c r="AF1351" s="1" t="str">
        <f>""</f>
        <v/>
      </c>
      <c r="AG1351" s="1" t="str">
        <f>""</f>
        <v/>
      </c>
      <c r="AH1351" s="1" t="str">
        <f>""</f>
        <v/>
      </c>
      <c r="AI1351" s="1" t="str">
        <f>""</f>
        <v/>
      </c>
      <c r="AJ1351" s="1" t="str">
        <f>""</f>
        <v/>
      </c>
      <c r="AK1351" s="1" t="str">
        <f>""</f>
        <v/>
      </c>
    </row>
    <row r="1352" spans="1:37" x14ac:dyDescent="0.2">
      <c r="A1352" s="1">
        <v>113000</v>
      </c>
      <c r="B1352" s="1">
        <v>956200403</v>
      </c>
      <c r="C1352" s="1" t="str">
        <f>"تخليه - کرمان-کيلومتر 15 جاده کرمان - زرند روبروي پمپ جديد احداث کارخانه آسفالت نژاد حسين"</f>
        <v>تخليه - کرمان-کيلومتر 15 جاده کرمان - زرند روبروي پمپ جديد احداث کارخانه آسفالت نژاد حسين</v>
      </c>
      <c r="D1352" s="1">
        <v>8848</v>
      </c>
      <c r="E1352" s="1">
        <v>111920</v>
      </c>
      <c r="F1352" s="1">
        <v>95</v>
      </c>
      <c r="G1352" s="1">
        <v>1080</v>
      </c>
      <c r="H1352" s="1" t="str">
        <f>"95/12/25"</f>
        <v>95/12/25</v>
      </c>
      <c r="I1352" s="1" t="str">
        <f t="shared" si="344"/>
        <v>كيلوگرم</v>
      </c>
      <c r="J1352" s="1" t="str">
        <f t="shared" si="340"/>
        <v>0000000076</v>
      </c>
      <c r="K1352" s="1" t="str">
        <f t="shared" si="341"/>
        <v>قير 60/70 - فله</v>
      </c>
      <c r="L1352" s="1">
        <v>100</v>
      </c>
      <c r="M1352" s="1" t="str">
        <f t="shared" ref="M1352:M1415" si="347">"مخازن قير اصفهان"</f>
        <v>مخازن قير اصفهان</v>
      </c>
      <c r="N1352" s="1">
        <v>11311</v>
      </c>
      <c r="O1352" s="1">
        <v>50034250</v>
      </c>
      <c r="P1352" s="1" t="str">
        <f>"  فريمان دژ پارس"</f>
        <v xml:space="preserve">  فريمان دژ پارس</v>
      </c>
      <c r="Q1352" s="1">
        <v>62</v>
      </c>
      <c r="R1352" s="1" t="str">
        <f t="shared" si="342"/>
        <v>فروش داخلي - سازمان بنيادمسكن انقلاب اسلامي</v>
      </c>
      <c r="S1352" s="1" t="str">
        <f t="shared" si="345"/>
        <v>قرارداد فروش</v>
      </c>
      <c r="T1352" s="1" t="str">
        <f t="shared" si="346"/>
        <v>ندارد</v>
      </c>
      <c r="U1352" s="1" t="str">
        <f>"دهقانيان بيژن (4954038)"</f>
        <v>دهقانيان بيژن (4954038)</v>
      </c>
      <c r="V1352" s="1">
        <v>956200403</v>
      </c>
      <c r="W1352" s="1">
        <v>956200403</v>
      </c>
      <c r="X1352" s="1" t="str">
        <f>"1395470894"</f>
        <v>1395470894</v>
      </c>
      <c r="Y1352" s="1" t="str">
        <f>"95/12/25"</f>
        <v>95/12/25</v>
      </c>
      <c r="Z1352" s="1" t="str">
        <f>"56972/د"</f>
        <v>56972/د</v>
      </c>
      <c r="AA1352" s="1" t="str">
        <f t="shared" si="343"/>
        <v>بنيادمسكن انقلاب اسلامي</v>
      </c>
      <c r="AB1352" s="1" t="str">
        <f>"95/12/22"</f>
        <v>95/12/22</v>
      </c>
      <c r="AC1352" s="1" t="str">
        <f>"استان كرمان"</f>
        <v>استان كرمان</v>
      </c>
      <c r="AD1352" s="1" t="str">
        <f>"95/12/23"</f>
        <v>95/12/23</v>
      </c>
      <c r="AE1352" s="1" t="str">
        <f t="shared" si="337"/>
        <v>اختتام</v>
      </c>
      <c r="AF1352" s="1" t="str">
        <f>""</f>
        <v/>
      </c>
      <c r="AG1352" s="1" t="str">
        <f>""</f>
        <v/>
      </c>
      <c r="AH1352" s="1" t="str">
        <f>""</f>
        <v/>
      </c>
      <c r="AI1352" s="1" t="str">
        <f>""</f>
        <v/>
      </c>
      <c r="AJ1352" s="1" t="str">
        <f>""</f>
        <v/>
      </c>
      <c r="AK1352" s="1" t="str">
        <f>""</f>
        <v/>
      </c>
    </row>
    <row r="1353" spans="1:37" x14ac:dyDescent="0.2">
      <c r="A1353" s="1">
        <v>192000</v>
      </c>
      <c r="B1353" s="1">
        <v>951100010</v>
      </c>
      <c r="C1353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353" s="1">
        <v>5200</v>
      </c>
      <c r="E1353" s="1">
        <v>192000</v>
      </c>
      <c r="F1353" s="1">
        <v>95</v>
      </c>
      <c r="G1353" s="1">
        <v>0</v>
      </c>
      <c r="H1353" s="1" t="str">
        <f>"95/01/30"</f>
        <v>95/01/30</v>
      </c>
      <c r="I1353" s="1" t="str">
        <f t="shared" si="344"/>
        <v>كيلوگرم</v>
      </c>
      <c r="J1353" s="1" t="str">
        <f t="shared" si="340"/>
        <v>0000000076</v>
      </c>
      <c r="K1353" s="1" t="str">
        <f t="shared" si="341"/>
        <v>قير 60/70 - فله</v>
      </c>
      <c r="L1353" s="1">
        <v>100</v>
      </c>
      <c r="M1353" s="1" t="str">
        <f t="shared" si="347"/>
        <v>مخازن قير اصفهان</v>
      </c>
      <c r="N1353" s="1">
        <v>9938</v>
      </c>
      <c r="O1353" s="1">
        <v>50030572</v>
      </c>
      <c r="P1353" s="1" t="str">
        <f>"  سازمان عمران شهرداري زاهدان"</f>
        <v xml:space="preserve">  سازمان عمران شهرداري زاهدان</v>
      </c>
      <c r="Q1353" s="1">
        <v>11</v>
      </c>
      <c r="R1353" s="1" t="str">
        <f>"فروش داخلي تهران - بورس"</f>
        <v>فروش داخلي تهران - بورس</v>
      </c>
      <c r="S1353" s="1" t="str">
        <f t="shared" si="345"/>
        <v>قرارداد فروش</v>
      </c>
      <c r="T1353" s="1" t="str">
        <f t="shared" si="346"/>
        <v>ندارد</v>
      </c>
      <c r="U1353" s="1" t="str">
        <f>"ميرحسيني سيناترابر سيدمحمد(4854031)"</f>
        <v>ميرحسيني سيناترابر سيدمحمد(4854031)</v>
      </c>
      <c r="V1353" s="1">
        <v>951100010</v>
      </c>
      <c r="W1353" s="1">
        <v>951100010</v>
      </c>
      <c r="X1353" s="1" t="str">
        <f>"1395399106"</f>
        <v>1395399106</v>
      </c>
      <c r="Y1353" s="1" t="str">
        <f>"95/01/28"</f>
        <v>95/01/28</v>
      </c>
      <c r="Z1353" s="1" t="str">
        <f>"95-34204"</f>
        <v>95-34204</v>
      </c>
      <c r="AA1353" s="1" t="str">
        <f>"شهرداريها"</f>
        <v>شهرداريها</v>
      </c>
      <c r="AB1353" s="1" t="str">
        <f>"95/01/28"</f>
        <v>95/01/28</v>
      </c>
      <c r="AC1353" s="1" t="str">
        <f>"استان سيستان بلوچستان"</f>
        <v>استان سيستان بلوچستان</v>
      </c>
      <c r="AD1353" s="1" t="str">
        <f>"95/01/24"</f>
        <v>95/01/24</v>
      </c>
      <c r="AE1353" s="1" t="str">
        <f t="shared" si="337"/>
        <v>اختتام</v>
      </c>
      <c r="AF1353" s="1" t="str">
        <f>""</f>
        <v/>
      </c>
      <c r="AG1353" s="1" t="str">
        <f>""</f>
        <v/>
      </c>
      <c r="AH1353" s="1" t="str">
        <f>""</f>
        <v/>
      </c>
      <c r="AI1353" s="1" t="str">
        <f>""</f>
        <v/>
      </c>
      <c r="AJ1353" s="1" t="str">
        <f>""</f>
        <v/>
      </c>
      <c r="AK1353" s="1" t="str">
        <f>""</f>
        <v/>
      </c>
    </row>
    <row r="1354" spans="1:37" x14ac:dyDescent="0.2">
      <c r="A1354" s="1">
        <v>102000</v>
      </c>
      <c r="B1354" s="1">
        <v>956200128</v>
      </c>
      <c r="C1354" s="1" t="str">
        <f>"تخليه- مازندران-رستم کلا-جاده امامزاده محمد-کارخانه آسفالت گل سنگ کوهستان"</f>
        <v>تخليه- مازندران-رستم کلا-جاده امامزاده محمد-کارخانه آسفالت گل سنگ کوهستان</v>
      </c>
      <c r="D1354" s="1">
        <v>8861</v>
      </c>
      <c r="E1354" s="1">
        <v>101860</v>
      </c>
      <c r="F1354" s="1">
        <v>95</v>
      </c>
      <c r="G1354" s="1">
        <v>140</v>
      </c>
      <c r="H1354" s="1" t="str">
        <f>"95/10/08"</f>
        <v>95/10/08</v>
      </c>
      <c r="I1354" s="1" t="str">
        <f t="shared" si="344"/>
        <v>كيلوگرم</v>
      </c>
      <c r="J1354" s="1" t="str">
        <f t="shared" si="340"/>
        <v>0000000076</v>
      </c>
      <c r="K1354" s="1" t="str">
        <f t="shared" si="341"/>
        <v>قير 60/70 - فله</v>
      </c>
      <c r="L1354" s="1">
        <v>100</v>
      </c>
      <c r="M1354" s="1" t="str">
        <f t="shared" si="347"/>
        <v>مخازن قير اصفهان</v>
      </c>
      <c r="N1354" s="1">
        <v>10009</v>
      </c>
      <c r="O1354" s="1">
        <v>50033211</v>
      </c>
      <c r="P1354" s="1" t="str">
        <f>"  سيستان هزارجريب"</f>
        <v xml:space="preserve">  سيستان هزارجريب</v>
      </c>
      <c r="Q1354" s="1">
        <v>62</v>
      </c>
      <c r="R1354" s="1" t="str">
        <f>"فروش داخلي - سازمان بنيادمسكن انقلاب اسلامي"</f>
        <v>فروش داخلي - سازمان بنيادمسكن انقلاب اسلامي</v>
      </c>
      <c r="S1354" s="1" t="str">
        <f t="shared" si="345"/>
        <v>قرارداد فروش</v>
      </c>
      <c r="T1354" s="1" t="str">
        <f t="shared" si="346"/>
        <v>ندارد</v>
      </c>
      <c r="U1354" s="1" t="str">
        <f>"نظام دوست امين (1911102)"</f>
        <v>نظام دوست امين (1911102)</v>
      </c>
      <c r="V1354" s="1">
        <v>956200128</v>
      </c>
      <c r="W1354" s="1">
        <v>956200128</v>
      </c>
      <c r="X1354" s="1" t="str">
        <f>"1395454986"</f>
        <v>1395454986</v>
      </c>
      <c r="Y1354" s="1" t="str">
        <f>"95/10/08"</f>
        <v>95/10/08</v>
      </c>
      <c r="Z1354" s="1" t="str">
        <f>"42200/د"</f>
        <v>42200/د</v>
      </c>
      <c r="AA1354" s="1" t="str">
        <f>"بنيادمسكن انقلاب اسلامي"</f>
        <v>بنيادمسكن انقلاب اسلامي</v>
      </c>
      <c r="AB1354" s="1" t="str">
        <f>"95/10/06"</f>
        <v>95/10/06</v>
      </c>
      <c r="AC1354" s="1" t="str">
        <f>"استان مازندران"</f>
        <v>استان مازندران</v>
      </c>
      <c r="AD1354" s="1" t="str">
        <f>"95/10/07"</f>
        <v>95/10/07</v>
      </c>
      <c r="AE1354" s="1" t="str">
        <f t="shared" si="337"/>
        <v>اختتام</v>
      </c>
      <c r="AF1354" s="1" t="str">
        <f>""</f>
        <v/>
      </c>
      <c r="AG1354" s="1" t="str">
        <f>""</f>
        <v/>
      </c>
      <c r="AH1354" s="1" t="str">
        <f>""</f>
        <v/>
      </c>
      <c r="AI1354" s="1" t="str">
        <f>""</f>
        <v/>
      </c>
      <c r="AJ1354" s="1" t="str">
        <f>""</f>
        <v/>
      </c>
      <c r="AK1354" s="1" t="str">
        <f>""</f>
        <v/>
      </c>
    </row>
    <row r="1355" spans="1:37" x14ac:dyDescent="0.2">
      <c r="A1355" s="1">
        <v>47000</v>
      </c>
      <c r="B1355" s="1">
        <v>956200273</v>
      </c>
      <c r="C1355" s="1" t="str">
        <f>"تخليه - کردستان - سه راهي مريوان -کارخانه آسفالت قشلاق"</f>
        <v>تخليه - کردستان - سه راهي مريوان -کارخانه آسفالت قشلاق</v>
      </c>
      <c r="D1355" s="1">
        <v>8848</v>
      </c>
      <c r="E1355" s="1">
        <v>46100</v>
      </c>
      <c r="F1355" s="1">
        <v>95</v>
      </c>
      <c r="G1355" s="1">
        <v>900</v>
      </c>
      <c r="H1355" s="1" t="str">
        <f>"95/12/04"</f>
        <v>95/12/04</v>
      </c>
      <c r="I1355" s="1" t="str">
        <f t="shared" si="344"/>
        <v>كيلوگرم</v>
      </c>
      <c r="J1355" s="1" t="str">
        <f t="shared" ref="J1355:J1366" si="348">"1000000002"</f>
        <v>1000000002</v>
      </c>
      <c r="K1355" s="1" t="str">
        <f t="shared" ref="K1355:K1366" si="349">"قير 85/100 - فله"</f>
        <v>قير 85/100 - فله</v>
      </c>
      <c r="L1355" s="1">
        <v>100</v>
      </c>
      <c r="M1355" s="1" t="str">
        <f t="shared" si="347"/>
        <v>مخازن قير اصفهان</v>
      </c>
      <c r="N1355" s="1">
        <v>8328</v>
      </c>
      <c r="O1355" s="1">
        <v>50033839</v>
      </c>
      <c r="P1355" s="1" t="str">
        <f>"  آبيدركردستان"</f>
        <v xml:space="preserve">  آبيدركردستان</v>
      </c>
      <c r="Q1355" s="1">
        <v>62</v>
      </c>
      <c r="R1355" s="1" t="str">
        <f>"فروش داخلي - سازمان بنيادمسكن انقلاب اسلامي"</f>
        <v>فروش داخلي - سازمان بنيادمسكن انقلاب اسلامي</v>
      </c>
      <c r="S1355" s="1" t="str">
        <f t="shared" si="345"/>
        <v>قرارداد فروش</v>
      </c>
      <c r="T1355" s="1" t="str">
        <f t="shared" si="346"/>
        <v>ندارد</v>
      </c>
      <c r="U1355" s="1" t="str">
        <f>"قنبري امين(2872037)"</f>
        <v>قنبري امين(2872037)</v>
      </c>
      <c r="V1355" s="1">
        <v>956200273</v>
      </c>
      <c r="W1355" s="1">
        <v>956200273</v>
      </c>
      <c r="X1355" s="1" t="str">
        <f>"1395466582"</f>
        <v>1395466582</v>
      </c>
      <c r="Y1355" s="1" t="str">
        <f>"95/12/04"</f>
        <v>95/12/04</v>
      </c>
      <c r="Z1355" s="1" t="str">
        <f>"52753/د"</f>
        <v>52753/د</v>
      </c>
      <c r="AA1355" s="1" t="str">
        <f>"بنيادمسكن انقلاب اسلامي"</f>
        <v>بنيادمسكن انقلاب اسلامي</v>
      </c>
      <c r="AB1355" s="1" t="str">
        <f>"95/12/02"</f>
        <v>95/12/02</v>
      </c>
      <c r="AC1355" s="1" t="str">
        <f>"استان كردستان"</f>
        <v>استان كردستان</v>
      </c>
      <c r="AD1355" s="1" t="str">
        <f>"95/12/03"</f>
        <v>95/12/03</v>
      </c>
      <c r="AE1355" s="1" t="str">
        <f t="shared" si="337"/>
        <v>اختتام</v>
      </c>
      <c r="AF1355" s="1" t="str">
        <f>""</f>
        <v/>
      </c>
      <c r="AG1355" s="1" t="str">
        <f>""</f>
        <v/>
      </c>
      <c r="AH1355" s="1" t="str">
        <f>""</f>
        <v/>
      </c>
      <c r="AI1355" s="1" t="str">
        <f>""</f>
        <v/>
      </c>
      <c r="AJ1355" s="1" t="str">
        <f>""</f>
        <v/>
      </c>
      <c r="AK1355" s="1" t="str">
        <f>""</f>
        <v/>
      </c>
    </row>
    <row r="1356" spans="1:37" x14ac:dyDescent="0.2">
      <c r="A1356" s="1">
        <v>178000</v>
      </c>
      <c r="B1356" s="1">
        <v>956200036</v>
      </c>
      <c r="C1356" s="1" t="str">
        <f>"تخليه -چهارمحال وبختياري -شهرستان اردل -ناحيه صنعتي -كارخانه آسفالت دشتاونددزپارت"</f>
        <v>تخليه -چهارمحال وبختياري -شهرستان اردل -ناحيه صنعتي -كارخانه آسفالت دشتاونددزپارت</v>
      </c>
      <c r="D1356" s="1">
        <v>5750</v>
      </c>
      <c r="E1356" s="1">
        <v>177580</v>
      </c>
      <c r="F1356" s="1">
        <v>95</v>
      </c>
      <c r="G1356" s="1">
        <v>420</v>
      </c>
      <c r="H1356" s="1" t="str">
        <f>"95/03/26"</f>
        <v>95/03/26</v>
      </c>
      <c r="I1356" s="1" t="str">
        <f t="shared" si="344"/>
        <v>كيلوگرم</v>
      </c>
      <c r="J1356" s="1" t="str">
        <f t="shared" si="348"/>
        <v>1000000002</v>
      </c>
      <c r="K1356" s="1" t="str">
        <f t="shared" si="349"/>
        <v>قير 85/100 - فله</v>
      </c>
      <c r="L1356" s="1">
        <v>100</v>
      </c>
      <c r="M1356" s="1" t="str">
        <f t="shared" si="347"/>
        <v>مخازن قير اصفهان</v>
      </c>
      <c r="N1356" s="1">
        <v>9310</v>
      </c>
      <c r="O1356" s="1">
        <v>50031056</v>
      </c>
      <c r="P1356" s="1" t="str">
        <f>"  دشتاونددزپارت"</f>
        <v xml:space="preserve">  دشتاونددزپارت</v>
      </c>
      <c r="Q1356" s="1">
        <v>62</v>
      </c>
      <c r="R1356" s="1" t="str">
        <f>"فروش داخلي - سازمان بنيادمسكن انقلاب اسلامي"</f>
        <v>فروش داخلي - سازمان بنيادمسكن انقلاب اسلامي</v>
      </c>
      <c r="S1356" s="1" t="str">
        <f t="shared" si="345"/>
        <v>قرارداد فروش</v>
      </c>
      <c r="T1356" s="1" t="str">
        <f t="shared" si="346"/>
        <v>ندارد</v>
      </c>
      <c r="U1356" s="1" t="str">
        <f>"قره باغي مجيد(1871065)"</f>
        <v>قره باغي مجيد(1871065)</v>
      </c>
      <c r="V1356" s="1">
        <v>956200036</v>
      </c>
      <c r="W1356" s="1">
        <v>956200036</v>
      </c>
      <c r="X1356" s="1" t="str">
        <f>"1395409798"</f>
        <v>1395409798</v>
      </c>
      <c r="Y1356" s="1" t="str">
        <f>"95/03/26"</f>
        <v>95/03/26</v>
      </c>
      <c r="Z1356" s="1" t="str">
        <f>"11783/د"</f>
        <v>11783/د</v>
      </c>
      <c r="AA1356" s="1" t="str">
        <f>"بنيادمسكن انقلاب اسلامي"</f>
        <v>بنيادمسكن انقلاب اسلامي</v>
      </c>
      <c r="AB1356" s="1" t="str">
        <f>"95/03/25"</f>
        <v>95/03/25</v>
      </c>
      <c r="AC1356" s="1" t="str">
        <f>"استان چهارمحال بختياري"</f>
        <v>استان چهارمحال بختياري</v>
      </c>
      <c r="AD1356" s="1" t="str">
        <f>"95/03/26"</f>
        <v>95/03/26</v>
      </c>
      <c r="AE1356" s="1" t="str">
        <f t="shared" si="337"/>
        <v>اختتام</v>
      </c>
      <c r="AF1356" s="1" t="str">
        <f>""</f>
        <v/>
      </c>
      <c r="AG1356" s="1" t="str">
        <f>""</f>
        <v/>
      </c>
      <c r="AH1356" s="1" t="str">
        <f>""</f>
        <v/>
      </c>
      <c r="AI1356" s="1" t="str">
        <f>""</f>
        <v/>
      </c>
      <c r="AJ1356" s="1" t="str">
        <f>""</f>
        <v/>
      </c>
      <c r="AK1356" s="1" t="str">
        <f>""</f>
        <v/>
      </c>
    </row>
    <row r="1357" spans="1:37" x14ac:dyDescent="0.2">
      <c r="A1357" s="1">
        <v>76000</v>
      </c>
      <c r="B1357" s="1">
        <v>952000337</v>
      </c>
      <c r="C1357" s="1" t="str">
        <f>"تخليه چهارمحال وبختياري شهركردسامان كارخانه آسفالت نسيم سامان"</f>
        <v>تخليه چهارمحال وبختياري شهركردسامان كارخانه آسفالت نسيم سامان</v>
      </c>
      <c r="D1357" s="1">
        <v>9361</v>
      </c>
      <c r="E1357" s="1">
        <v>75080</v>
      </c>
      <c r="F1357" s="1">
        <v>95</v>
      </c>
      <c r="G1357" s="1">
        <v>920</v>
      </c>
      <c r="H1357" s="1" t="str">
        <f>"95/11/24"</f>
        <v>95/11/24</v>
      </c>
      <c r="I1357" s="1" t="str">
        <f t="shared" si="344"/>
        <v>كيلوگرم</v>
      </c>
      <c r="J1357" s="1" t="str">
        <f t="shared" si="348"/>
        <v>1000000002</v>
      </c>
      <c r="K1357" s="1" t="str">
        <f t="shared" si="349"/>
        <v>قير 85/100 - فله</v>
      </c>
      <c r="L1357" s="1">
        <v>100</v>
      </c>
      <c r="M1357" s="1" t="str">
        <f t="shared" si="347"/>
        <v>مخازن قير اصفهان</v>
      </c>
      <c r="N1357" s="1">
        <v>9387</v>
      </c>
      <c r="O1357" s="1">
        <v>50033707</v>
      </c>
      <c r="P1357" s="1" t="str">
        <f>"  شهرداري سودجان"</f>
        <v xml:space="preserve">  شهرداري سودجان</v>
      </c>
      <c r="Q1357" s="1">
        <v>20</v>
      </c>
      <c r="R1357" s="1" t="str">
        <f>"فروش داخلي - سازمان شهرداري ها و دهياري هاي كشور"</f>
        <v>فروش داخلي - سازمان شهرداري ها و دهياري هاي كشور</v>
      </c>
      <c r="S1357" s="1" t="str">
        <f t="shared" si="345"/>
        <v>قرارداد فروش</v>
      </c>
      <c r="T1357" s="1" t="str">
        <f t="shared" si="346"/>
        <v>ندارد</v>
      </c>
      <c r="U1357" s="1" t="str">
        <f>"سيفي پور گودرز(1019ج89)"</f>
        <v>سيفي پور گودرز(1019ج89)</v>
      </c>
      <c r="V1357" s="1">
        <v>952000337</v>
      </c>
      <c r="W1357" s="1">
        <v>952000337</v>
      </c>
      <c r="X1357" s="1" t="str">
        <f>"1395464564"</f>
        <v>1395464564</v>
      </c>
      <c r="Y1357" s="1" t="str">
        <f>"95/11/24"</f>
        <v>95/11/24</v>
      </c>
      <c r="Z1357" s="1" t="str">
        <f>"45963"</f>
        <v>45963</v>
      </c>
      <c r="AA1357" s="1" t="str">
        <f>"شهرداريها"</f>
        <v>شهرداريها</v>
      </c>
      <c r="AB1357" s="1" t="str">
        <f>"95/09/17"</f>
        <v>95/09/17</v>
      </c>
      <c r="AC1357" s="1" t="str">
        <f>"استان چهارمحال بختياري"</f>
        <v>استان چهارمحال بختياري</v>
      </c>
      <c r="AD1357" s="1" t="str">
        <f>"95/11/24"</f>
        <v>95/11/24</v>
      </c>
      <c r="AE1357" s="1" t="str">
        <f t="shared" si="337"/>
        <v>اختتام</v>
      </c>
      <c r="AF1357" s="1" t="str">
        <f>""</f>
        <v/>
      </c>
      <c r="AG1357" s="1" t="str">
        <f>""</f>
        <v/>
      </c>
      <c r="AH1357" s="1" t="str">
        <f>""</f>
        <v/>
      </c>
      <c r="AI1357" s="1" t="str">
        <f>""</f>
        <v/>
      </c>
      <c r="AJ1357" s="1" t="str">
        <f>""</f>
        <v/>
      </c>
      <c r="AK1357" s="1" t="str">
        <f>""</f>
        <v/>
      </c>
    </row>
    <row r="1358" spans="1:37" x14ac:dyDescent="0.2">
      <c r="A1358" s="1">
        <v>131000</v>
      </c>
      <c r="B1358" s="1">
        <v>952000234</v>
      </c>
      <c r="C1358" s="1" t="str">
        <f>"تخليه شهركرددوراهي فارسان جونقان جنب كارخانه گچ فارسان كارخانه آسفالت احمديه چليچه"</f>
        <v>تخليه شهركرددوراهي فارسان جونقان جنب كارخانه گچ فارسان كارخانه آسفالت احمديه چليچه</v>
      </c>
      <c r="D1358" s="1">
        <v>8023</v>
      </c>
      <c r="E1358" s="1">
        <v>129820</v>
      </c>
      <c r="F1358" s="1">
        <v>95</v>
      </c>
      <c r="G1358" s="1">
        <v>1180</v>
      </c>
      <c r="H1358" s="1" t="str">
        <f>"95/08/18"</f>
        <v>95/08/18</v>
      </c>
      <c r="I1358" s="1" t="str">
        <f t="shared" si="344"/>
        <v>كيلوگرم</v>
      </c>
      <c r="J1358" s="1" t="str">
        <f t="shared" si="348"/>
        <v>1000000002</v>
      </c>
      <c r="K1358" s="1" t="str">
        <f t="shared" si="349"/>
        <v>قير 85/100 - فله</v>
      </c>
      <c r="L1358" s="1">
        <v>100</v>
      </c>
      <c r="M1358" s="1" t="str">
        <f t="shared" si="347"/>
        <v>مخازن قير اصفهان</v>
      </c>
      <c r="N1358" s="1">
        <v>7302</v>
      </c>
      <c r="O1358" s="1">
        <v>50032571</v>
      </c>
      <c r="P1358" s="1" t="str">
        <f>"  شهرداري هفشجان"</f>
        <v xml:space="preserve">  شهرداري هفشجان</v>
      </c>
      <c r="Q1358" s="1">
        <v>20</v>
      </c>
      <c r="R1358" s="1" t="str">
        <f>"فروش داخلي - سازمان شهرداري ها و دهياري هاي كشور"</f>
        <v>فروش داخلي - سازمان شهرداري ها و دهياري هاي كشور</v>
      </c>
      <c r="S1358" s="1" t="str">
        <f t="shared" si="345"/>
        <v>قرارداد فروش</v>
      </c>
      <c r="T1358" s="1" t="str">
        <f t="shared" si="346"/>
        <v>ندارد</v>
      </c>
      <c r="U1358" s="1" t="str">
        <f>"عابدي محمود(1018ج89)"</f>
        <v>عابدي محمود(1018ج89)</v>
      </c>
      <c r="V1358" s="1">
        <v>952000234</v>
      </c>
      <c r="W1358" s="1">
        <v>952000234</v>
      </c>
      <c r="X1358" s="1" t="str">
        <f>"1395443775"</f>
        <v>1395443775</v>
      </c>
      <c r="Y1358" s="1" t="str">
        <f>"95/08/18"</f>
        <v>95/08/18</v>
      </c>
      <c r="Z1358" s="1" t="str">
        <f>"40601"</f>
        <v>40601</v>
      </c>
      <c r="AA1358" s="1" t="str">
        <f>"شهرداريها"</f>
        <v>شهرداريها</v>
      </c>
      <c r="AB1358" s="1" t="str">
        <f>"95/08/17"</f>
        <v>95/08/17</v>
      </c>
      <c r="AC1358" s="1" t="str">
        <f>"استان چهارمحال بختياري"</f>
        <v>استان چهارمحال بختياري</v>
      </c>
      <c r="AD1358" s="1" t="str">
        <f>"95/08/18"</f>
        <v>95/08/18</v>
      </c>
      <c r="AE1358" s="1" t="str">
        <f t="shared" si="337"/>
        <v>اختتام</v>
      </c>
      <c r="AF1358" s="1" t="str">
        <f>""</f>
        <v/>
      </c>
      <c r="AG1358" s="1" t="str">
        <f>""</f>
        <v/>
      </c>
      <c r="AH1358" s="1" t="str">
        <f>""</f>
        <v/>
      </c>
      <c r="AI1358" s="1" t="str">
        <f>""</f>
        <v/>
      </c>
      <c r="AJ1358" s="1" t="str">
        <f>""</f>
        <v/>
      </c>
      <c r="AK1358" s="1" t="str">
        <f>""</f>
        <v/>
      </c>
    </row>
    <row r="1359" spans="1:37" x14ac:dyDescent="0.2">
      <c r="A1359" s="1">
        <v>173000</v>
      </c>
      <c r="B1359" s="1">
        <v>952000025</v>
      </c>
      <c r="C1359" s="1" t="str">
        <f>"تخليه -چهارمحال وبختياري لردگان كارخانه آسفالت حاج محمدموسوي"</f>
        <v>تخليه -چهارمحال وبختياري لردگان كارخانه آسفالت حاج محمدموسوي</v>
      </c>
      <c r="D1359" s="1">
        <v>6426</v>
      </c>
      <c r="E1359" s="1">
        <v>172600</v>
      </c>
      <c r="F1359" s="1">
        <v>95</v>
      </c>
      <c r="G1359" s="1">
        <v>400</v>
      </c>
      <c r="H1359" s="1" t="str">
        <f>"95/05/27"</f>
        <v>95/05/27</v>
      </c>
      <c r="I1359" s="1" t="str">
        <f t="shared" si="344"/>
        <v>كيلوگرم</v>
      </c>
      <c r="J1359" s="1" t="str">
        <f t="shared" si="348"/>
        <v>1000000002</v>
      </c>
      <c r="K1359" s="1" t="str">
        <f t="shared" si="349"/>
        <v>قير 85/100 - فله</v>
      </c>
      <c r="L1359" s="1">
        <v>100</v>
      </c>
      <c r="M1359" s="1" t="str">
        <f t="shared" si="347"/>
        <v>مخازن قير اصفهان</v>
      </c>
      <c r="N1359" s="1">
        <v>9743</v>
      </c>
      <c r="O1359" s="1">
        <v>50031573</v>
      </c>
      <c r="P1359" s="1" t="str">
        <f>"  شهرداري لردگان"</f>
        <v xml:space="preserve">  شهرداري لردگان</v>
      </c>
      <c r="Q1359" s="1">
        <v>20</v>
      </c>
      <c r="R1359" s="1" t="str">
        <f>"فروش داخلي - سازمان شهرداري ها و دهياري هاي كشور"</f>
        <v>فروش داخلي - سازمان شهرداري ها و دهياري هاي كشور</v>
      </c>
      <c r="S1359" s="1" t="str">
        <f t="shared" si="345"/>
        <v>قرارداد فروش</v>
      </c>
      <c r="T1359" s="1" t="str">
        <f t="shared" si="346"/>
        <v>ندارد</v>
      </c>
      <c r="U1359" s="1" t="str">
        <f>"علي عابدي ابوالقاسم(1003ج89)"</f>
        <v>علي عابدي ابوالقاسم(1003ج89)</v>
      </c>
      <c r="V1359" s="1">
        <v>952000025</v>
      </c>
      <c r="W1359" s="1">
        <v>952000025</v>
      </c>
      <c r="X1359" s="1" t="str">
        <f>"1395423681"</f>
        <v>1395423681</v>
      </c>
      <c r="Y1359" s="1" t="str">
        <f>"95/05/25"</f>
        <v>95/05/25</v>
      </c>
      <c r="Z1359" s="1" t="str">
        <f>"18812"</f>
        <v>18812</v>
      </c>
      <c r="AA1359" s="1" t="str">
        <f>"شهرداريها"</f>
        <v>شهرداريها</v>
      </c>
      <c r="AB1359" s="1" t="str">
        <f>"95/05/03"</f>
        <v>95/05/03</v>
      </c>
      <c r="AC1359" s="1" t="str">
        <f>"استان چهارمحال بختياري"</f>
        <v>استان چهارمحال بختياري</v>
      </c>
      <c r="AD1359" s="1" t="str">
        <f>"95/05/24"</f>
        <v>95/05/24</v>
      </c>
      <c r="AE1359" s="1" t="str">
        <f t="shared" si="337"/>
        <v>اختتام</v>
      </c>
      <c r="AF1359" s="1" t="str">
        <f>""</f>
        <v/>
      </c>
      <c r="AG1359" s="1" t="str">
        <f>""</f>
        <v/>
      </c>
      <c r="AH1359" s="1" t="str">
        <f>""</f>
        <v/>
      </c>
      <c r="AI1359" s="1" t="str">
        <f>""</f>
        <v/>
      </c>
      <c r="AJ1359" s="1" t="str">
        <f>""</f>
        <v/>
      </c>
      <c r="AK1359" s="1" t="str">
        <f>""</f>
        <v/>
      </c>
    </row>
    <row r="1360" spans="1:37" x14ac:dyDescent="0.2">
      <c r="A1360" s="1">
        <v>300000</v>
      </c>
      <c r="B1360" s="1">
        <v>951100092</v>
      </c>
      <c r="C1360" s="1" t="str">
        <f>"تخليه -خراسان شمالي -شهرستان بجنورد-فرودگاه بين المللي بجنورد-شركت مسكن وعمران قدس رضوي"</f>
        <v>تخليه -خراسان شمالي -شهرستان بجنورد-فرودگاه بين المللي بجنورد-شركت مسكن وعمران قدس رضوي</v>
      </c>
      <c r="D1360" s="1">
        <v>6426</v>
      </c>
      <c r="E1360" s="1">
        <v>297720</v>
      </c>
      <c r="F1360" s="1">
        <v>95</v>
      </c>
      <c r="G1360" s="1">
        <v>2280</v>
      </c>
      <c r="H1360" s="1" t="str">
        <f>"95/05/12"</f>
        <v>95/05/12</v>
      </c>
      <c r="I1360" s="1" t="str">
        <f t="shared" si="344"/>
        <v>كيلوگرم</v>
      </c>
      <c r="J1360" s="1" t="str">
        <f t="shared" si="348"/>
        <v>1000000002</v>
      </c>
      <c r="K1360" s="1" t="str">
        <f t="shared" si="349"/>
        <v>قير 85/100 - فله</v>
      </c>
      <c r="L1360" s="1">
        <v>100</v>
      </c>
      <c r="M1360" s="1" t="str">
        <f t="shared" si="347"/>
        <v>مخازن قير اصفهان</v>
      </c>
      <c r="N1360" s="1">
        <v>7091</v>
      </c>
      <c r="O1360" s="1">
        <v>50031400</v>
      </c>
      <c r="P1360" s="1" t="str">
        <f>"  مسكن وعمران قدس رضوي"</f>
        <v xml:space="preserve">  مسكن وعمران قدس رضوي</v>
      </c>
      <c r="Q1360" s="1">
        <v>11</v>
      </c>
      <c r="R1360" s="1" t="str">
        <f>"فروش داخلي تهران - بورس"</f>
        <v>فروش داخلي تهران - بورس</v>
      </c>
      <c r="S1360" s="1" t="str">
        <f t="shared" si="345"/>
        <v>قرارداد فروش</v>
      </c>
      <c r="T1360" s="1" t="str">
        <f t="shared" si="346"/>
        <v>ندارد</v>
      </c>
      <c r="U1360" s="1" t="str">
        <f>"عابدي محمود(1018ج89)"</f>
        <v>عابدي محمود(1018ج89)</v>
      </c>
      <c r="V1360" s="1">
        <v>951100092</v>
      </c>
      <c r="W1360" s="1">
        <v>951100092</v>
      </c>
      <c r="X1360" s="1" t="str">
        <f>"1395419801"</f>
        <v>1395419801</v>
      </c>
      <c r="Y1360" s="1" t="str">
        <f>"95/05/11"</f>
        <v>95/05/11</v>
      </c>
      <c r="Z1360" s="1" t="str">
        <f>"720/5992"</f>
        <v>720/5992</v>
      </c>
      <c r="AA1360" s="1" t="str">
        <f>"راه سازي"</f>
        <v>راه سازي</v>
      </c>
      <c r="AB1360" s="1" t="str">
        <f>"95/05/10"</f>
        <v>95/05/10</v>
      </c>
      <c r="AC1360" s="1" t="str">
        <f>"خراسان رضوي"</f>
        <v>خراسان رضوي</v>
      </c>
      <c r="AD1360" s="1" t="str">
        <f>"95/05/11"</f>
        <v>95/05/11</v>
      </c>
      <c r="AE1360" s="1" t="str">
        <f t="shared" ref="AE1360:AE1391" si="350">"اختتام"</f>
        <v>اختتام</v>
      </c>
      <c r="AF1360" s="1" t="str">
        <f>""</f>
        <v/>
      </c>
      <c r="AG1360" s="1" t="str">
        <f>""</f>
        <v/>
      </c>
      <c r="AH1360" s="1" t="str">
        <f>""</f>
        <v/>
      </c>
      <c r="AI1360" s="1" t="str">
        <f>""</f>
        <v/>
      </c>
      <c r="AJ1360" s="1" t="str">
        <f>""</f>
        <v/>
      </c>
      <c r="AK1360" s="1" t="str">
        <f>""</f>
        <v/>
      </c>
    </row>
    <row r="1361" spans="1:37" x14ac:dyDescent="0.2">
      <c r="A1361" s="1">
        <v>103000</v>
      </c>
      <c r="B1361" s="1">
        <v>952000205</v>
      </c>
      <c r="C1361" s="1" t="str">
        <f>"تخليه - شهرداري شهركرد"</f>
        <v>تخليه - شهرداري شهركرد</v>
      </c>
      <c r="D1361" s="1">
        <v>8023</v>
      </c>
      <c r="E1361" s="1">
        <v>102480</v>
      </c>
      <c r="F1361" s="1">
        <v>95</v>
      </c>
      <c r="G1361" s="1">
        <v>520</v>
      </c>
      <c r="H1361" s="1" t="str">
        <f>"95/08/16"</f>
        <v>95/08/16</v>
      </c>
      <c r="I1361" s="1" t="str">
        <f t="shared" si="344"/>
        <v>كيلوگرم</v>
      </c>
      <c r="J1361" s="1" t="str">
        <f t="shared" si="348"/>
        <v>1000000002</v>
      </c>
      <c r="K1361" s="1" t="str">
        <f t="shared" si="349"/>
        <v>قير 85/100 - فله</v>
      </c>
      <c r="L1361" s="1">
        <v>100</v>
      </c>
      <c r="M1361" s="1" t="str">
        <f t="shared" si="347"/>
        <v>مخازن قير اصفهان</v>
      </c>
      <c r="N1361" s="1">
        <v>9666</v>
      </c>
      <c r="O1361" s="1">
        <v>50032512</v>
      </c>
      <c r="P1361" s="1" t="str">
        <f>"  شهرداري كيان"</f>
        <v xml:space="preserve">  شهرداري كيان</v>
      </c>
      <c r="Q1361" s="1">
        <v>20</v>
      </c>
      <c r="R1361" s="1" t="str">
        <f>"فروش داخلي - سازمان شهرداري ها و دهياري هاي كشور"</f>
        <v>فروش داخلي - سازمان شهرداري ها و دهياري هاي كشور</v>
      </c>
      <c r="S1361" s="1" t="str">
        <f t="shared" si="345"/>
        <v>قرارداد فروش</v>
      </c>
      <c r="T1361" s="1" t="str">
        <f t="shared" si="346"/>
        <v>ندارد</v>
      </c>
      <c r="U1361" s="1" t="str">
        <f>"مظلوم فريبرز(1008ج89)"</f>
        <v>مظلوم فريبرز(1008ج89)</v>
      </c>
      <c r="V1361" s="1">
        <v>952000205</v>
      </c>
      <c r="W1361" s="1">
        <v>952000205</v>
      </c>
      <c r="X1361" s="1" t="str">
        <f>"1395443205"</f>
        <v>1395443205</v>
      </c>
      <c r="Y1361" s="1" t="str">
        <f>"95/08/16"</f>
        <v>95/08/16</v>
      </c>
      <c r="Z1361" s="1" t="str">
        <f>"39378"</f>
        <v>39378</v>
      </c>
      <c r="AA1361" s="1" t="str">
        <f>"شهرداريها"</f>
        <v>شهرداريها</v>
      </c>
      <c r="AB1361" s="1" t="str">
        <f>"95/08/11"</f>
        <v>95/08/11</v>
      </c>
      <c r="AC1361" s="1" t="str">
        <f t="shared" ref="AC1361:AC1366" si="351">"استان چهارمحال بختياري"</f>
        <v>استان چهارمحال بختياري</v>
      </c>
      <c r="AD1361" s="1" t="str">
        <f>"95/08/15"</f>
        <v>95/08/15</v>
      </c>
      <c r="AE1361" s="1" t="str">
        <f t="shared" si="350"/>
        <v>اختتام</v>
      </c>
      <c r="AF1361" s="1" t="str">
        <f>""</f>
        <v/>
      </c>
      <c r="AG1361" s="1" t="str">
        <f>""</f>
        <v/>
      </c>
      <c r="AH1361" s="1" t="str">
        <f>""</f>
        <v/>
      </c>
      <c r="AI1361" s="1" t="str">
        <f>""</f>
        <v/>
      </c>
      <c r="AJ1361" s="1" t="str">
        <f>""</f>
        <v/>
      </c>
      <c r="AK1361" s="1" t="str">
        <f>""</f>
        <v/>
      </c>
    </row>
    <row r="1362" spans="1:37" x14ac:dyDescent="0.2">
      <c r="A1362" s="1">
        <v>110000</v>
      </c>
      <c r="B1362" s="1">
        <v>952000030</v>
      </c>
      <c r="C1362" s="1" t="str">
        <f>"تخليه -چهارمحال وبختياري -شهرستان سامان -جنب شهرك صنعتي 2-شركت سامان ساخت"</f>
        <v>تخليه -چهارمحال وبختياري -شهرستان سامان -جنب شهرك صنعتي 2-شركت سامان ساخت</v>
      </c>
      <c r="D1362" s="1">
        <v>6426</v>
      </c>
      <c r="E1362" s="1">
        <v>106360</v>
      </c>
      <c r="F1362" s="1">
        <v>95</v>
      </c>
      <c r="G1362" s="1">
        <v>3640</v>
      </c>
      <c r="H1362" s="1" t="str">
        <f>"95/05/27"</f>
        <v>95/05/27</v>
      </c>
      <c r="I1362" s="1" t="str">
        <f t="shared" si="344"/>
        <v>كيلوگرم</v>
      </c>
      <c r="J1362" s="1" t="str">
        <f t="shared" si="348"/>
        <v>1000000002</v>
      </c>
      <c r="K1362" s="1" t="str">
        <f t="shared" si="349"/>
        <v>قير 85/100 - فله</v>
      </c>
      <c r="L1362" s="1">
        <v>100</v>
      </c>
      <c r="M1362" s="1" t="str">
        <f t="shared" si="347"/>
        <v>مخازن قير اصفهان</v>
      </c>
      <c r="N1362" s="1">
        <v>9668</v>
      </c>
      <c r="O1362" s="1">
        <v>50031580</v>
      </c>
      <c r="P1362" s="1" t="str">
        <f>"  شهرداري بن"</f>
        <v xml:space="preserve">  شهرداري بن</v>
      </c>
      <c r="Q1362" s="1">
        <v>20</v>
      </c>
      <c r="R1362" s="1" t="str">
        <f>"فروش داخلي - سازمان شهرداري ها و دهياري هاي كشور"</f>
        <v>فروش داخلي - سازمان شهرداري ها و دهياري هاي كشور</v>
      </c>
      <c r="S1362" s="1" t="str">
        <f t="shared" si="345"/>
        <v>قرارداد فروش</v>
      </c>
      <c r="T1362" s="1" t="str">
        <f t="shared" si="346"/>
        <v>ندارد</v>
      </c>
      <c r="U1362" s="1" t="str">
        <f>"قره باغي مجيد(1871065)"</f>
        <v>قره باغي مجيد(1871065)</v>
      </c>
      <c r="V1362" s="1">
        <v>952000030</v>
      </c>
      <c r="W1362" s="1">
        <v>952000030</v>
      </c>
      <c r="X1362" s="1" t="str">
        <f>"1395423681"</f>
        <v>1395423681</v>
      </c>
      <c r="Y1362" s="1" t="str">
        <f>"95/05/25"</f>
        <v>95/05/25</v>
      </c>
      <c r="Z1362" s="1" t="str">
        <f>"19228"</f>
        <v>19228</v>
      </c>
      <c r="AA1362" s="1" t="str">
        <f>"شهرداريها"</f>
        <v>شهرداريها</v>
      </c>
      <c r="AB1362" s="1" t="str">
        <f>"95/05/04"</f>
        <v>95/05/04</v>
      </c>
      <c r="AC1362" s="1" t="str">
        <f t="shared" si="351"/>
        <v>استان چهارمحال بختياري</v>
      </c>
      <c r="AD1362" s="1" t="str">
        <f>"95/05/24"</f>
        <v>95/05/24</v>
      </c>
      <c r="AE1362" s="1" t="str">
        <f t="shared" si="350"/>
        <v>اختتام</v>
      </c>
      <c r="AF1362" s="1" t="str">
        <f>""</f>
        <v/>
      </c>
      <c r="AG1362" s="1" t="str">
        <f>""</f>
        <v/>
      </c>
      <c r="AH1362" s="1" t="str">
        <f>""</f>
        <v/>
      </c>
      <c r="AI1362" s="1" t="str">
        <f>""</f>
        <v/>
      </c>
      <c r="AJ1362" s="1" t="str">
        <f>""</f>
        <v/>
      </c>
      <c r="AK1362" s="1" t="str">
        <f>""</f>
        <v/>
      </c>
    </row>
    <row r="1363" spans="1:37" x14ac:dyDescent="0.2">
      <c r="A1363" s="1">
        <v>100000</v>
      </c>
      <c r="B1363" s="1">
        <v>952000011</v>
      </c>
      <c r="C1363" s="1" t="str">
        <f>"تخليه چهارمحال وبختياري شهرگوجان كارخانه آسفالت رضايي"</f>
        <v>تخليه چهارمحال وبختياري شهرگوجان كارخانه آسفالت رضايي</v>
      </c>
      <c r="D1363" s="1">
        <v>6426</v>
      </c>
      <c r="E1363" s="1">
        <v>99740</v>
      </c>
      <c r="F1363" s="1">
        <v>95</v>
      </c>
      <c r="G1363" s="1">
        <v>260</v>
      </c>
      <c r="H1363" s="1" t="str">
        <f>"95/05/25"</f>
        <v>95/05/25</v>
      </c>
      <c r="I1363" s="1" t="str">
        <f t="shared" si="344"/>
        <v>كيلوگرم</v>
      </c>
      <c r="J1363" s="1" t="str">
        <f t="shared" si="348"/>
        <v>1000000002</v>
      </c>
      <c r="K1363" s="1" t="str">
        <f t="shared" si="349"/>
        <v>قير 85/100 - فله</v>
      </c>
      <c r="L1363" s="1">
        <v>100</v>
      </c>
      <c r="M1363" s="1" t="str">
        <f t="shared" si="347"/>
        <v>مخازن قير اصفهان</v>
      </c>
      <c r="N1363" s="1">
        <v>10744</v>
      </c>
      <c r="O1363" s="1">
        <v>50031548</v>
      </c>
      <c r="P1363" s="1" t="str">
        <f>"  شهرداري پردنجان"</f>
        <v xml:space="preserve">  شهرداري پردنجان</v>
      </c>
      <c r="Q1363" s="1">
        <v>20</v>
      </c>
      <c r="R1363" s="1" t="str">
        <f>"فروش داخلي - سازمان شهرداري ها و دهياري هاي كشور"</f>
        <v>فروش داخلي - سازمان شهرداري ها و دهياري هاي كشور</v>
      </c>
      <c r="S1363" s="1" t="str">
        <f t="shared" si="345"/>
        <v>قرارداد فروش</v>
      </c>
      <c r="T1363" s="1" t="str">
        <f t="shared" si="346"/>
        <v>ندارد</v>
      </c>
      <c r="U1363" s="1" t="str">
        <f>"مظلوم فريبرز(1008ج89)"</f>
        <v>مظلوم فريبرز(1008ج89)</v>
      </c>
      <c r="V1363" s="1">
        <v>952000011</v>
      </c>
      <c r="W1363" s="1">
        <v>952000011</v>
      </c>
      <c r="X1363" s="1" t="str">
        <f>"1395423681"</f>
        <v>1395423681</v>
      </c>
      <c r="Y1363" s="1" t="str">
        <f>"95/05/25"</f>
        <v>95/05/25</v>
      </c>
      <c r="Z1363" s="1" t="str">
        <f>"18499"</f>
        <v>18499</v>
      </c>
      <c r="AA1363" s="1" t="str">
        <f>"شهرداريها"</f>
        <v>شهرداريها</v>
      </c>
      <c r="AB1363" s="1" t="str">
        <f>"95/05/02"</f>
        <v>95/05/02</v>
      </c>
      <c r="AC1363" s="1" t="str">
        <f t="shared" si="351"/>
        <v>استان چهارمحال بختياري</v>
      </c>
      <c r="AD1363" s="1" t="str">
        <f>"95/05/24"</f>
        <v>95/05/24</v>
      </c>
      <c r="AE1363" s="1" t="str">
        <f t="shared" si="350"/>
        <v>اختتام</v>
      </c>
      <c r="AF1363" s="1" t="str">
        <f>""</f>
        <v/>
      </c>
      <c r="AG1363" s="1" t="str">
        <f>""</f>
        <v/>
      </c>
      <c r="AH1363" s="1" t="str">
        <f>""</f>
        <v/>
      </c>
      <c r="AI1363" s="1" t="str">
        <f>""</f>
        <v/>
      </c>
      <c r="AJ1363" s="1" t="str">
        <f>""</f>
        <v/>
      </c>
      <c r="AK1363" s="1" t="str">
        <f>""</f>
        <v/>
      </c>
    </row>
    <row r="1364" spans="1:37" x14ac:dyDescent="0.2">
      <c r="A1364" s="1">
        <v>98000</v>
      </c>
      <c r="B1364" s="1">
        <v>952000258</v>
      </c>
      <c r="C1364" s="1" t="str">
        <f>"تخليه چهارمحال وبختياري شهرگوجان كارخانه آسفالت رضايي"</f>
        <v>تخليه چهارمحال وبختياري شهرگوجان كارخانه آسفالت رضايي</v>
      </c>
      <c r="D1364" s="1">
        <v>7026</v>
      </c>
      <c r="E1364" s="1">
        <v>97780</v>
      </c>
      <c r="F1364" s="1">
        <v>95</v>
      </c>
      <c r="G1364" s="1">
        <v>220</v>
      </c>
      <c r="H1364" s="1" t="str">
        <f>"95/09/07"</f>
        <v>95/09/07</v>
      </c>
      <c r="I1364" s="1" t="str">
        <f t="shared" si="344"/>
        <v>كيلوگرم</v>
      </c>
      <c r="J1364" s="1" t="str">
        <f t="shared" si="348"/>
        <v>1000000002</v>
      </c>
      <c r="K1364" s="1" t="str">
        <f t="shared" si="349"/>
        <v>قير 85/100 - فله</v>
      </c>
      <c r="L1364" s="1">
        <v>100</v>
      </c>
      <c r="M1364" s="1" t="str">
        <f t="shared" si="347"/>
        <v>مخازن قير اصفهان</v>
      </c>
      <c r="N1364" s="1">
        <v>10744</v>
      </c>
      <c r="O1364" s="1">
        <v>50032730</v>
      </c>
      <c r="P1364" s="1" t="str">
        <f>"  شهرداري پردنجان"</f>
        <v xml:space="preserve">  شهرداري پردنجان</v>
      </c>
      <c r="Q1364" s="1">
        <v>20</v>
      </c>
      <c r="R1364" s="1" t="str">
        <f>"فروش داخلي - سازمان شهرداري ها و دهياري هاي كشور"</f>
        <v>فروش داخلي - سازمان شهرداري ها و دهياري هاي كشور</v>
      </c>
      <c r="S1364" s="1" t="str">
        <f t="shared" si="345"/>
        <v>قرارداد فروش</v>
      </c>
      <c r="T1364" s="1" t="str">
        <f t="shared" si="346"/>
        <v>ندارد</v>
      </c>
      <c r="U1364" s="1" t="str">
        <f>"مظلوم فريبرز(1008ج89)"</f>
        <v>مظلوم فريبرز(1008ج89)</v>
      </c>
      <c r="V1364" s="1">
        <v>952000258</v>
      </c>
      <c r="W1364" s="1">
        <v>952000258</v>
      </c>
      <c r="X1364" s="1" t="str">
        <f>"1395447618"</f>
        <v>1395447618</v>
      </c>
      <c r="Y1364" s="1" t="str">
        <f>"95/09/07"</f>
        <v>95/09/07</v>
      </c>
      <c r="Z1364" s="1" t="str">
        <f>"41970"</f>
        <v>41970</v>
      </c>
      <c r="AA1364" s="1" t="str">
        <f>"شهرداريها"</f>
        <v>شهرداريها</v>
      </c>
      <c r="AB1364" s="1" t="str">
        <f>"95/08/24"</f>
        <v>95/08/24</v>
      </c>
      <c r="AC1364" s="1" t="str">
        <f t="shared" si="351"/>
        <v>استان چهارمحال بختياري</v>
      </c>
      <c r="AD1364" s="1" t="str">
        <f>"95/09/06"</f>
        <v>95/09/06</v>
      </c>
      <c r="AE1364" s="1" t="str">
        <f t="shared" si="350"/>
        <v>اختتام</v>
      </c>
      <c r="AF1364" s="1" t="str">
        <f>""</f>
        <v/>
      </c>
      <c r="AG1364" s="1" t="str">
        <f>""</f>
        <v/>
      </c>
      <c r="AH1364" s="1" t="str">
        <f>""</f>
        <v/>
      </c>
      <c r="AI1364" s="1" t="str">
        <f>""</f>
        <v/>
      </c>
      <c r="AJ1364" s="1" t="str">
        <f>""</f>
        <v/>
      </c>
      <c r="AK1364" s="1" t="str">
        <f>""</f>
        <v/>
      </c>
    </row>
    <row r="1365" spans="1:37" x14ac:dyDescent="0.2">
      <c r="A1365" s="1">
        <v>77000</v>
      </c>
      <c r="B1365" s="1">
        <v>952000007</v>
      </c>
      <c r="C1365" s="1" t="str">
        <f>"تخليه -چهارمحال بختياري -شهركرد-سازمان همياري شهرداريهاي چهارمحال وبختياري"</f>
        <v>تخليه -چهارمحال بختياري -شهركرد-سازمان همياري شهرداريهاي چهارمحال وبختياري</v>
      </c>
      <c r="D1365" s="1">
        <v>6426</v>
      </c>
      <c r="E1365" s="1">
        <v>76600</v>
      </c>
      <c r="F1365" s="1">
        <v>95</v>
      </c>
      <c r="G1365" s="1">
        <v>400</v>
      </c>
      <c r="H1365" s="1" t="str">
        <f>"95/05/25"</f>
        <v>95/05/25</v>
      </c>
      <c r="I1365" s="1" t="str">
        <f t="shared" si="344"/>
        <v>كيلوگرم</v>
      </c>
      <c r="J1365" s="1" t="str">
        <f t="shared" si="348"/>
        <v>1000000002</v>
      </c>
      <c r="K1365" s="1" t="str">
        <f t="shared" si="349"/>
        <v>قير 85/100 - فله</v>
      </c>
      <c r="L1365" s="1">
        <v>100</v>
      </c>
      <c r="M1365" s="1" t="str">
        <f t="shared" si="347"/>
        <v>مخازن قير اصفهان</v>
      </c>
      <c r="N1365" s="1">
        <v>10794</v>
      </c>
      <c r="O1365" s="1">
        <v>50031541</v>
      </c>
      <c r="P1365" s="1" t="str">
        <f>"  شهرداري طاقانك"</f>
        <v xml:space="preserve">  شهرداري طاقانك</v>
      </c>
      <c r="Q1365" s="1">
        <v>20</v>
      </c>
      <c r="R1365" s="1" t="str">
        <f>"فروش داخلي - سازمان شهرداري ها و دهياري هاي كشور"</f>
        <v>فروش داخلي - سازمان شهرداري ها و دهياري هاي كشور</v>
      </c>
      <c r="S1365" s="1" t="str">
        <f t="shared" si="345"/>
        <v>قرارداد فروش</v>
      </c>
      <c r="T1365" s="1" t="str">
        <f t="shared" si="346"/>
        <v>ندارد</v>
      </c>
      <c r="U1365" s="1" t="str">
        <f>"سيفي پور گودرز(1019ج89)"</f>
        <v>سيفي پور گودرز(1019ج89)</v>
      </c>
      <c r="V1365" s="1">
        <v>952000007</v>
      </c>
      <c r="W1365" s="1">
        <v>952000007</v>
      </c>
      <c r="X1365" s="1" t="str">
        <f>"1395423681"</f>
        <v>1395423681</v>
      </c>
      <c r="Y1365" s="1" t="str">
        <f>"95/05/24"</f>
        <v>95/05/24</v>
      </c>
      <c r="Z1365" s="1" t="str">
        <f>"18468"</f>
        <v>18468</v>
      </c>
      <c r="AA1365" s="1" t="str">
        <f>"شهرداريها"</f>
        <v>شهرداريها</v>
      </c>
      <c r="AB1365" s="1" t="str">
        <f>"95/05/02"</f>
        <v>95/05/02</v>
      </c>
      <c r="AC1365" s="1" t="str">
        <f t="shared" si="351"/>
        <v>استان چهارمحال بختياري</v>
      </c>
      <c r="AD1365" s="1" t="str">
        <f>"95/05/24"</f>
        <v>95/05/24</v>
      </c>
      <c r="AE1365" s="1" t="str">
        <f t="shared" si="350"/>
        <v>اختتام</v>
      </c>
      <c r="AF1365" s="1" t="str">
        <f>""</f>
        <v/>
      </c>
      <c r="AG1365" s="1" t="str">
        <f>""</f>
        <v/>
      </c>
      <c r="AH1365" s="1" t="str">
        <f>""</f>
        <v/>
      </c>
      <c r="AI1365" s="1" t="str">
        <f>""</f>
        <v/>
      </c>
      <c r="AJ1365" s="1" t="str">
        <f>""</f>
        <v/>
      </c>
      <c r="AK1365" s="1" t="str">
        <f>""</f>
        <v/>
      </c>
    </row>
    <row r="1366" spans="1:37" x14ac:dyDescent="0.2">
      <c r="A1366" s="1">
        <v>320000</v>
      </c>
      <c r="B1366" s="1">
        <v>956200010</v>
      </c>
      <c r="C1366" s="1" t="str">
        <f>"تخليه-اصفهان-زرين شهر-جنب پل راه آهن ذوب آهن-کارخانه آسفالت زرين سپاهان"</f>
        <v>تخليه-اصفهان-زرين شهر-جنب پل راه آهن ذوب آهن-کارخانه آسفالت زرين سپاهان</v>
      </c>
      <c r="D1366" s="1">
        <v>5750</v>
      </c>
      <c r="E1366" s="1">
        <v>319620</v>
      </c>
      <c r="F1366" s="1">
        <v>95</v>
      </c>
      <c r="G1366" s="1">
        <v>380</v>
      </c>
      <c r="H1366" s="1" t="str">
        <f>"95/03/08"</f>
        <v>95/03/08</v>
      </c>
      <c r="I1366" s="1" t="str">
        <f t="shared" si="344"/>
        <v>كيلوگرم</v>
      </c>
      <c r="J1366" s="1" t="str">
        <f t="shared" si="348"/>
        <v>1000000002</v>
      </c>
      <c r="K1366" s="1" t="str">
        <f t="shared" si="349"/>
        <v>قير 85/100 - فله</v>
      </c>
      <c r="L1366" s="1">
        <v>100</v>
      </c>
      <c r="M1366" s="1" t="str">
        <f t="shared" si="347"/>
        <v>مخازن قير اصفهان</v>
      </c>
      <c r="N1366" s="1">
        <v>11097</v>
      </c>
      <c r="O1366" s="1">
        <v>50030899</v>
      </c>
      <c r="P1366" s="1" t="str">
        <f>"  آسمانه کاران شهرکرد"</f>
        <v xml:space="preserve">  آسمانه کاران شهرکرد</v>
      </c>
      <c r="Q1366" s="1">
        <v>62</v>
      </c>
      <c r="R1366" s="1" t="str">
        <f>"فروش داخلي - سازمان بنيادمسكن انقلاب اسلامي"</f>
        <v>فروش داخلي - سازمان بنيادمسكن انقلاب اسلامي</v>
      </c>
      <c r="S1366" s="1" t="str">
        <f t="shared" si="345"/>
        <v>قرارداد فروش</v>
      </c>
      <c r="T1366" s="1" t="str">
        <f t="shared" si="346"/>
        <v>ندارد</v>
      </c>
      <c r="U1366" s="1" t="str">
        <f>"قره باغي مجيد(1871065)"</f>
        <v>قره باغي مجيد(1871065)</v>
      </c>
      <c r="V1366" s="1">
        <v>956200010</v>
      </c>
      <c r="W1366" s="1">
        <v>956200010</v>
      </c>
      <c r="X1366" s="1" t="str">
        <f>"1395406248"</f>
        <v>1395406248</v>
      </c>
      <c r="Y1366" s="1" t="str">
        <f>"95/03/08"</f>
        <v>95/03/08</v>
      </c>
      <c r="Z1366" s="1" t="str">
        <f>"7813/د"</f>
        <v>7813/د</v>
      </c>
      <c r="AA1366" s="1" t="str">
        <f>"بنيادمسكن انقلاب اسلامي"</f>
        <v>بنيادمسكن انقلاب اسلامي</v>
      </c>
      <c r="AB1366" s="1" t="str">
        <f>"95/02/28"</f>
        <v>95/02/28</v>
      </c>
      <c r="AC1366" s="1" t="str">
        <f t="shared" si="351"/>
        <v>استان چهارمحال بختياري</v>
      </c>
      <c r="AD1366" s="1" t="str">
        <f>"95/03/08"</f>
        <v>95/03/08</v>
      </c>
      <c r="AE1366" s="1" t="str">
        <f t="shared" si="350"/>
        <v>اختتام</v>
      </c>
      <c r="AF1366" s="1" t="str">
        <f>""</f>
        <v/>
      </c>
      <c r="AG1366" s="1" t="str">
        <f>""</f>
        <v/>
      </c>
      <c r="AH1366" s="1" t="str">
        <f>""</f>
        <v/>
      </c>
      <c r="AI1366" s="1" t="str">
        <f>""</f>
        <v/>
      </c>
      <c r="AJ1366" s="1" t="str">
        <f>""</f>
        <v/>
      </c>
      <c r="AK1366" s="1" t="str">
        <f>""</f>
        <v/>
      </c>
    </row>
    <row r="1367" spans="1:37" x14ac:dyDescent="0.2">
      <c r="A1367" s="1">
        <v>438000</v>
      </c>
      <c r="B1367" s="1">
        <v>956200169</v>
      </c>
      <c r="C1367" s="1" t="str">
        <f>"تخليه-کيلومتر 20جاده يزد -بافق"</f>
        <v>تخليه-کيلومتر 20جاده يزد -بافق</v>
      </c>
      <c r="D1367" s="1">
        <v>9361</v>
      </c>
      <c r="E1367" s="1">
        <v>438000</v>
      </c>
      <c r="F1367" s="1">
        <v>95</v>
      </c>
      <c r="G1367" s="1">
        <v>0</v>
      </c>
      <c r="H1367" s="1" t="str">
        <f>"95/11/04"</f>
        <v>95/11/04</v>
      </c>
      <c r="I1367" s="1" t="str">
        <f t="shared" si="344"/>
        <v>كيلوگرم</v>
      </c>
      <c r="J1367" s="1" t="str">
        <f>"0000000076"</f>
        <v>0000000076</v>
      </c>
      <c r="K1367" s="1" t="str">
        <f>"قير 60/70 - فله"</f>
        <v>قير 60/70 - فله</v>
      </c>
      <c r="L1367" s="1">
        <v>100</v>
      </c>
      <c r="M1367" s="1" t="str">
        <f t="shared" si="347"/>
        <v>مخازن قير اصفهان</v>
      </c>
      <c r="N1367" s="1">
        <v>10033</v>
      </c>
      <c r="O1367" s="1">
        <v>50033499</v>
      </c>
      <c r="P1367" s="1" t="str">
        <f>"  راهسازي مشكين راه كوير"</f>
        <v xml:space="preserve">  راهسازي مشكين راه كوير</v>
      </c>
      <c r="Q1367" s="1">
        <v>62</v>
      </c>
      <c r="R1367" s="1" t="str">
        <f>"فروش داخلي - سازمان بنيادمسكن انقلاب اسلامي"</f>
        <v>فروش داخلي - سازمان بنيادمسكن انقلاب اسلامي</v>
      </c>
      <c r="S1367" s="1" t="str">
        <f t="shared" si="345"/>
        <v>قرارداد فروش</v>
      </c>
      <c r="T1367" s="1" t="str">
        <f t="shared" si="346"/>
        <v>ندارد</v>
      </c>
      <c r="U1367" s="1" t="str">
        <f>"عزيزي صفر(1006ج 89)"</f>
        <v>عزيزي صفر(1006ج 89)</v>
      </c>
      <c r="V1367" s="1">
        <v>956200169</v>
      </c>
      <c r="W1367" s="1">
        <v>956200169</v>
      </c>
      <c r="X1367" s="1" t="str">
        <f>"1395460248"</f>
        <v>1395460248</v>
      </c>
      <c r="Y1367" s="1" t="str">
        <f>"95/11/04"</f>
        <v>95/11/04</v>
      </c>
      <c r="Z1367" s="1" t="str">
        <f>"46084/د"</f>
        <v>46084/د</v>
      </c>
      <c r="AA1367" s="1" t="str">
        <f>"بنيادمسكن انقلاب اسلامي"</f>
        <v>بنيادمسكن انقلاب اسلامي</v>
      </c>
      <c r="AB1367" s="1" t="str">
        <f>"95/10/28"</f>
        <v>95/10/28</v>
      </c>
      <c r="AC1367" s="1" t="str">
        <f>"استان يزد"</f>
        <v>استان يزد</v>
      </c>
      <c r="AD1367" s="1" t="str">
        <f>"95/11/04"</f>
        <v>95/11/04</v>
      </c>
      <c r="AE1367" s="1" t="str">
        <f t="shared" si="350"/>
        <v>اختتام</v>
      </c>
      <c r="AF1367" s="1" t="str">
        <f>""</f>
        <v/>
      </c>
      <c r="AG1367" s="1" t="str">
        <f>""</f>
        <v/>
      </c>
      <c r="AH1367" s="1" t="str">
        <f>""</f>
        <v/>
      </c>
      <c r="AI1367" s="1" t="str">
        <f>""</f>
        <v/>
      </c>
      <c r="AJ1367" s="1" t="str">
        <f>""</f>
        <v/>
      </c>
      <c r="AK1367" s="1" t="str">
        <f>""</f>
        <v/>
      </c>
    </row>
    <row r="1368" spans="1:37" x14ac:dyDescent="0.2">
      <c r="A1368" s="1">
        <v>116000</v>
      </c>
      <c r="B1368" s="1">
        <v>952000018</v>
      </c>
      <c r="C1368" s="1" t="str">
        <f>"تخليه - چهارمحال و بختياري-شهرک صنعتي سامان -کارخانه نسيم سامان"</f>
        <v>تخليه - چهارمحال و بختياري-شهرک صنعتي سامان -کارخانه نسيم سامان</v>
      </c>
      <c r="D1368" s="1">
        <v>6426</v>
      </c>
      <c r="E1368" s="1">
        <v>114980</v>
      </c>
      <c r="F1368" s="1">
        <v>95</v>
      </c>
      <c r="G1368" s="1">
        <v>1020</v>
      </c>
      <c r="H1368" s="1" t="str">
        <f>"95/05/26"</f>
        <v>95/05/26</v>
      </c>
      <c r="I1368" s="1" t="str">
        <f t="shared" si="344"/>
        <v>كيلوگرم</v>
      </c>
      <c r="J1368" s="1" t="str">
        <f t="shared" ref="J1368:J1383" si="352">"1000000002"</f>
        <v>1000000002</v>
      </c>
      <c r="K1368" s="1" t="str">
        <f t="shared" ref="K1368:K1383" si="353">"قير 85/100 - فله"</f>
        <v>قير 85/100 - فله</v>
      </c>
      <c r="L1368" s="1">
        <v>100</v>
      </c>
      <c r="M1368" s="1" t="str">
        <f t="shared" si="347"/>
        <v>مخازن قير اصفهان</v>
      </c>
      <c r="N1368" s="1">
        <v>7187</v>
      </c>
      <c r="O1368" s="1">
        <v>50031564</v>
      </c>
      <c r="P1368" s="1" t="str">
        <f>"  شهرداري سامان"</f>
        <v xml:space="preserve">  شهرداري سامان</v>
      </c>
      <c r="Q1368" s="1">
        <v>20</v>
      </c>
      <c r="R1368" s="1" t="str">
        <f>"فروش داخلي - سازمان شهرداري ها و دهياري هاي كشور"</f>
        <v>فروش داخلي - سازمان شهرداري ها و دهياري هاي كشور</v>
      </c>
      <c r="S1368" s="1" t="str">
        <f t="shared" si="345"/>
        <v>قرارداد فروش</v>
      </c>
      <c r="T1368" s="1" t="str">
        <f t="shared" si="346"/>
        <v>ندارد</v>
      </c>
      <c r="U1368" s="1" t="str">
        <f t="shared" ref="U1368:U1373" si="354">"قره باغي مجيد(1871065)"</f>
        <v>قره باغي مجيد(1871065)</v>
      </c>
      <c r="V1368" s="1">
        <v>952000018</v>
      </c>
      <c r="W1368" s="1">
        <v>952000018</v>
      </c>
      <c r="X1368" s="1" t="str">
        <f>"1395423681"</f>
        <v>1395423681</v>
      </c>
      <c r="Y1368" s="1" t="str">
        <f>"95/05/25"</f>
        <v>95/05/25</v>
      </c>
      <c r="Z1368" s="1" t="str">
        <f>"18472"</f>
        <v>18472</v>
      </c>
      <c r="AA1368" s="1" t="str">
        <f>"شهرداريها"</f>
        <v>شهرداريها</v>
      </c>
      <c r="AB1368" s="1" t="str">
        <f>"95/05/02"</f>
        <v>95/05/02</v>
      </c>
      <c r="AC1368" s="1" t="str">
        <f t="shared" ref="AC1368:AC1373" si="355">"استان چهارمحال بختياري"</f>
        <v>استان چهارمحال بختياري</v>
      </c>
      <c r="AD1368" s="1" t="str">
        <f>"95/05/24"</f>
        <v>95/05/24</v>
      </c>
      <c r="AE1368" s="1" t="str">
        <f t="shared" si="350"/>
        <v>اختتام</v>
      </c>
      <c r="AF1368" s="1" t="str">
        <f>""</f>
        <v/>
      </c>
      <c r="AG1368" s="1" t="str">
        <f>""</f>
        <v/>
      </c>
      <c r="AH1368" s="1" t="str">
        <f>""</f>
        <v/>
      </c>
      <c r="AI1368" s="1" t="str">
        <f>""</f>
        <v/>
      </c>
      <c r="AJ1368" s="1" t="str">
        <f>""</f>
        <v/>
      </c>
      <c r="AK1368" s="1" t="str">
        <f>""</f>
        <v/>
      </c>
    </row>
    <row r="1369" spans="1:37" x14ac:dyDescent="0.2">
      <c r="A1369" s="1">
        <v>124000</v>
      </c>
      <c r="B1369" s="1">
        <v>956200027</v>
      </c>
      <c r="C1369" s="1" t="str">
        <f>"تخليه- بروجن-شهر گندمان-پشت قطب صنعتي گندمان-کارخانه آسفالت احمدي"</f>
        <v>تخليه- بروجن-شهر گندمان-پشت قطب صنعتي گندمان-کارخانه آسفالت احمدي</v>
      </c>
      <c r="D1369" s="1">
        <v>5750</v>
      </c>
      <c r="E1369" s="1">
        <v>122980</v>
      </c>
      <c r="F1369" s="1">
        <v>95</v>
      </c>
      <c r="G1369" s="1">
        <v>1020</v>
      </c>
      <c r="H1369" s="1" t="str">
        <f>"95/03/17"</f>
        <v>95/03/17</v>
      </c>
      <c r="I1369" s="1" t="str">
        <f t="shared" si="344"/>
        <v>كيلوگرم</v>
      </c>
      <c r="J1369" s="1" t="str">
        <f t="shared" si="352"/>
        <v>1000000002</v>
      </c>
      <c r="K1369" s="1" t="str">
        <f t="shared" si="353"/>
        <v>قير 85/100 - فله</v>
      </c>
      <c r="L1369" s="1">
        <v>100</v>
      </c>
      <c r="M1369" s="1" t="str">
        <f t="shared" si="347"/>
        <v>مخازن قير اصفهان</v>
      </c>
      <c r="N1369" s="1">
        <v>11104</v>
      </c>
      <c r="O1369" s="1">
        <v>50030971</v>
      </c>
      <c r="P1369" s="1" t="str">
        <f>"  سياح شهرکرد"</f>
        <v xml:space="preserve">  سياح شهرکرد</v>
      </c>
      <c r="Q1369" s="1">
        <v>62</v>
      </c>
      <c r="R1369" s="1" t="str">
        <f>"فروش داخلي - سازمان بنيادمسكن انقلاب اسلامي"</f>
        <v>فروش داخلي - سازمان بنيادمسكن انقلاب اسلامي</v>
      </c>
      <c r="S1369" s="1" t="str">
        <f t="shared" si="345"/>
        <v>قرارداد فروش</v>
      </c>
      <c r="T1369" s="1" t="str">
        <f t="shared" si="346"/>
        <v>ندارد</v>
      </c>
      <c r="U1369" s="1" t="str">
        <f t="shared" si="354"/>
        <v>قره باغي مجيد(1871065)</v>
      </c>
      <c r="V1369" s="1">
        <v>956200027</v>
      </c>
      <c r="W1369" s="1">
        <v>956200027</v>
      </c>
      <c r="X1369" s="1" t="str">
        <f>"1395407682"</f>
        <v>1395407682</v>
      </c>
      <c r="Y1369" s="1" t="str">
        <f>"95/03/17"</f>
        <v>95/03/17</v>
      </c>
      <c r="Z1369" s="1" t="str">
        <f>"9890/د"</f>
        <v>9890/د</v>
      </c>
      <c r="AA1369" s="1" t="str">
        <f>"بنيادمسكن انقلاب اسلامي"</f>
        <v>بنيادمسكن انقلاب اسلامي</v>
      </c>
      <c r="AB1369" s="1" t="str">
        <f>"95/03/12"</f>
        <v>95/03/12</v>
      </c>
      <c r="AC1369" s="1" t="str">
        <f t="shared" si="355"/>
        <v>استان چهارمحال بختياري</v>
      </c>
      <c r="AD1369" s="1" t="str">
        <f>"95/03/16"</f>
        <v>95/03/16</v>
      </c>
      <c r="AE1369" s="1" t="str">
        <f t="shared" si="350"/>
        <v>اختتام</v>
      </c>
      <c r="AF1369" s="1" t="str">
        <f>""</f>
        <v/>
      </c>
      <c r="AG1369" s="1" t="str">
        <f>""</f>
        <v/>
      </c>
      <c r="AH1369" s="1" t="str">
        <f>""</f>
        <v/>
      </c>
      <c r="AI1369" s="1" t="str">
        <f>""</f>
        <v/>
      </c>
      <c r="AJ1369" s="1" t="str">
        <f>""</f>
        <v/>
      </c>
      <c r="AK1369" s="1" t="str">
        <f>""</f>
        <v/>
      </c>
    </row>
    <row r="1370" spans="1:37" x14ac:dyDescent="0.2">
      <c r="A1370" s="1">
        <v>74000</v>
      </c>
      <c r="B1370" s="1">
        <v>952000010</v>
      </c>
      <c r="C1370" s="1" t="str">
        <f>"تخليه چهارمحال وبختياري شهرستان اردل شهركاج -كارخانه آسفالت شهرداري كاج"</f>
        <v>تخليه چهارمحال وبختياري شهرستان اردل شهركاج -كارخانه آسفالت شهرداري كاج</v>
      </c>
      <c r="D1370" s="1">
        <v>6426</v>
      </c>
      <c r="E1370" s="1">
        <v>72760</v>
      </c>
      <c r="F1370" s="1">
        <v>95</v>
      </c>
      <c r="G1370" s="1">
        <v>1240</v>
      </c>
      <c r="H1370" s="1" t="str">
        <f>"95/05/25"</f>
        <v>95/05/25</v>
      </c>
      <c r="I1370" s="1" t="str">
        <f t="shared" si="344"/>
        <v>كيلوگرم</v>
      </c>
      <c r="J1370" s="1" t="str">
        <f t="shared" si="352"/>
        <v>1000000002</v>
      </c>
      <c r="K1370" s="1" t="str">
        <f t="shared" si="353"/>
        <v>قير 85/100 - فله</v>
      </c>
      <c r="L1370" s="1">
        <v>100</v>
      </c>
      <c r="M1370" s="1" t="str">
        <f t="shared" si="347"/>
        <v>مخازن قير اصفهان</v>
      </c>
      <c r="N1370" s="1">
        <v>11156</v>
      </c>
      <c r="O1370" s="1">
        <v>50031547</v>
      </c>
      <c r="P1370" s="1" t="str">
        <f>"  شهرداري كاج"</f>
        <v xml:space="preserve">  شهرداري كاج</v>
      </c>
      <c r="Q1370" s="1">
        <v>20</v>
      </c>
      <c r="R1370" s="1" t="str">
        <f>"فروش داخلي - سازمان شهرداري ها و دهياري هاي كشور"</f>
        <v>فروش داخلي - سازمان شهرداري ها و دهياري هاي كشور</v>
      </c>
      <c r="S1370" s="1" t="str">
        <f t="shared" si="345"/>
        <v>قرارداد فروش</v>
      </c>
      <c r="T1370" s="1" t="str">
        <f t="shared" si="346"/>
        <v>ندارد</v>
      </c>
      <c r="U1370" s="1" t="str">
        <f t="shared" si="354"/>
        <v>قره باغي مجيد(1871065)</v>
      </c>
      <c r="V1370" s="1">
        <v>952000010</v>
      </c>
      <c r="W1370" s="1">
        <v>952000010</v>
      </c>
      <c r="X1370" s="1" t="str">
        <f>"1395423681"</f>
        <v>1395423681</v>
      </c>
      <c r="Y1370" s="1" t="str">
        <f>"95/05/25"</f>
        <v>95/05/25</v>
      </c>
      <c r="Z1370" s="1" t="str">
        <f>"18229"</f>
        <v>18229</v>
      </c>
      <c r="AA1370" s="1" t="str">
        <f>"شهرداريها"</f>
        <v>شهرداريها</v>
      </c>
      <c r="AB1370" s="1" t="str">
        <f>"95/04/30"</f>
        <v>95/04/30</v>
      </c>
      <c r="AC1370" s="1" t="str">
        <f t="shared" si="355"/>
        <v>استان چهارمحال بختياري</v>
      </c>
      <c r="AD1370" s="1" t="str">
        <f>"95/05/24"</f>
        <v>95/05/24</v>
      </c>
      <c r="AE1370" s="1" t="str">
        <f t="shared" si="350"/>
        <v>اختتام</v>
      </c>
      <c r="AF1370" s="1" t="str">
        <f>""</f>
        <v/>
      </c>
      <c r="AG1370" s="1" t="str">
        <f>""</f>
        <v/>
      </c>
      <c r="AH1370" s="1" t="str">
        <f>""</f>
        <v/>
      </c>
      <c r="AI1370" s="1" t="str">
        <f>""</f>
        <v/>
      </c>
      <c r="AJ1370" s="1" t="str">
        <f>""</f>
        <v/>
      </c>
      <c r="AK1370" s="1" t="str">
        <f>""</f>
        <v/>
      </c>
    </row>
    <row r="1371" spans="1:37" x14ac:dyDescent="0.2">
      <c r="A1371" s="1">
        <v>80000</v>
      </c>
      <c r="B1371" s="1">
        <v>952000233</v>
      </c>
      <c r="C1371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1371" s="1">
        <v>8023</v>
      </c>
      <c r="E1371" s="1">
        <v>78900</v>
      </c>
      <c r="F1371" s="1">
        <v>95</v>
      </c>
      <c r="G1371" s="1">
        <v>1100</v>
      </c>
      <c r="H1371" s="1" t="str">
        <f>"95/08/18"</f>
        <v>95/08/18</v>
      </c>
      <c r="I1371" s="1" t="str">
        <f t="shared" si="344"/>
        <v>كيلوگرم</v>
      </c>
      <c r="J1371" s="1" t="str">
        <f t="shared" si="352"/>
        <v>1000000002</v>
      </c>
      <c r="K1371" s="1" t="str">
        <f t="shared" si="353"/>
        <v>قير 85/100 - فله</v>
      </c>
      <c r="L1371" s="1">
        <v>100</v>
      </c>
      <c r="M1371" s="1" t="str">
        <f t="shared" si="347"/>
        <v>مخازن قير اصفهان</v>
      </c>
      <c r="N1371" s="1">
        <v>9665</v>
      </c>
      <c r="O1371" s="1">
        <v>50032570</v>
      </c>
      <c r="P1371" s="1" t="str">
        <f>"  شهرداري شلمزار"</f>
        <v xml:space="preserve">  شهرداري شلمزار</v>
      </c>
      <c r="Q1371" s="1">
        <v>20</v>
      </c>
      <c r="R1371" s="1" t="str">
        <f>"فروش داخلي - سازمان شهرداري ها و دهياري هاي كشور"</f>
        <v>فروش داخلي - سازمان شهرداري ها و دهياري هاي كشور</v>
      </c>
      <c r="S1371" s="1" t="str">
        <f t="shared" si="345"/>
        <v>قرارداد فروش</v>
      </c>
      <c r="T1371" s="1" t="str">
        <f t="shared" si="346"/>
        <v>ندارد</v>
      </c>
      <c r="U1371" s="1" t="str">
        <f t="shared" si="354"/>
        <v>قره باغي مجيد(1871065)</v>
      </c>
      <c r="V1371" s="1">
        <v>952000233</v>
      </c>
      <c r="W1371" s="1">
        <v>952000233</v>
      </c>
      <c r="X1371" s="1" t="str">
        <f>"1395443775"</f>
        <v>1395443775</v>
      </c>
      <c r="Y1371" s="1" t="str">
        <f>"95/08/18"</f>
        <v>95/08/18</v>
      </c>
      <c r="Z1371" s="1" t="str">
        <f>"40625"</f>
        <v>40625</v>
      </c>
      <c r="AA1371" s="1" t="str">
        <f>"شهرداريها"</f>
        <v>شهرداريها</v>
      </c>
      <c r="AB1371" s="1" t="str">
        <f>"95/08/17"</f>
        <v>95/08/17</v>
      </c>
      <c r="AC1371" s="1" t="str">
        <f t="shared" si="355"/>
        <v>استان چهارمحال بختياري</v>
      </c>
      <c r="AD1371" s="1" t="str">
        <f>"95/08/18"</f>
        <v>95/08/18</v>
      </c>
      <c r="AE1371" s="1" t="str">
        <f t="shared" si="350"/>
        <v>اختتام</v>
      </c>
      <c r="AF1371" s="1" t="str">
        <f>""</f>
        <v/>
      </c>
      <c r="AG1371" s="1" t="str">
        <f>""</f>
        <v/>
      </c>
      <c r="AH1371" s="1" t="str">
        <f>""</f>
        <v/>
      </c>
      <c r="AI1371" s="1" t="str">
        <f>""</f>
        <v/>
      </c>
      <c r="AJ1371" s="1" t="str">
        <f>""</f>
        <v/>
      </c>
      <c r="AK1371" s="1" t="str">
        <f>""</f>
        <v/>
      </c>
    </row>
    <row r="1372" spans="1:37" x14ac:dyDescent="0.2">
      <c r="A1372" s="1">
        <v>610000</v>
      </c>
      <c r="B1372" s="1">
        <v>956200077</v>
      </c>
      <c r="C1372" s="1" t="str">
        <f>"تخليه - چهارمحال و بختياري-بروجن-گندمان-پشت قطب صنعتي گندمان-کارخانه آسفالت احمدي"</f>
        <v>تخليه - چهارمحال و بختياري-بروجن-گندمان-پشت قطب صنعتي گندمان-کارخانه آسفالت احمدي</v>
      </c>
      <c r="D1372" s="1">
        <v>6876</v>
      </c>
      <c r="E1372" s="1">
        <v>609060</v>
      </c>
      <c r="F1372" s="1">
        <v>95</v>
      </c>
      <c r="G1372" s="1">
        <v>940</v>
      </c>
      <c r="H1372" s="1" t="str">
        <f>"95/06/24"</f>
        <v>95/06/24</v>
      </c>
      <c r="I1372" s="1" t="str">
        <f t="shared" si="344"/>
        <v>كيلوگرم</v>
      </c>
      <c r="J1372" s="1" t="str">
        <f t="shared" si="352"/>
        <v>1000000002</v>
      </c>
      <c r="K1372" s="1" t="str">
        <f t="shared" si="353"/>
        <v>قير 85/100 - فله</v>
      </c>
      <c r="L1372" s="1">
        <v>100</v>
      </c>
      <c r="M1372" s="1" t="str">
        <f t="shared" si="347"/>
        <v>مخازن قير اصفهان</v>
      </c>
      <c r="N1372" s="1">
        <v>11181</v>
      </c>
      <c r="O1372" s="1">
        <v>50031874</v>
      </c>
      <c r="P1372" s="1" t="str">
        <f>"   راه و ساختمان سحرخيزان پرتلاش سونک"</f>
        <v xml:space="preserve">   راه و ساختمان سحرخيزان پرتلاش سونک</v>
      </c>
      <c r="Q1372" s="1">
        <v>62</v>
      </c>
      <c r="R1372" s="1" t="str">
        <f t="shared" ref="R1372:R1381" si="356">"فروش داخلي - سازمان بنيادمسكن انقلاب اسلامي"</f>
        <v>فروش داخلي - سازمان بنيادمسكن انقلاب اسلامي</v>
      </c>
      <c r="S1372" s="1" t="str">
        <f t="shared" si="345"/>
        <v>قرارداد فروش</v>
      </c>
      <c r="T1372" s="1" t="str">
        <f t="shared" si="346"/>
        <v>ندارد</v>
      </c>
      <c r="U1372" s="1" t="str">
        <f t="shared" si="354"/>
        <v>قره باغي مجيد(1871065)</v>
      </c>
      <c r="V1372" s="1">
        <v>956200077</v>
      </c>
      <c r="W1372" s="1">
        <v>956200077</v>
      </c>
      <c r="X1372" s="1" t="str">
        <f>"1395431909"</f>
        <v>1395431909</v>
      </c>
      <c r="Y1372" s="1" t="str">
        <f>"95/06/24"</f>
        <v>95/06/24</v>
      </c>
      <c r="Z1372" s="1" t="str">
        <f>"26092/د"</f>
        <v>26092/د</v>
      </c>
      <c r="AA1372" s="1" t="str">
        <f t="shared" ref="AA1372:AA1381" si="357">"بنيادمسكن انقلاب اسلامي"</f>
        <v>بنيادمسكن انقلاب اسلامي</v>
      </c>
      <c r="AB1372" s="1" t="str">
        <f>"95/06/24"</f>
        <v>95/06/24</v>
      </c>
      <c r="AC1372" s="1" t="str">
        <f t="shared" si="355"/>
        <v>استان چهارمحال بختياري</v>
      </c>
      <c r="AD1372" s="1" t="str">
        <f>"95/06/24"</f>
        <v>95/06/24</v>
      </c>
      <c r="AE1372" s="1" t="str">
        <f t="shared" si="350"/>
        <v>اختتام</v>
      </c>
      <c r="AF1372" s="1" t="str">
        <f>""</f>
        <v/>
      </c>
      <c r="AG1372" s="1" t="str">
        <f>""</f>
        <v/>
      </c>
      <c r="AH1372" s="1" t="str">
        <f>""</f>
        <v/>
      </c>
      <c r="AI1372" s="1" t="str">
        <f>""</f>
        <v/>
      </c>
      <c r="AJ1372" s="1" t="str">
        <f>""</f>
        <v/>
      </c>
      <c r="AK1372" s="1" t="str">
        <f>""</f>
        <v/>
      </c>
    </row>
    <row r="1373" spans="1:37" x14ac:dyDescent="0.2">
      <c r="A1373" s="1">
        <v>75000</v>
      </c>
      <c r="B1373" s="1">
        <v>956200085</v>
      </c>
      <c r="C1373" s="1" t="str">
        <f>"تخليه - چهارمحال- فارسان-چليچه- کارخانه آسفالت احمدي"</f>
        <v>تخليه - چهارمحال- فارسان-چليچه- کارخانه آسفالت احمدي</v>
      </c>
      <c r="D1373" s="1">
        <v>6976</v>
      </c>
      <c r="E1373" s="1">
        <v>73160</v>
      </c>
      <c r="F1373" s="1">
        <v>95</v>
      </c>
      <c r="G1373" s="1">
        <v>1840</v>
      </c>
      <c r="H1373" s="1" t="str">
        <f>"95/07/10"</f>
        <v>95/07/10</v>
      </c>
      <c r="I1373" s="1" t="str">
        <f t="shared" si="344"/>
        <v>كيلوگرم</v>
      </c>
      <c r="J1373" s="1" t="str">
        <f t="shared" si="352"/>
        <v>1000000002</v>
      </c>
      <c r="K1373" s="1" t="str">
        <f t="shared" si="353"/>
        <v>قير 85/100 - فله</v>
      </c>
      <c r="L1373" s="1">
        <v>100</v>
      </c>
      <c r="M1373" s="1" t="str">
        <f t="shared" si="347"/>
        <v>مخازن قير اصفهان</v>
      </c>
      <c r="N1373" s="1">
        <v>11193</v>
      </c>
      <c r="O1373" s="1">
        <v>50032041</v>
      </c>
      <c r="P1373" s="1" t="str">
        <f>"  پارسان پي فارسان"</f>
        <v xml:space="preserve">  پارسان پي فارسان</v>
      </c>
      <c r="Q1373" s="1">
        <v>62</v>
      </c>
      <c r="R1373" s="1" t="str">
        <f t="shared" si="356"/>
        <v>فروش داخلي - سازمان بنيادمسكن انقلاب اسلامي</v>
      </c>
      <c r="S1373" s="1" t="str">
        <f t="shared" si="345"/>
        <v>قرارداد فروش</v>
      </c>
      <c r="T1373" s="1" t="str">
        <f t="shared" si="346"/>
        <v>ندارد</v>
      </c>
      <c r="U1373" s="1" t="str">
        <f t="shared" si="354"/>
        <v>قره باغي مجيد(1871065)</v>
      </c>
      <c r="V1373" s="1">
        <v>956200085</v>
      </c>
      <c r="W1373" s="1">
        <v>956200085</v>
      </c>
      <c r="X1373" s="1" t="str">
        <f>"1395435119"</f>
        <v>1395435119</v>
      </c>
      <c r="Y1373" s="1" t="str">
        <f>"95/07/10"</f>
        <v>95/07/10</v>
      </c>
      <c r="Z1373" s="1" t="str">
        <f>"28403/د"</f>
        <v>28403/د</v>
      </c>
      <c r="AA1373" s="1" t="str">
        <f t="shared" si="357"/>
        <v>بنيادمسكن انقلاب اسلامي</v>
      </c>
      <c r="AB1373" s="1" t="str">
        <f>"95/07/10"</f>
        <v>95/07/10</v>
      </c>
      <c r="AC1373" s="1" t="str">
        <f t="shared" si="355"/>
        <v>استان چهارمحال بختياري</v>
      </c>
      <c r="AD1373" s="1" t="str">
        <f>"95/07/10"</f>
        <v>95/07/10</v>
      </c>
      <c r="AE1373" s="1" t="str">
        <f t="shared" si="350"/>
        <v>اختتام</v>
      </c>
      <c r="AF1373" s="1" t="str">
        <f>""</f>
        <v/>
      </c>
      <c r="AG1373" s="1" t="str">
        <f>""</f>
        <v/>
      </c>
      <c r="AH1373" s="1" t="str">
        <f>""</f>
        <v/>
      </c>
      <c r="AI1373" s="1" t="str">
        <f>""</f>
        <v/>
      </c>
      <c r="AJ1373" s="1" t="str">
        <f>""</f>
        <v/>
      </c>
      <c r="AK1373" s="1" t="str">
        <f>""</f>
        <v/>
      </c>
    </row>
    <row r="1374" spans="1:37" x14ac:dyDescent="0.2">
      <c r="A1374" s="1">
        <v>61000</v>
      </c>
      <c r="B1374" s="1">
        <v>956200175</v>
      </c>
      <c r="C1374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374" s="1">
        <v>9361</v>
      </c>
      <c r="E1374" s="1">
        <v>60380</v>
      </c>
      <c r="F1374" s="1">
        <v>95</v>
      </c>
      <c r="G1374" s="1">
        <v>620</v>
      </c>
      <c r="H1374" s="1" t="str">
        <f>"95/11/04"</f>
        <v>95/11/04</v>
      </c>
      <c r="I1374" s="1" t="str">
        <f t="shared" si="344"/>
        <v>كيلوگرم</v>
      </c>
      <c r="J1374" s="1" t="str">
        <f t="shared" si="352"/>
        <v>1000000002</v>
      </c>
      <c r="K1374" s="1" t="str">
        <f t="shared" si="353"/>
        <v>قير 85/100 - فله</v>
      </c>
      <c r="L1374" s="1">
        <v>100</v>
      </c>
      <c r="M1374" s="1" t="str">
        <f t="shared" si="347"/>
        <v>مخازن قير اصفهان</v>
      </c>
      <c r="N1374" s="1">
        <v>11237</v>
      </c>
      <c r="O1374" s="1">
        <v>50033508</v>
      </c>
      <c r="P1374" s="1" t="str">
        <f>"  بنياد مسکن انقلاب اسلامي زنجان"</f>
        <v xml:space="preserve">  بنياد مسکن انقلاب اسلامي زنجان</v>
      </c>
      <c r="Q1374" s="1">
        <v>62</v>
      </c>
      <c r="R1374" s="1" t="str">
        <f t="shared" si="356"/>
        <v>فروش داخلي - سازمان بنيادمسكن انقلاب اسلامي</v>
      </c>
      <c r="S1374" s="1" t="str">
        <f t="shared" si="345"/>
        <v>قرارداد فروش</v>
      </c>
      <c r="T1374" s="1" t="str">
        <f t="shared" si="346"/>
        <v>ندارد</v>
      </c>
      <c r="U1374" s="1" t="str">
        <f>"فتاح زاده سيداحمد(3843011)"</f>
        <v>فتاح زاده سيداحمد(3843011)</v>
      </c>
      <c r="V1374" s="1">
        <v>956200175</v>
      </c>
      <c r="W1374" s="1">
        <v>956200175</v>
      </c>
      <c r="X1374" s="1" t="str">
        <f>"1395460250"</f>
        <v>1395460250</v>
      </c>
      <c r="Y1374" s="1" t="str">
        <f>"95/11/04"</f>
        <v>95/11/04</v>
      </c>
      <c r="Z1374" s="1" t="str">
        <f>"46385/د"</f>
        <v>46385/د</v>
      </c>
      <c r="AA1374" s="1" t="str">
        <f t="shared" si="357"/>
        <v>بنيادمسكن انقلاب اسلامي</v>
      </c>
      <c r="AB1374" s="1" t="str">
        <f>"95/10/29"</f>
        <v>95/10/29</v>
      </c>
      <c r="AC1374" s="1" t="str">
        <f>"استان زنجان"</f>
        <v>استان زنجان</v>
      </c>
      <c r="AD1374" s="1" t="str">
        <f>"95/11/04"</f>
        <v>95/11/04</v>
      </c>
      <c r="AE1374" s="1" t="str">
        <f t="shared" si="350"/>
        <v>اختتام</v>
      </c>
      <c r="AF1374" s="1" t="str">
        <f>""</f>
        <v/>
      </c>
      <c r="AG1374" s="1" t="str">
        <f>""</f>
        <v/>
      </c>
      <c r="AH1374" s="1" t="str">
        <f>""</f>
        <v/>
      </c>
      <c r="AI1374" s="1" t="str">
        <f>""</f>
        <v/>
      </c>
      <c r="AJ1374" s="1" t="str">
        <f>""</f>
        <v/>
      </c>
      <c r="AK1374" s="1" t="str">
        <f>""</f>
        <v/>
      </c>
    </row>
    <row r="1375" spans="1:37" x14ac:dyDescent="0.2">
      <c r="A1375" s="1">
        <v>110000</v>
      </c>
      <c r="B1375" s="1">
        <v>956200200</v>
      </c>
      <c r="C1375" s="1" t="str">
        <f>"تخليه - کردستان - سه راه مريوان -کارخانه آسفالت قشلاق"</f>
        <v>تخليه - کردستان - سه راه مريوان -کارخانه آسفالت قشلاق</v>
      </c>
      <c r="D1375" s="1">
        <v>9361</v>
      </c>
      <c r="E1375" s="1">
        <v>110000</v>
      </c>
      <c r="F1375" s="1">
        <v>95</v>
      </c>
      <c r="G1375" s="1">
        <v>0</v>
      </c>
      <c r="H1375" s="1" t="str">
        <f>"95/11/19"</f>
        <v>95/11/19</v>
      </c>
      <c r="I1375" s="1" t="str">
        <f t="shared" si="344"/>
        <v>كيلوگرم</v>
      </c>
      <c r="J1375" s="1" t="str">
        <f t="shared" si="352"/>
        <v>1000000002</v>
      </c>
      <c r="K1375" s="1" t="str">
        <f t="shared" si="353"/>
        <v>قير 85/100 - فله</v>
      </c>
      <c r="L1375" s="1">
        <v>100</v>
      </c>
      <c r="M1375" s="1" t="str">
        <f t="shared" si="347"/>
        <v>مخازن قير اصفهان</v>
      </c>
      <c r="N1375" s="1">
        <v>11243</v>
      </c>
      <c r="O1375" s="1">
        <v>50033634</v>
      </c>
      <c r="P1375" s="1" t="str">
        <f>"  عرش گستران کامياب"</f>
        <v xml:space="preserve">  عرش گستران کامياب</v>
      </c>
      <c r="Q1375" s="1">
        <v>62</v>
      </c>
      <c r="R1375" s="1" t="str">
        <f t="shared" si="356"/>
        <v>فروش داخلي - سازمان بنيادمسكن انقلاب اسلامي</v>
      </c>
      <c r="S1375" s="1" t="str">
        <f t="shared" si="345"/>
        <v>قرارداد فروش</v>
      </c>
      <c r="T1375" s="1" t="str">
        <f t="shared" si="346"/>
        <v>ندارد</v>
      </c>
      <c r="U1375" s="1" t="str">
        <f>"قنبري امين(2872037)"</f>
        <v>قنبري امين(2872037)</v>
      </c>
      <c r="V1375" s="1">
        <v>956200200</v>
      </c>
      <c r="W1375" s="1">
        <v>956200200</v>
      </c>
      <c r="X1375" s="1" t="str">
        <f>"1395463366"</f>
        <v>1395463366</v>
      </c>
      <c r="Y1375" s="1" t="str">
        <f>"95/11/19"</f>
        <v>95/11/19</v>
      </c>
      <c r="Z1375" s="1" t="str">
        <f>"49885/د"</f>
        <v>49885/د</v>
      </c>
      <c r="AA1375" s="1" t="str">
        <f t="shared" si="357"/>
        <v>بنيادمسكن انقلاب اسلامي</v>
      </c>
      <c r="AB1375" s="1" t="str">
        <f>"95/11/18"</f>
        <v>95/11/18</v>
      </c>
      <c r="AC1375" s="1" t="str">
        <f>"استان كردستان"</f>
        <v>استان كردستان</v>
      </c>
      <c r="AD1375" s="1" t="str">
        <f>"95/11/19"</f>
        <v>95/11/19</v>
      </c>
      <c r="AE1375" s="1" t="str">
        <f t="shared" si="350"/>
        <v>اختتام</v>
      </c>
      <c r="AF1375" s="1" t="str">
        <f>""</f>
        <v/>
      </c>
      <c r="AG1375" s="1" t="str">
        <f>""</f>
        <v/>
      </c>
      <c r="AH1375" s="1" t="str">
        <f>""</f>
        <v/>
      </c>
      <c r="AI1375" s="1" t="str">
        <f>""</f>
        <v/>
      </c>
      <c r="AJ1375" s="1" t="str">
        <f>""</f>
        <v/>
      </c>
      <c r="AK1375" s="1" t="str">
        <f>""</f>
        <v/>
      </c>
    </row>
    <row r="1376" spans="1:37" x14ac:dyDescent="0.2">
      <c r="A1376" s="1">
        <v>615000</v>
      </c>
      <c r="B1376" s="1">
        <v>956200284</v>
      </c>
      <c r="C1376" s="1" t="str">
        <f>"تخليه - جاده همدان به گل تپه روبروي راهدارخانه-سوباشي-کارخانه اسفالت اروند راه امير"</f>
        <v>تخليه - جاده همدان به گل تپه روبروي راهدارخانه-سوباشي-کارخانه اسفالت اروند راه امير</v>
      </c>
      <c r="D1376" s="1">
        <v>8848</v>
      </c>
      <c r="E1376" s="1">
        <v>614500</v>
      </c>
      <c r="F1376" s="1">
        <v>95</v>
      </c>
      <c r="G1376" s="1">
        <v>500</v>
      </c>
      <c r="H1376" s="1" t="str">
        <f>"95/12/04"</f>
        <v>95/12/04</v>
      </c>
      <c r="I1376" s="1" t="str">
        <f t="shared" si="344"/>
        <v>كيلوگرم</v>
      </c>
      <c r="J1376" s="1" t="str">
        <f t="shared" si="352"/>
        <v>1000000002</v>
      </c>
      <c r="K1376" s="1" t="str">
        <f t="shared" si="353"/>
        <v>قير 85/100 - فله</v>
      </c>
      <c r="L1376" s="1">
        <v>100</v>
      </c>
      <c r="M1376" s="1" t="str">
        <f t="shared" si="347"/>
        <v>مخازن قير اصفهان</v>
      </c>
      <c r="N1376" s="1">
        <v>9929</v>
      </c>
      <c r="O1376" s="1">
        <v>50033856</v>
      </c>
      <c r="P1376" s="1" t="str">
        <f>"  اروند راه امير"</f>
        <v xml:space="preserve">  اروند راه امير</v>
      </c>
      <c r="Q1376" s="1">
        <v>62</v>
      </c>
      <c r="R1376" s="1" t="str">
        <f t="shared" si="356"/>
        <v>فروش داخلي - سازمان بنيادمسكن انقلاب اسلامي</v>
      </c>
      <c r="S1376" s="1" t="str">
        <f t="shared" si="345"/>
        <v>قرارداد فروش</v>
      </c>
      <c r="T1376" s="1" t="str">
        <f t="shared" si="346"/>
        <v>ندارد</v>
      </c>
      <c r="U1376" s="1" t="str">
        <f>"حاجيلوئي علي اصغر(2842019)"</f>
        <v>حاجيلوئي علي اصغر(2842019)</v>
      </c>
      <c r="V1376" s="1">
        <v>956200284</v>
      </c>
      <c r="W1376" s="1">
        <v>956200284</v>
      </c>
      <c r="X1376" s="1" t="str">
        <f>"1395467358"</f>
        <v>1395467358</v>
      </c>
      <c r="Y1376" s="1" t="str">
        <f>"95/12/04"</f>
        <v>95/12/04</v>
      </c>
      <c r="Z1376" s="1" t="str">
        <f>"53045/د"</f>
        <v>53045/د</v>
      </c>
      <c r="AA1376" s="1" t="str">
        <f t="shared" si="357"/>
        <v>بنيادمسكن انقلاب اسلامي</v>
      </c>
      <c r="AB1376" s="1" t="str">
        <f>"95/12/03"</f>
        <v>95/12/03</v>
      </c>
      <c r="AC1376" s="1" t="str">
        <f>"استان همدان"</f>
        <v>استان همدان</v>
      </c>
      <c r="AD1376" s="1" t="str">
        <f>"95/12/04"</f>
        <v>95/12/04</v>
      </c>
      <c r="AE1376" s="1" t="str">
        <f t="shared" si="350"/>
        <v>اختتام</v>
      </c>
      <c r="AF1376" s="1" t="str">
        <f>""</f>
        <v/>
      </c>
      <c r="AG1376" s="1" t="str">
        <f>""</f>
        <v/>
      </c>
      <c r="AH1376" s="1" t="str">
        <f>""</f>
        <v/>
      </c>
      <c r="AI1376" s="1" t="str">
        <f>""</f>
        <v/>
      </c>
      <c r="AJ1376" s="1" t="str">
        <f>""</f>
        <v/>
      </c>
      <c r="AK1376" s="1" t="str">
        <f>""</f>
        <v/>
      </c>
    </row>
    <row r="1377" spans="1:37" x14ac:dyDescent="0.2">
      <c r="A1377" s="1">
        <v>31000</v>
      </c>
      <c r="B1377" s="1">
        <v>956200204</v>
      </c>
      <c r="C1377" s="1" t="str">
        <f>"تخليه- کردستان - سه راه مريوان-کارخانه آسفالت قشلاق"</f>
        <v>تخليه- کردستان - سه راه مريوان-کارخانه آسفالت قشلاق</v>
      </c>
      <c r="D1377" s="1">
        <v>9361</v>
      </c>
      <c r="E1377" s="1">
        <v>23640</v>
      </c>
      <c r="F1377" s="1">
        <v>95</v>
      </c>
      <c r="G1377" s="1">
        <v>7360</v>
      </c>
      <c r="H1377" s="1" t="str">
        <f>"95/11/19"</f>
        <v>95/11/19</v>
      </c>
      <c r="I1377" s="1" t="str">
        <f t="shared" si="344"/>
        <v>كيلوگرم</v>
      </c>
      <c r="J1377" s="1" t="str">
        <f t="shared" si="352"/>
        <v>1000000002</v>
      </c>
      <c r="K1377" s="1" t="str">
        <f t="shared" si="353"/>
        <v>قير 85/100 - فله</v>
      </c>
      <c r="L1377" s="1">
        <v>100</v>
      </c>
      <c r="M1377" s="1" t="str">
        <f t="shared" si="347"/>
        <v>مخازن قير اصفهان</v>
      </c>
      <c r="N1377" s="1">
        <v>11244</v>
      </c>
      <c r="O1377" s="1">
        <v>50033638</v>
      </c>
      <c r="P1377" s="1" t="str">
        <f>"  تحکيم عمران جمشيد"</f>
        <v xml:space="preserve">  تحکيم عمران جمشيد</v>
      </c>
      <c r="Q1377" s="1">
        <v>62</v>
      </c>
      <c r="R1377" s="1" t="str">
        <f t="shared" si="356"/>
        <v>فروش داخلي - سازمان بنيادمسكن انقلاب اسلامي</v>
      </c>
      <c r="S1377" s="1" t="str">
        <f t="shared" si="345"/>
        <v>قرارداد فروش</v>
      </c>
      <c r="T1377" s="1" t="str">
        <f t="shared" si="346"/>
        <v>ندارد</v>
      </c>
      <c r="U1377" s="1" t="str">
        <f>"قنبري امين(2872037)"</f>
        <v>قنبري امين(2872037)</v>
      </c>
      <c r="V1377" s="1">
        <v>956200204</v>
      </c>
      <c r="W1377" s="1">
        <v>956200204</v>
      </c>
      <c r="X1377" s="1" t="str">
        <f>"1395463366"</f>
        <v>1395463366</v>
      </c>
      <c r="Y1377" s="1" t="str">
        <f>"95/11/19"</f>
        <v>95/11/19</v>
      </c>
      <c r="Z1377" s="1" t="str">
        <f>"49892/د"</f>
        <v>49892/د</v>
      </c>
      <c r="AA1377" s="1" t="str">
        <f t="shared" si="357"/>
        <v>بنيادمسكن انقلاب اسلامي</v>
      </c>
      <c r="AB1377" s="1" t="str">
        <f>"95/11/18"</f>
        <v>95/11/18</v>
      </c>
      <c r="AC1377" s="1" t="str">
        <f>"استان كردستان"</f>
        <v>استان كردستان</v>
      </c>
      <c r="AD1377" s="1" t="str">
        <f>"95/11/19"</f>
        <v>95/11/19</v>
      </c>
      <c r="AE1377" s="1" t="str">
        <f t="shared" si="350"/>
        <v>اختتام</v>
      </c>
      <c r="AF1377" s="1" t="str">
        <f>""</f>
        <v/>
      </c>
      <c r="AG1377" s="1" t="str">
        <f>""</f>
        <v/>
      </c>
      <c r="AH1377" s="1" t="str">
        <f>""</f>
        <v/>
      </c>
      <c r="AI1377" s="1" t="str">
        <f>""</f>
        <v/>
      </c>
      <c r="AJ1377" s="1" t="str">
        <f>""</f>
        <v/>
      </c>
      <c r="AK1377" s="1" t="str">
        <f>""</f>
        <v/>
      </c>
    </row>
    <row r="1378" spans="1:37" x14ac:dyDescent="0.2">
      <c r="A1378" s="1">
        <v>208000</v>
      </c>
      <c r="B1378" s="1">
        <v>956200218</v>
      </c>
      <c r="C1378" s="1" t="str">
        <f>"تخليه همدان ملايرسامن كارخانه آسفالت شهرداري سامن"</f>
        <v>تخليه همدان ملايرسامن كارخانه آسفالت شهرداري سامن</v>
      </c>
      <c r="D1378" s="1">
        <v>9361</v>
      </c>
      <c r="E1378" s="1">
        <v>206200</v>
      </c>
      <c r="F1378" s="1">
        <v>95</v>
      </c>
      <c r="G1378" s="1">
        <v>1800</v>
      </c>
      <c r="H1378" s="1" t="str">
        <f>"95/11/20"</f>
        <v>95/11/20</v>
      </c>
      <c r="I1378" s="1" t="str">
        <f t="shared" si="344"/>
        <v>كيلوگرم</v>
      </c>
      <c r="J1378" s="1" t="str">
        <f t="shared" si="352"/>
        <v>1000000002</v>
      </c>
      <c r="K1378" s="1" t="str">
        <f t="shared" si="353"/>
        <v>قير 85/100 - فله</v>
      </c>
      <c r="L1378" s="1">
        <v>100</v>
      </c>
      <c r="M1378" s="1" t="str">
        <f t="shared" si="347"/>
        <v>مخازن قير اصفهان</v>
      </c>
      <c r="N1378" s="1">
        <v>11252</v>
      </c>
      <c r="O1378" s="1">
        <v>50033657</v>
      </c>
      <c r="P1378" s="1" t="str">
        <f>"  عمران سديدجم"</f>
        <v xml:space="preserve">  عمران سديدجم</v>
      </c>
      <c r="Q1378" s="1">
        <v>62</v>
      </c>
      <c r="R1378" s="1" t="str">
        <f t="shared" si="356"/>
        <v>فروش داخلي - سازمان بنيادمسكن انقلاب اسلامي</v>
      </c>
      <c r="S1378" s="1" t="str">
        <f t="shared" si="345"/>
        <v>قرارداد فروش</v>
      </c>
      <c r="T1378" s="1" t="str">
        <f t="shared" si="346"/>
        <v>ندارد</v>
      </c>
      <c r="U1378" s="1" t="str">
        <f>"علي پور كاووس (2902045)"</f>
        <v>علي پور كاووس (2902045)</v>
      </c>
      <c r="V1378" s="1">
        <v>956200218</v>
      </c>
      <c r="W1378" s="1">
        <v>956200218</v>
      </c>
      <c r="X1378" s="1" t="str">
        <f>"1395464205"</f>
        <v>1395464205</v>
      </c>
      <c r="Y1378" s="1" t="str">
        <f>"95/11/20"</f>
        <v>95/11/20</v>
      </c>
      <c r="Z1378" s="1" t="str">
        <f>"50317/د"</f>
        <v>50317/د</v>
      </c>
      <c r="AA1378" s="1" t="str">
        <f t="shared" si="357"/>
        <v>بنيادمسكن انقلاب اسلامي</v>
      </c>
      <c r="AB1378" s="1" t="str">
        <f>"95/11/20"</f>
        <v>95/11/20</v>
      </c>
      <c r="AC1378" s="1" t="str">
        <f>"استان همدان"</f>
        <v>استان همدان</v>
      </c>
      <c r="AD1378" s="1" t="str">
        <f>"95/11/20"</f>
        <v>95/11/20</v>
      </c>
      <c r="AE1378" s="1" t="str">
        <f t="shared" si="350"/>
        <v>اختتام</v>
      </c>
      <c r="AF1378" s="1" t="str">
        <f>""</f>
        <v/>
      </c>
      <c r="AG1378" s="1" t="str">
        <f>""</f>
        <v/>
      </c>
      <c r="AH1378" s="1" t="str">
        <f>""</f>
        <v/>
      </c>
      <c r="AI1378" s="1" t="str">
        <f>""</f>
        <v/>
      </c>
      <c r="AJ1378" s="1" t="str">
        <f>""</f>
        <v/>
      </c>
      <c r="AK1378" s="1" t="str">
        <f>""</f>
        <v/>
      </c>
    </row>
    <row r="1379" spans="1:37" x14ac:dyDescent="0.2">
      <c r="A1379" s="1">
        <v>187000</v>
      </c>
      <c r="B1379" s="1">
        <v>956200265</v>
      </c>
      <c r="C1379" s="1" t="str">
        <f>"تخليه همدان ملايرسامن كارخانه آسفالت شهرداري سامن"</f>
        <v>تخليه همدان ملايرسامن كارخانه آسفالت شهرداري سامن</v>
      </c>
      <c r="D1379" s="1">
        <v>8848</v>
      </c>
      <c r="E1379" s="1">
        <v>186580</v>
      </c>
      <c r="F1379" s="1">
        <v>95</v>
      </c>
      <c r="G1379" s="1">
        <v>420</v>
      </c>
      <c r="H1379" s="1" t="str">
        <f>"95/12/03"</f>
        <v>95/12/03</v>
      </c>
      <c r="I1379" s="1" t="str">
        <f t="shared" si="344"/>
        <v>كيلوگرم</v>
      </c>
      <c r="J1379" s="1" t="str">
        <f t="shared" si="352"/>
        <v>1000000002</v>
      </c>
      <c r="K1379" s="1" t="str">
        <f t="shared" si="353"/>
        <v>قير 85/100 - فله</v>
      </c>
      <c r="L1379" s="1">
        <v>100</v>
      </c>
      <c r="M1379" s="1" t="str">
        <f t="shared" si="347"/>
        <v>مخازن قير اصفهان</v>
      </c>
      <c r="N1379" s="1">
        <v>11252</v>
      </c>
      <c r="O1379" s="1">
        <v>50033830</v>
      </c>
      <c r="P1379" s="1" t="str">
        <f>"  عمران سديدجم"</f>
        <v xml:space="preserve">  عمران سديدجم</v>
      </c>
      <c r="Q1379" s="1">
        <v>62</v>
      </c>
      <c r="R1379" s="1" t="str">
        <f t="shared" si="356"/>
        <v>فروش داخلي - سازمان بنيادمسكن انقلاب اسلامي</v>
      </c>
      <c r="S1379" s="1" t="str">
        <f t="shared" si="345"/>
        <v>قرارداد فروش</v>
      </c>
      <c r="T1379" s="1" t="str">
        <f t="shared" si="346"/>
        <v>ندارد</v>
      </c>
      <c r="U1379" s="1" t="str">
        <f>"حاجيلوئي علي اصغر(2842019)"</f>
        <v>حاجيلوئي علي اصغر(2842019)</v>
      </c>
      <c r="V1379" s="1">
        <v>956200265</v>
      </c>
      <c r="W1379" s="1">
        <v>956200265</v>
      </c>
      <c r="X1379" s="1" t="str">
        <f>"1395466582"</f>
        <v>1395466582</v>
      </c>
      <c r="Y1379" s="1" t="str">
        <f>"95/12/03"</f>
        <v>95/12/03</v>
      </c>
      <c r="Z1379" s="1" t="str">
        <f>"52063/د"</f>
        <v>52063/د</v>
      </c>
      <c r="AA1379" s="1" t="str">
        <f t="shared" si="357"/>
        <v>بنيادمسكن انقلاب اسلامي</v>
      </c>
      <c r="AB1379" s="1" t="str">
        <f>"95/11/30"</f>
        <v>95/11/30</v>
      </c>
      <c r="AC1379" s="1" t="str">
        <f>"استان همدان"</f>
        <v>استان همدان</v>
      </c>
      <c r="AD1379" s="1" t="str">
        <f>"95/12/03"</f>
        <v>95/12/03</v>
      </c>
      <c r="AE1379" s="1" t="str">
        <f t="shared" si="350"/>
        <v>اختتام</v>
      </c>
      <c r="AF1379" s="1" t="str">
        <f>""</f>
        <v/>
      </c>
      <c r="AG1379" s="1" t="str">
        <f>""</f>
        <v/>
      </c>
      <c r="AH1379" s="1" t="str">
        <f>""</f>
        <v/>
      </c>
      <c r="AI1379" s="1" t="str">
        <f>""</f>
        <v/>
      </c>
      <c r="AJ1379" s="1" t="str">
        <f>""</f>
        <v/>
      </c>
      <c r="AK1379" s="1" t="str">
        <f>""</f>
        <v/>
      </c>
    </row>
    <row r="1380" spans="1:37" x14ac:dyDescent="0.2">
      <c r="A1380" s="1">
        <v>17000</v>
      </c>
      <c r="B1380" s="1">
        <v>956200269</v>
      </c>
      <c r="C1380" s="1" t="str">
        <f>"تخليه - کردستان - مريوان - کارخانه آسفالت کاران"</f>
        <v>تخليه - کردستان - مريوان - کارخانه آسفالت کاران</v>
      </c>
      <c r="D1380" s="1">
        <v>8848</v>
      </c>
      <c r="E1380" s="1">
        <v>17000</v>
      </c>
      <c r="F1380" s="1">
        <v>95</v>
      </c>
      <c r="G1380" s="1">
        <v>0</v>
      </c>
      <c r="H1380" s="1" t="str">
        <f>"95/12/04"</f>
        <v>95/12/04</v>
      </c>
      <c r="I1380" s="1" t="str">
        <f t="shared" si="344"/>
        <v>كيلوگرم</v>
      </c>
      <c r="J1380" s="1" t="str">
        <f t="shared" si="352"/>
        <v>1000000002</v>
      </c>
      <c r="K1380" s="1" t="str">
        <f t="shared" si="353"/>
        <v>قير 85/100 - فله</v>
      </c>
      <c r="L1380" s="1">
        <v>100</v>
      </c>
      <c r="M1380" s="1" t="str">
        <f t="shared" si="347"/>
        <v>مخازن قير اصفهان</v>
      </c>
      <c r="N1380" s="1">
        <v>11266</v>
      </c>
      <c r="O1380" s="1">
        <v>50033835</v>
      </c>
      <c r="P1380" s="1" t="str">
        <f>"  راه و ساختماني زريبار مريوان"</f>
        <v xml:space="preserve">  راه و ساختماني زريبار مريوان</v>
      </c>
      <c r="Q1380" s="1">
        <v>62</v>
      </c>
      <c r="R1380" s="1" t="str">
        <f t="shared" si="356"/>
        <v>فروش داخلي - سازمان بنيادمسكن انقلاب اسلامي</v>
      </c>
      <c r="S1380" s="1" t="str">
        <f t="shared" si="345"/>
        <v>قرارداد فروش</v>
      </c>
      <c r="T1380" s="1" t="str">
        <f t="shared" si="346"/>
        <v>ندارد</v>
      </c>
      <c r="U1380" s="1" t="str">
        <f>"ميهن دوست عبداله(2842010)"</f>
        <v>ميهن دوست عبداله(2842010)</v>
      </c>
      <c r="V1380" s="1">
        <v>956200269</v>
      </c>
      <c r="W1380" s="1">
        <v>956200269</v>
      </c>
      <c r="X1380" s="1" t="str">
        <f>"1395466582"</f>
        <v>1395466582</v>
      </c>
      <c r="Y1380" s="1" t="str">
        <f>"95/12/04"</f>
        <v>95/12/04</v>
      </c>
      <c r="Z1380" s="1" t="str">
        <f>"52051/د"</f>
        <v>52051/د</v>
      </c>
      <c r="AA1380" s="1" t="str">
        <f t="shared" si="357"/>
        <v>بنيادمسكن انقلاب اسلامي</v>
      </c>
      <c r="AB1380" s="1" t="str">
        <f>"95/11/30"</f>
        <v>95/11/30</v>
      </c>
      <c r="AC1380" s="1" t="str">
        <f>"استان كردستان"</f>
        <v>استان كردستان</v>
      </c>
      <c r="AD1380" s="1" t="str">
        <f>"95/12/03"</f>
        <v>95/12/03</v>
      </c>
      <c r="AE1380" s="1" t="str">
        <f t="shared" si="350"/>
        <v>اختتام</v>
      </c>
      <c r="AF1380" s="1" t="str">
        <f>""</f>
        <v/>
      </c>
      <c r="AG1380" s="1" t="str">
        <f>""</f>
        <v/>
      </c>
      <c r="AH1380" s="1" t="str">
        <f>""</f>
        <v/>
      </c>
      <c r="AI1380" s="1" t="str">
        <f>""</f>
        <v/>
      </c>
      <c r="AJ1380" s="1" t="str">
        <f>""</f>
        <v/>
      </c>
      <c r="AK1380" s="1" t="str">
        <f>""</f>
        <v/>
      </c>
    </row>
    <row r="1381" spans="1:37" x14ac:dyDescent="0.2">
      <c r="A1381" s="1">
        <v>49000</v>
      </c>
      <c r="B1381" s="1">
        <v>956200320</v>
      </c>
      <c r="C1381" s="1" t="str">
        <f>"تخليه - همدان-کيلومتر 20 جاده رزن به همدان -جنب کارخانه سيمان اکباتان-کارخانه آسفالت جاميشلو"</f>
        <v>تخليه - همدان-کيلومتر 20 جاده رزن به همدان -جنب کارخانه سيمان اکباتان-کارخانه آسفالت جاميشلو</v>
      </c>
      <c r="D1381" s="1">
        <v>8848</v>
      </c>
      <c r="E1381" s="1">
        <v>46380</v>
      </c>
      <c r="F1381" s="1">
        <v>95</v>
      </c>
      <c r="G1381" s="1">
        <v>2620</v>
      </c>
      <c r="H1381" s="1" t="str">
        <f>"95/12/11"</f>
        <v>95/12/11</v>
      </c>
      <c r="I1381" s="1" t="str">
        <f t="shared" si="344"/>
        <v>كيلوگرم</v>
      </c>
      <c r="J1381" s="1" t="str">
        <f t="shared" si="352"/>
        <v>1000000002</v>
      </c>
      <c r="K1381" s="1" t="str">
        <f t="shared" si="353"/>
        <v>قير 85/100 - فله</v>
      </c>
      <c r="L1381" s="1">
        <v>100</v>
      </c>
      <c r="M1381" s="1" t="str">
        <f t="shared" si="347"/>
        <v>مخازن قير اصفهان</v>
      </c>
      <c r="N1381" s="1">
        <v>11287</v>
      </c>
      <c r="O1381" s="1">
        <v>50033972</v>
      </c>
      <c r="P1381" s="1" t="str">
        <f>"  جاويد راه هفت اورنگ"</f>
        <v xml:space="preserve">  جاويد راه هفت اورنگ</v>
      </c>
      <c r="Q1381" s="1">
        <v>62</v>
      </c>
      <c r="R1381" s="1" t="str">
        <f t="shared" si="356"/>
        <v>فروش داخلي - سازمان بنيادمسكن انقلاب اسلامي</v>
      </c>
      <c r="S1381" s="1" t="str">
        <f t="shared" si="345"/>
        <v>قرارداد فروش</v>
      </c>
      <c r="T1381" s="1" t="str">
        <f t="shared" si="346"/>
        <v>ندارد</v>
      </c>
      <c r="U1381" s="1" t="str">
        <f>"حاجيلوئي علي اصغر(2842019)"</f>
        <v>حاجيلوئي علي اصغر(2842019)</v>
      </c>
      <c r="V1381" s="1">
        <v>956200320</v>
      </c>
      <c r="W1381" s="1">
        <v>956200320</v>
      </c>
      <c r="X1381" s="1" t="str">
        <f>"1395468780"</f>
        <v>1395468780</v>
      </c>
      <c r="Y1381" s="1" t="str">
        <f>"95/12/11"</f>
        <v>95/12/11</v>
      </c>
      <c r="Z1381" s="1" t="str">
        <f>"54619/د"</f>
        <v>54619/د</v>
      </c>
      <c r="AA1381" s="1" t="str">
        <f t="shared" si="357"/>
        <v>بنيادمسكن انقلاب اسلامي</v>
      </c>
      <c r="AB1381" s="1" t="str">
        <f>"95/12/10"</f>
        <v>95/12/10</v>
      </c>
      <c r="AC1381" s="1" t="str">
        <f>"استان همدان"</f>
        <v>استان همدان</v>
      </c>
      <c r="AD1381" s="1" t="str">
        <f>"95/12/11"</f>
        <v>95/12/11</v>
      </c>
      <c r="AE1381" s="1" t="str">
        <f t="shared" si="350"/>
        <v>اختتام</v>
      </c>
      <c r="AF1381" s="1" t="str">
        <f>""</f>
        <v/>
      </c>
      <c r="AG1381" s="1" t="str">
        <f>""</f>
        <v/>
      </c>
      <c r="AH1381" s="1" t="str">
        <f>""</f>
        <v/>
      </c>
      <c r="AI1381" s="1" t="str">
        <f>""</f>
        <v/>
      </c>
      <c r="AJ1381" s="1" t="str">
        <f>""</f>
        <v/>
      </c>
      <c r="AK1381" s="1" t="str">
        <f>""</f>
        <v/>
      </c>
    </row>
    <row r="1382" spans="1:37" x14ac:dyDescent="0.2">
      <c r="A1382" s="1">
        <v>72000</v>
      </c>
      <c r="B1382" s="1">
        <v>952000052</v>
      </c>
      <c r="C1382" s="1" t="str">
        <f>"تخليه -اصفهان شهرضامباركه -كارخانه آرين بلواراسپادانا"</f>
        <v>تخليه -اصفهان شهرضامباركه -كارخانه آرين بلواراسپادانا</v>
      </c>
      <c r="D1382" s="1">
        <v>6876</v>
      </c>
      <c r="E1382" s="1">
        <v>71440</v>
      </c>
      <c r="F1382" s="1">
        <v>95</v>
      </c>
      <c r="G1382" s="1">
        <v>560</v>
      </c>
      <c r="H1382" s="1" t="str">
        <f>"95/06/07"</f>
        <v>95/06/07</v>
      </c>
      <c r="I1382" s="1" t="str">
        <f t="shared" si="344"/>
        <v>كيلوگرم</v>
      </c>
      <c r="J1382" s="1" t="str">
        <f t="shared" si="352"/>
        <v>1000000002</v>
      </c>
      <c r="K1382" s="1" t="str">
        <f t="shared" si="353"/>
        <v>قير 85/100 - فله</v>
      </c>
      <c r="L1382" s="1">
        <v>100</v>
      </c>
      <c r="M1382" s="1" t="str">
        <f t="shared" si="347"/>
        <v>مخازن قير اصفهان</v>
      </c>
      <c r="N1382" s="1">
        <v>10671</v>
      </c>
      <c r="O1382" s="1">
        <v>50031698</v>
      </c>
      <c r="P1382" s="1" t="str">
        <f>"  شهرداري گلشن"</f>
        <v xml:space="preserve">  شهرداري گلشن</v>
      </c>
      <c r="Q1382" s="1">
        <v>20</v>
      </c>
      <c r="R1382" s="1" t="str">
        <f>"فروش داخلي - سازمان شهرداري ها و دهياري هاي كشور"</f>
        <v>فروش داخلي - سازمان شهرداري ها و دهياري هاي كشور</v>
      </c>
      <c r="S1382" s="1" t="str">
        <f t="shared" si="345"/>
        <v>قرارداد فروش</v>
      </c>
      <c r="T1382" s="1" t="str">
        <f t="shared" si="346"/>
        <v>ندارد</v>
      </c>
      <c r="U1382" s="1" t="str">
        <f>"سيفي پور عبدالمجيد(1009ج89)"</f>
        <v>سيفي پور عبدالمجيد(1009ج89)</v>
      </c>
      <c r="V1382" s="1">
        <v>952000052</v>
      </c>
      <c r="W1382" s="1">
        <v>952000052</v>
      </c>
      <c r="X1382" s="1" t="str">
        <f>"1395426945"</f>
        <v>1395426945</v>
      </c>
      <c r="Y1382" s="1" t="str">
        <f>"95/06/07"</f>
        <v>95/06/07</v>
      </c>
      <c r="Z1382" s="1" t="str">
        <f>"23639"</f>
        <v>23639</v>
      </c>
      <c r="AA1382" s="1" t="str">
        <f>"شهرداريها"</f>
        <v>شهرداريها</v>
      </c>
      <c r="AB1382" s="1" t="str">
        <f>"95/05/25"</f>
        <v>95/05/25</v>
      </c>
      <c r="AC1382" s="1" t="str">
        <f>"استان اصفهان"</f>
        <v>استان اصفهان</v>
      </c>
      <c r="AD1382" s="1" t="str">
        <f>"95/06/06"</f>
        <v>95/06/06</v>
      </c>
      <c r="AE1382" s="1" t="str">
        <f t="shared" si="350"/>
        <v>اختتام</v>
      </c>
      <c r="AF1382" s="1" t="str">
        <f>""</f>
        <v/>
      </c>
      <c r="AG1382" s="1" t="str">
        <f>""</f>
        <v/>
      </c>
      <c r="AH1382" s="1" t="str">
        <f>""</f>
        <v/>
      </c>
      <c r="AI1382" s="1" t="str">
        <f>""</f>
        <v/>
      </c>
      <c r="AJ1382" s="1" t="str">
        <f>""</f>
        <v/>
      </c>
      <c r="AK1382" s="1" t="str">
        <f>""</f>
        <v/>
      </c>
    </row>
    <row r="1383" spans="1:37" x14ac:dyDescent="0.2">
      <c r="A1383" s="1">
        <v>66000</v>
      </c>
      <c r="B1383" s="1">
        <v>952000254</v>
      </c>
      <c r="C1383" s="1" t="str">
        <f>"تخليه چهارمحال وبختياري لردگان كارخانه لايبيدلردگان"</f>
        <v>تخليه چهارمحال وبختياري لردگان كارخانه لايبيدلردگان</v>
      </c>
      <c r="D1383" s="1">
        <v>7026</v>
      </c>
      <c r="E1383" s="1">
        <v>63900</v>
      </c>
      <c r="F1383" s="1">
        <v>95</v>
      </c>
      <c r="G1383" s="1">
        <v>2100</v>
      </c>
      <c r="H1383" s="1" t="str">
        <f>"95/09/07"</f>
        <v>95/09/07</v>
      </c>
      <c r="I1383" s="1" t="str">
        <f t="shared" si="344"/>
        <v>كيلوگرم</v>
      </c>
      <c r="J1383" s="1" t="str">
        <f t="shared" si="352"/>
        <v>1000000002</v>
      </c>
      <c r="K1383" s="1" t="str">
        <f t="shared" si="353"/>
        <v>قير 85/100 - فله</v>
      </c>
      <c r="L1383" s="1">
        <v>100</v>
      </c>
      <c r="M1383" s="1" t="str">
        <f t="shared" si="347"/>
        <v>مخازن قير اصفهان</v>
      </c>
      <c r="N1383" s="1">
        <v>10795</v>
      </c>
      <c r="O1383" s="1">
        <v>50032726</v>
      </c>
      <c r="P1383" s="1" t="str">
        <f>"  شهرداري منج"</f>
        <v xml:space="preserve">  شهرداري منج</v>
      </c>
      <c r="Q1383" s="1">
        <v>20</v>
      </c>
      <c r="R1383" s="1" t="str">
        <f>"فروش داخلي - سازمان شهرداري ها و دهياري هاي كشور"</f>
        <v>فروش داخلي - سازمان شهرداري ها و دهياري هاي كشور</v>
      </c>
      <c r="S1383" s="1" t="str">
        <f t="shared" si="345"/>
        <v>قرارداد فروش</v>
      </c>
      <c r="T1383" s="1" t="str">
        <f t="shared" si="346"/>
        <v>ندارد</v>
      </c>
      <c r="U1383" s="1" t="str">
        <f>"قره باغي مجيد(1871065)"</f>
        <v>قره باغي مجيد(1871065)</v>
      </c>
      <c r="V1383" s="1">
        <v>952000254</v>
      </c>
      <c r="W1383" s="1">
        <v>952000254</v>
      </c>
      <c r="X1383" s="1" t="str">
        <f>"1395447618"</f>
        <v>1395447618</v>
      </c>
      <c r="Y1383" s="1" t="str">
        <f>"95/09/07"</f>
        <v>95/09/07</v>
      </c>
      <c r="Z1383" s="1" t="str">
        <f>"43167"</f>
        <v>43167</v>
      </c>
      <c r="AA1383" s="1" t="str">
        <f>"شهرداريها"</f>
        <v>شهرداريها</v>
      </c>
      <c r="AB1383" s="1" t="str">
        <f>"95/09/01"</f>
        <v>95/09/01</v>
      </c>
      <c r="AC1383" s="1" t="str">
        <f>"استان چهارمحال بختياري"</f>
        <v>استان چهارمحال بختياري</v>
      </c>
      <c r="AD1383" s="1" t="str">
        <f>"95/09/06"</f>
        <v>95/09/06</v>
      </c>
      <c r="AE1383" s="1" t="str">
        <f t="shared" si="350"/>
        <v>اختتام</v>
      </c>
      <c r="AF1383" s="1" t="str">
        <f>""</f>
        <v/>
      </c>
      <c r="AG1383" s="1" t="str">
        <f>""</f>
        <v/>
      </c>
      <c r="AH1383" s="1" t="str">
        <f>""</f>
        <v/>
      </c>
      <c r="AI1383" s="1" t="str">
        <f>""</f>
        <v/>
      </c>
      <c r="AJ1383" s="1" t="str">
        <f>""</f>
        <v/>
      </c>
      <c r="AK1383" s="1" t="str">
        <f>""</f>
        <v/>
      </c>
    </row>
    <row r="1384" spans="1:37" x14ac:dyDescent="0.2">
      <c r="A1384" s="1">
        <v>50000</v>
      </c>
      <c r="B1384" s="1">
        <v>951100043</v>
      </c>
      <c r="C1384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1384" s="1">
        <v>9324</v>
      </c>
      <c r="E1384" s="1">
        <v>42220</v>
      </c>
      <c r="F1384" s="1">
        <v>95</v>
      </c>
      <c r="G1384" s="1">
        <v>7780</v>
      </c>
      <c r="H1384" s="1" t="str">
        <f>"95/02/21"</f>
        <v>95/02/21</v>
      </c>
      <c r="I1384" s="1" t="str">
        <f t="shared" si="344"/>
        <v>كيلوگرم</v>
      </c>
      <c r="J1384" s="1" t="str">
        <f>"1000000003"</f>
        <v>1000000003</v>
      </c>
      <c r="K1384" s="1" t="str">
        <f>"قير MC250"</f>
        <v>قير MC250</v>
      </c>
      <c r="L1384" s="1">
        <v>100</v>
      </c>
      <c r="M1384" s="1" t="str">
        <f t="shared" si="347"/>
        <v>مخازن قير اصفهان</v>
      </c>
      <c r="N1384" s="1">
        <v>1665</v>
      </c>
      <c r="O1384" s="1">
        <v>50030795</v>
      </c>
      <c r="P1384" s="1" t="str">
        <f>"  جهاد نصر يزد"</f>
        <v xml:space="preserve">  جهاد نصر يزد</v>
      </c>
      <c r="Q1384" s="1">
        <v>11</v>
      </c>
      <c r="R1384" s="1" t="str">
        <f>"فروش داخلي تهران - بورس"</f>
        <v>فروش داخلي تهران - بورس</v>
      </c>
      <c r="S1384" s="1" t="str">
        <f t="shared" si="345"/>
        <v>قرارداد فروش</v>
      </c>
      <c r="T1384" s="1" t="str">
        <f t="shared" si="346"/>
        <v>ندارد</v>
      </c>
      <c r="U1384" s="1" t="str">
        <f>"غلام نجفي سيامك‌‌‌‌‌‌(1881082)"</f>
        <v>غلام نجفي سيامك‌‌‌‌‌‌(1881082)</v>
      </c>
      <c r="V1384" s="1">
        <v>951100043</v>
      </c>
      <c r="W1384" s="1">
        <v>951100043</v>
      </c>
      <c r="X1384" s="1" t="str">
        <f>"1395403054"</f>
        <v>1395403054</v>
      </c>
      <c r="Y1384" s="1" t="str">
        <f>"95/02/20"</f>
        <v>95/02/20</v>
      </c>
      <c r="Z1384" s="1" t="str">
        <f>""</f>
        <v/>
      </c>
      <c r="AA1384" s="1" t="str">
        <f>""</f>
        <v/>
      </c>
      <c r="AB1384" s="1" t="str">
        <f>""</f>
        <v/>
      </c>
      <c r="AC1384" s="1" t="str">
        <f>"استان يزد"</f>
        <v>استان يزد</v>
      </c>
      <c r="AD1384" s="1" t="str">
        <f>"95/02/18"</f>
        <v>95/02/18</v>
      </c>
      <c r="AE1384" s="1" t="str">
        <f t="shared" si="350"/>
        <v>اختتام</v>
      </c>
      <c r="AF1384" s="1" t="str">
        <f>""</f>
        <v/>
      </c>
      <c r="AG1384" s="1" t="str">
        <f>""</f>
        <v/>
      </c>
      <c r="AH1384" s="1" t="str">
        <f>""</f>
        <v/>
      </c>
      <c r="AI1384" s="1" t="str">
        <f>""</f>
        <v/>
      </c>
      <c r="AJ1384" s="1" t="str">
        <f>""</f>
        <v/>
      </c>
      <c r="AK1384" s="1" t="str">
        <f>""</f>
        <v/>
      </c>
    </row>
    <row r="1385" spans="1:37" x14ac:dyDescent="0.2">
      <c r="A1385" s="1">
        <v>25000</v>
      </c>
      <c r="B1385" s="1">
        <v>951100059</v>
      </c>
      <c r="C1385" s="1" t="str">
        <f>"تخليه -يزد-كيلومتر63محوراردكان -چوپانان -جهادنصريزد"</f>
        <v>تخليه -يزد-كيلومتر63محوراردكان -چوپانان -جهادنصريزد</v>
      </c>
      <c r="D1385" s="1">
        <v>9860</v>
      </c>
      <c r="E1385" s="1">
        <v>23860</v>
      </c>
      <c r="F1385" s="1">
        <v>95</v>
      </c>
      <c r="G1385" s="1">
        <v>1140</v>
      </c>
      <c r="H1385" s="1" t="str">
        <f>"95/03/12"</f>
        <v>95/03/12</v>
      </c>
      <c r="I1385" s="1" t="str">
        <f t="shared" si="344"/>
        <v>كيلوگرم</v>
      </c>
      <c r="J1385" s="1" t="str">
        <f>"1000000003"</f>
        <v>1000000003</v>
      </c>
      <c r="K1385" s="1" t="str">
        <f>"قير MC250"</f>
        <v>قير MC250</v>
      </c>
      <c r="L1385" s="1">
        <v>100</v>
      </c>
      <c r="M1385" s="1" t="str">
        <f t="shared" si="347"/>
        <v>مخازن قير اصفهان</v>
      </c>
      <c r="N1385" s="1">
        <v>1665</v>
      </c>
      <c r="O1385" s="1">
        <v>50030947</v>
      </c>
      <c r="P1385" s="1" t="str">
        <f>"  جهاد نصر يزد"</f>
        <v xml:space="preserve">  جهاد نصر يزد</v>
      </c>
      <c r="Q1385" s="1">
        <v>11</v>
      </c>
      <c r="R1385" s="1" t="str">
        <f>"فروش داخلي تهران - بورس"</f>
        <v>فروش داخلي تهران - بورس</v>
      </c>
      <c r="S1385" s="1" t="str">
        <f t="shared" si="345"/>
        <v>قرارداد فروش</v>
      </c>
      <c r="T1385" s="1" t="str">
        <f t="shared" si="346"/>
        <v>ندارد</v>
      </c>
      <c r="U1385" s="1" t="str">
        <f>"غلام نجفي سيامك‌‌‌‌‌‌(1881082)"</f>
        <v>غلام نجفي سيامك‌‌‌‌‌‌(1881082)</v>
      </c>
      <c r="V1385" s="1">
        <v>951100059</v>
      </c>
      <c r="W1385" s="1">
        <v>951100059</v>
      </c>
      <c r="X1385" s="1" t="str">
        <f>"1395407381"</f>
        <v>1395407381</v>
      </c>
      <c r="Y1385" s="1" t="str">
        <f>"95/03/12"</f>
        <v>95/03/12</v>
      </c>
      <c r="Z1385" s="1" t="str">
        <f>"1651/ن /ش /95"</f>
        <v>1651/ن /ش /95</v>
      </c>
      <c r="AA1385" s="1" t="str">
        <f>"راه سازي"</f>
        <v>راه سازي</v>
      </c>
      <c r="AB1385" s="1" t="str">
        <f>"95/03/10"</f>
        <v>95/03/10</v>
      </c>
      <c r="AC1385" s="1" t="str">
        <f>"استان يزد"</f>
        <v>استان يزد</v>
      </c>
      <c r="AD1385" s="1" t="str">
        <f>"95/03/12"</f>
        <v>95/03/12</v>
      </c>
      <c r="AE1385" s="1" t="str">
        <f t="shared" si="350"/>
        <v>اختتام</v>
      </c>
      <c r="AF1385" s="1" t="str">
        <f>""</f>
        <v/>
      </c>
      <c r="AG1385" s="1" t="str">
        <f>""</f>
        <v/>
      </c>
      <c r="AH1385" s="1" t="str">
        <f>""</f>
        <v/>
      </c>
      <c r="AI1385" s="1" t="str">
        <f>""</f>
        <v/>
      </c>
      <c r="AJ1385" s="1" t="str">
        <f>""</f>
        <v/>
      </c>
      <c r="AK1385" s="1" t="str">
        <f>""</f>
        <v/>
      </c>
    </row>
    <row r="1386" spans="1:37" x14ac:dyDescent="0.2">
      <c r="A1386" s="1">
        <v>72000</v>
      </c>
      <c r="B1386" s="1">
        <v>952000109</v>
      </c>
      <c r="C1386" s="1" t="str">
        <f>"تخليه - اصفهان- کارخانه آسفالت شهرداري داران"</f>
        <v>تخليه - اصفهان- کارخانه آسفالت شهرداري داران</v>
      </c>
      <c r="D1386" s="1">
        <v>6976</v>
      </c>
      <c r="E1386" s="1">
        <v>71040</v>
      </c>
      <c r="F1386" s="1">
        <v>95</v>
      </c>
      <c r="G1386" s="1">
        <v>960</v>
      </c>
      <c r="H1386" s="1" t="str">
        <f>"95/07/06"</f>
        <v>95/07/06</v>
      </c>
      <c r="I1386" s="1" t="str">
        <f t="shared" si="344"/>
        <v>كيلوگرم</v>
      </c>
      <c r="J1386" s="1" t="str">
        <f t="shared" ref="J1386:J1397" si="358">"1000000002"</f>
        <v>1000000002</v>
      </c>
      <c r="K1386" s="1" t="str">
        <f t="shared" ref="K1386:K1397" si="359">"قير 85/100 - فله"</f>
        <v>قير 85/100 - فله</v>
      </c>
      <c r="L1386" s="1">
        <v>100</v>
      </c>
      <c r="M1386" s="1" t="str">
        <f t="shared" si="347"/>
        <v>مخازن قير اصفهان</v>
      </c>
      <c r="N1386" s="1">
        <v>10817</v>
      </c>
      <c r="O1386" s="1">
        <v>50031975</v>
      </c>
      <c r="P1386" s="1" t="str">
        <f>"  شهرداري افوس"</f>
        <v xml:space="preserve">  شهرداري افوس</v>
      </c>
      <c r="Q1386" s="1">
        <v>20</v>
      </c>
      <c r="R1386" s="1" t="str">
        <f>"فروش داخلي - سازمان شهرداري ها و دهياري هاي كشور"</f>
        <v>فروش داخلي - سازمان شهرداري ها و دهياري هاي كشور</v>
      </c>
      <c r="S1386" s="1" t="str">
        <f t="shared" si="345"/>
        <v>قرارداد فروش</v>
      </c>
      <c r="T1386" s="1" t="str">
        <f t="shared" si="346"/>
        <v>ندارد</v>
      </c>
      <c r="U1386" s="1" t="str">
        <f>"عزيزي صفر(1006ج 89)"</f>
        <v>عزيزي صفر(1006ج 89)</v>
      </c>
      <c r="V1386" s="1">
        <v>952000109</v>
      </c>
      <c r="W1386" s="1">
        <v>952000109</v>
      </c>
      <c r="X1386" s="1" t="str">
        <f>"1395433647"</f>
        <v>1395433647</v>
      </c>
      <c r="Y1386" s="1" t="str">
        <f>"95/07/06"</f>
        <v>95/07/06</v>
      </c>
      <c r="Z1386" s="1" t="str">
        <f>"27774"</f>
        <v>27774</v>
      </c>
      <c r="AA1386" s="1" t="str">
        <f>"شهرداريها"</f>
        <v>شهرداريها</v>
      </c>
      <c r="AB1386" s="1" t="str">
        <f>"95/06/10"</f>
        <v>95/06/10</v>
      </c>
      <c r="AC1386" s="1" t="str">
        <f>"استان اصفهان"</f>
        <v>استان اصفهان</v>
      </c>
      <c r="AD1386" s="1" t="str">
        <f>"95/07/04"</f>
        <v>95/07/04</v>
      </c>
      <c r="AE1386" s="1" t="str">
        <f t="shared" si="350"/>
        <v>اختتام</v>
      </c>
      <c r="AF1386" s="1" t="str">
        <f>""</f>
        <v/>
      </c>
      <c r="AG1386" s="1" t="str">
        <f>""</f>
        <v/>
      </c>
      <c r="AH1386" s="1" t="str">
        <f>""</f>
        <v/>
      </c>
      <c r="AI1386" s="1" t="str">
        <f>""</f>
        <v/>
      </c>
      <c r="AJ1386" s="1" t="str">
        <f>""</f>
        <v/>
      </c>
      <c r="AK1386" s="1" t="str">
        <f>""</f>
        <v/>
      </c>
    </row>
    <row r="1387" spans="1:37" x14ac:dyDescent="0.2">
      <c r="A1387" s="1">
        <v>120000</v>
      </c>
      <c r="B1387" s="1">
        <v>956200215</v>
      </c>
      <c r="C1387" s="1" t="str">
        <f>"تخليه كردستان شهرستان دهگلان كارخانه آسفالت فن وتجربه غرب"</f>
        <v>تخليه كردستان شهرستان دهگلان كارخانه آسفالت فن وتجربه غرب</v>
      </c>
      <c r="D1387" s="1">
        <v>9361</v>
      </c>
      <c r="E1387" s="1">
        <v>118460</v>
      </c>
      <c r="F1387" s="1">
        <v>95</v>
      </c>
      <c r="G1387" s="1">
        <v>1540</v>
      </c>
      <c r="H1387" s="1" t="str">
        <f>"95/11/20"</f>
        <v>95/11/20</v>
      </c>
      <c r="I1387" s="1" t="str">
        <f t="shared" si="344"/>
        <v>كيلوگرم</v>
      </c>
      <c r="J1387" s="1" t="str">
        <f t="shared" si="358"/>
        <v>1000000002</v>
      </c>
      <c r="K1387" s="1" t="str">
        <f t="shared" si="359"/>
        <v>قير 85/100 - فله</v>
      </c>
      <c r="L1387" s="1">
        <v>100</v>
      </c>
      <c r="M1387" s="1" t="str">
        <f t="shared" si="347"/>
        <v>مخازن قير اصفهان</v>
      </c>
      <c r="N1387" s="1">
        <v>10943</v>
      </c>
      <c r="O1387" s="1">
        <v>50033654</v>
      </c>
      <c r="P1387" s="1" t="str">
        <f>"  بانيان ساز نو انديش"</f>
        <v xml:space="preserve">  بانيان ساز نو انديش</v>
      </c>
      <c r="Q1387" s="1">
        <v>62</v>
      </c>
      <c r="R1387" s="1" t="str">
        <f>"فروش داخلي - سازمان بنيادمسكن انقلاب اسلامي"</f>
        <v>فروش داخلي - سازمان بنيادمسكن انقلاب اسلامي</v>
      </c>
      <c r="S1387" s="1" t="str">
        <f t="shared" si="345"/>
        <v>قرارداد فروش</v>
      </c>
      <c r="T1387" s="1" t="str">
        <f t="shared" si="346"/>
        <v>ندارد</v>
      </c>
      <c r="U1387" s="1" t="str">
        <f>"ميهن دوست عبداله(2842010)"</f>
        <v>ميهن دوست عبداله(2842010)</v>
      </c>
      <c r="V1387" s="1">
        <v>956200215</v>
      </c>
      <c r="W1387" s="1">
        <v>956200215</v>
      </c>
      <c r="X1387" s="1" t="str">
        <f>"1395464205"</f>
        <v>1395464205</v>
      </c>
      <c r="Y1387" s="1" t="str">
        <f>"95/11/20"</f>
        <v>95/11/20</v>
      </c>
      <c r="Z1387" s="1" t="str">
        <f>"50205/د"</f>
        <v>50205/د</v>
      </c>
      <c r="AA1387" s="1" t="str">
        <f>"بنيادمسكن انقلاب اسلامي"</f>
        <v>بنيادمسكن انقلاب اسلامي</v>
      </c>
      <c r="AB1387" s="1" t="str">
        <f>"95/11/19"</f>
        <v>95/11/19</v>
      </c>
      <c r="AC1387" s="1" t="str">
        <f>"استان كردستان"</f>
        <v>استان كردستان</v>
      </c>
      <c r="AD1387" s="1" t="str">
        <f>"95/11/20"</f>
        <v>95/11/20</v>
      </c>
      <c r="AE1387" s="1" t="str">
        <f t="shared" si="350"/>
        <v>اختتام</v>
      </c>
      <c r="AF1387" s="1" t="str">
        <f>""</f>
        <v/>
      </c>
      <c r="AG1387" s="1" t="str">
        <f>""</f>
        <v/>
      </c>
      <c r="AH1387" s="1" t="str">
        <f>""</f>
        <v/>
      </c>
      <c r="AI1387" s="1" t="str">
        <f>""</f>
        <v/>
      </c>
      <c r="AJ1387" s="1" t="str">
        <f>""</f>
        <v/>
      </c>
      <c r="AK1387" s="1" t="str">
        <f>""</f>
        <v/>
      </c>
    </row>
    <row r="1388" spans="1:37" x14ac:dyDescent="0.2">
      <c r="A1388" s="1">
        <v>85000</v>
      </c>
      <c r="B1388" s="1">
        <v>956200039</v>
      </c>
      <c r="C1388" s="1" t="str">
        <f>"تخليه-لردگان- فلارد-روستاي گنج-کارخانه آسفالت جانباز لردگان"</f>
        <v>تخليه-لردگان- فلارد-روستاي گنج-کارخانه آسفالت جانباز لردگان</v>
      </c>
      <c r="D1388" s="1">
        <v>5950</v>
      </c>
      <c r="E1388" s="1">
        <v>84980</v>
      </c>
      <c r="F1388" s="1">
        <v>95</v>
      </c>
      <c r="G1388" s="1">
        <v>20</v>
      </c>
      <c r="H1388" s="1" t="str">
        <f>"95/04/05"</f>
        <v>95/04/05</v>
      </c>
      <c r="I1388" s="1" t="str">
        <f t="shared" si="344"/>
        <v>كيلوگرم</v>
      </c>
      <c r="J1388" s="1" t="str">
        <f t="shared" si="358"/>
        <v>1000000002</v>
      </c>
      <c r="K1388" s="1" t="str">
        <f t="shared" si="359"/>
        <v>قير 85/100 - فله</v>
      </c>
      <c r="L1388" s="1">
        <v>100</v>
      </c>
      <c r="M1388" s="1" t="str">
        <f t="shared" si="347"/>
        <v>مخازن قير اصفهان</v>
      </c>
      <c r="N1388" s="1">
        <v>11127</v>
      </c>
      <c r="O1388" s="1">
        <v>50031098</v>
      </c>
      <c r="P1388" s="1" t="str">
        <f>"  عمران سازه ميلاس"</f>
        <v xml:space="preserve">  عمران سازه ميلاس</v>
      </c>
      <c r="Q1388" s="1">
        <v>62</v>
      </c>
      <c r="R1388" s="1" t="str">
        <f>"فروش داخلي - سازمان بنيادمسكن انقلاب اسلامي"</f>
        <v>فروش داخلي - سازمان بنيادمسكن انقلاب اسلامي</v>
      </c>
      <c r="S1388" s="1" t="str">
        <f t="shared" si="345"/>
        <v>قرارداد فروش</v>
      </c>
      <c r="T1388" s="1" t="str">
        <f t="shared" si="346"/>
        <v>ندارد</v>
      </c>
      <c r="U1388" s="1" t="str">
        <f>"قره باغي مجيد(1871065)"</f>
        <v>قره باغي مجيد(1871065)</v>
      </c>
      <c r="V1388" s="1">
        <v>956200039</v>
      </c>
      <c r="W1388" s="1">
        <v>956200039</v>
      </c>
      <c r="X1388" s="1" t="str">
        <f>"1395411206"</f>
        <v>1395411206</v>
      </c>
      <c r="Y1388" s="1" t="str">
        <f>"95/04/05"</f>
        <v>95/04/05</v>
      </c>
      <c r="Z1388" s="1" t="str">
        <f>"13161/د"</f>
        <v>13161/د</v>
      </c>
      <c r="AA1388" s="1" t="str">
        <f>"بنيادمسكن انقلاب اسلامي"</f>
        <v>بنيادمسكن انقلاب اسلامي</v>
      </c>
      <c r="AB1388" s="1" t="str">
        <f>"95/04/02"</f>
        <v>95/04/02</v>
      </c>
      <c r="AC1388" s="1" t="str">
        <f t="shared" ref="AC1388:AC1393" si="360">"استان چهارمحال بختياري"</f>
        <v>استان چهارمحال بختياري</v>
      </c>
      <c r="AD1388" s="1" t="str">
        <f>"95/04/05"</f>
        <v>95/04/05</v>
      </c>
      <c r="AE1388" s="1" t="str">
        <f t="shared" si="350"/>
        <v>اختتام</v>
      </c>
      <c r="AF1388" s="1" t="str">
        <f>""</f>
        <v/>
      </c>
      <c r="AG1388" s="1" t="str">
        <f>""</f>
        <v/>
      </c>
      <c r="AH1388" s="1" t="str">
        <f>""</f>
        <v/>
      </c>
      <c r="AI1388" s="1" t="str">
        <f>""</f>
        <v/>
      </c>
      <c r="AJ1388" s="1" t="str">
        <f>""</f>
        <v/>
      </c>
      <c r="AK1388" s="1" t="str">
        <f>""</f>
        <v/>
      </c>
    </row>
    <row r="1389" spans="1:37" x14ac:dyDescent="0.2">
      <c r="A1389" s="1">
        <v>175000</v>
      </c>
      <c r="B1389" s="1">
        <v>956200051</v>
      </c>
      <c r="C1389" s="1" t="str">
        <f>"تخليه- لردگان فلارد-سه راهي ارمند-تنگ لايبيد-کارخانه آسفالت موسوي"</f>
        <v>تخليه- لردگان فلارد-سه راهي ارمند-تنگ لايبيد-کارخانه آسفالت موسوي</v>
      </c>
      <c r="D1389" s="1">
        <v>5950</v>
      </c>
      <c r="E1389" s="1">
        <v>174740</v>
      </c>
      <c r="F1389" s="1">
        <v>95</v>
      </c>
      <c r="G1389" s="1">
        <v>260</v>
      </c>
      <c r="H1389" s="1" t="str">
        <f>"95/04/14"</f>
        <v>95/04/14</v>
      </c>
      <c r="I1389" s="1" t="str">
        <f t="shared" si="344"/>
        <v>كيلوگرم</v>
      </c>
      <c r="J1389" s="1" t="str">
        <f t="shared" si="358"/>
        <v>1000000002</v>
      </c>
      <c r="K1389" s="1" t="str">
        <f t="shared" si="359"/>
        <v>قير 85/100 - فله</v>
      </c>
      <c r="L1389" s="1">
        <v>100</v>
      </c>
      <c r="M1389" s="1" t="str">
        <f t="shared" si="347"/>
        <v>مخازن قير اصفهان</v>
      </c>
      <c r="N1389" s="1">
        <v>11087</v>
      </c>
      <c r="O1389" s="1">
        <v>50031197</v>
      </c>
      <c r="P1389" s="1" t="str">
        <f>"  جاويد سازان نصر"</f>
        <v xml:space="preserve">  جاويد سازان نصر</v>
      </c>
      <c r="Q1389" s="1">
        <v>62</v>
      </c>
      <c r="R1389" s="1" t="str">
        <f>"فروش داخلي - سازمان بنيادمسكن انقلاب اسلامي"</f>
        <v>فروش داخلي - سازمان بنيادمسكن انقلاب اسلامي</v>
      </c>
      <c r="S1389" s="1" t="str">
        <f t="shared" si="345"/>
        <v>قرارداد فروش</v>
      </c>
      <c r="T1389" s="1" t="str">
        <f t="shared" si="346"/>
        <v>ندارد</v>
      </c>
      <c r="U1389" s="1" t="str">
        <f>"قره باغي مجيد(1871065)"</f>
        <v>قره باغي مجيد(1871065)</v>
      </c>
      <c r="V1389" s="1">
        <v>956200051</v>
      </c>
      <c r="W1389" s="1">
        <v>956200051</v>
      </c>
      <c r="X1389" s="1" t="str">
        <f>"1395412856"</f>
        <v>1395412856</v>
      </c>
      <c r="Y1389" s="1" t="str">
        <f>"95/04/14"</f>
        <v>95/04/14</v>
      </c>
      <c r="Z1389" s="1" t="str">
        <f>"14226/د"</f>
        <v>14226/د</v>
      </c>
      <c r="AA1389" s="1" t="str">
        <f>"بنيادمسكن انقلاب اسلامي"</f>
        <v>بنيادمسكن انقلاب اسلامي</v>
      </c>
      <c r="AB1389" s="1" t="str">
        <f>"95/04/09"</f>
        <v>95/04/09</v>
      </c>
      <c r="AC1389" s="1" t="str">
        <f t="shared" si="360"/>
        <v>استان چهارمحال بختياري</v>
      </c>
      <c r="AD1389" s="1" t="str">
        <f>"95/04/13"</f>
        <v>95/04/13</v>
      </c>
      <c r="AE1389" s="1" t="str">
        <f t="shared" si="350"/>
        <v>اختتام</v>
      </c>
      <c r="AF1389" s="1" t="str">
        <f>""</f>
        <v/>
      </c>
      <c r="AG1389" s="1" t="str">
        <f>""</f>
        <v/>
      </c>
      <c r="AH1389" s="1" t="str">
        <f>""</f>
        <v/>
      </c>
      <c r="AI1389" s="1" t="str">
        <f>""</f>
        <v/>
      </c>
      <c r="AJ1389" s="1" t="str">
        <f>""</f>
        <v/>
      </c>
      <c r="AK1389" s="1" t="str">
        <f>""</f>
        <v/>
      </c>
    </row>
    <row r="1390" spans="1:37" x14ac:dyDescent="0.2">
      <c r="A1390" s="1">
        <v>103000</v>
      </c>
      <c r="B1390" s="1">
        <v>956200170</v>
      </c>
      <c r="C1390" s="1" t="str">
        <f>"تخليه-چهارمحال و بختياري- اردل- گندمکار-جنب تلمبه خانه شماره 6 شهيد جبار زارع- کارخانه آسفالت شرکت آزمون فلز پارس"</f>
        <v>تخليه-چهارمحال و بختياري- اردل- گندمکار-جنب تلمبه خانه شماره 6 شهيد جبار زارع- کارخانه آسفالت شرکت آزمون فلز پارس</v>
      </c>
      <c r="D1390" s="1">
        <v>9361</v>
      </c>
      <c r="E1390" s="1">
        <v>102940</v>
      </c>
      <c r="F1390" s="1">
        <v>95</v>
      </c>
      <c r="G1390" s="1">
        <v>60</v>
      </c>
      <c r="H1390" s="1" t="str">
        <f>"95/11/04"</f>
        <v>95/11/04</v>
      </c>
      <c r="I1390" s="1" t="str">
        <f t="shared" si="344"/>
        <v>كيلوگرم</v>
      </c>
      <c r="J1390" s="1" t="str">
        <f t="shared" si="358"/>
        <v>1000000002</v>
      </c>
      <c r="K1390" s="1" t="str">
        <f t="shared" si="359"/>
        <v>قير 85/100 - فله</v>
      </c>
      <c r="L1390" s="1">
        <v>100</v>
      </c>
      <c r="M1390" s="1" t="str">
        <f t="shared" si="347"/>
        <v>مخازن قير اصفهان</v>
      </c>
      <c r="N1390" s="1">
        <v>11124</v>
      </c>
      <c r="O1390" s="1">
        <v>50033501</v>
      </c>
      <c r="P1390" s="1" t="str">
        <f>"  آزمون فلز پارس"</f>
        <v xml:space="preserve">  آزمون فلز پارس</v>
      </c>
      <c r="Q1390" s="1">
        <v>62</v>
      </c>
      <c r="R1390" s="1" t="str">
        <f>"فروش داخلي - سازمان بنيادمسكن انقلاب اسلامي"</f>
        <v>فروش داخلي - سازمان بنيادمسكن انقلاب اسلامي</v>
      </c>
      <c r="S1390" s="1" t="str">
        <f t="shared" si="345"/>
        <v>قرارداد فروش</v>
      </c>
      <c r="T1390" s="1" t="str">
        <f t="shared" si="346"/>
        <v>ندارد</v>
      </c>
      <c r="U1390" s="1" t="str">
        <f>"فتحي حميد(1901090)"</f>
        <v>فتحي حميد(1901090)</v>
      </c>
      <c r="V1390" s="1">
        <v>956200170</v>
      </c>
      <c r="W1390" s="1">
        <v>956200170</v>
      </c>
      <c r="X1390" s="1" t="str">
        <f>"1395460250"</f>
        <v>1395460250</v>
      </c>
      <c r="Y1390" s="1" t="str">
        <f>"95/11/04"</f>
        <v>95/11/04</v>
      </c>
      <c r="Z1390" s="1" t="str">
        <f>"45497/د"</f>
        <v>45497/د</v>
      </c>
      <c r="AA1390" s="1" t="str">
        <f>"بنيادمسكن انقلاب اسلامي"</f>
        <v>بنيادمسكن انقلاب اسلامي</v>
      </c>
      <c r="AB1390" s="1" t="str">
        <f>"95/10/25"</f>
        <v>95/10/25</v>
      </c>
      <c r="AC1390" s="1" t="str">
        <f t="shared" si="360"/>
        <v>استان چهارمحال بختياري</v>
      </c>
      <c r="AD1390" s="1" t="str">
        <f>"95/11/04"</f>
        <v>95/11/04</v>
      </c>
      <c r="AE1390" s="1" t="str">
        <f t="shared" si="350"/>
        <v>اختتام</v>
      </c>
      <c r="AF1390" s="1" t="str">
        <f>""</f>
        <v/>
      </c>
      <c r="AG1390" s="1" t="str">
        <f>""</f>
        <v/>
      </c>
      <c r="AH1390" s="1" t="str">
        <f>""</f>
        <v/>
      </c>
      <c r="AI1390" s="1" t="str">
        <f>""</f>
        <v/>
      </c>
      <c r="AJ1390" s="1" t="str">
        <f>""</f>
        <v/>
      </c>
      <c r="AK1390" s="1" t="str">
        <f>""</f>
        <v/>
      </c>
    </row>
    <row r="1391" spans="1:37" x14ac:dyDescent="0.2">
      <c r="A1391" s="1">
        <v>71000</v>
      </c>
      <c r="B1391" s="1">
        <v>952000257</v>
      </c>
      <c r="C1391" s="1" t="str">
        <f>"تخليه چهارمحال وبختياري شهرهفشجان سازمان همياري شهرداري هاي چهارمحال وبختياري"</f>
        <v>تخليه چهارمحال وبختياري شهرهفشجان سازمان همياري شهرداري هاي چهارمحال وبختياري</v>
      </c>
      <c r="D1391" s="1">
        <v>7026</v>
      </c>
      <c r="E1391" s="1">
        <v>69800</v>
      </c>
      <c r="F1391" s="1">
        <v>95</v>
      </c>
      <c r="G1391" s="1">
        <v>1200</v>
      </c>
      <c r="H1391" s="1" t="str">
        <f>"95/09/07"</f>
        <v>95/09/07</v>
      </c>
      <c r="I1391" s="1" t="str">
        <f t="shared" si="344"/>
        <v>كيلوگرم</v>
      </c>
      <c r="J1391" s="1" t="str">
        <f t="shared" si="358"/>
        <v>1000000002</v>
      </c>
      <c r="K1391" s="1" t="str">
        <f t="shared" si="359"/>
        <v>قير 85/100 - فله</v>
      </c>
      <c r="L1391" s="1">
        <v>100</v>
      </c>
      <c r="M1391" s="1" t="str">
        <f t="shared" si="347"/>
        <v>مخازن قير اصفهان</v>
      </c>
      <c r="N1391" s="1">
        <v>11153</v>
      </c>
      <c r="O1391" s="1">
        <v>50032729</v>
      </c>
      <c r="P1391" s="1" t="str">
        <f>"  شهرداري هاروني"</f>
        <v xml:space="preserve">  شهرداري هاروني</v>
      </c>
      <c r="Q1391" s="1">
        <v>20</v>
      </c>
      <c r="R1391" s="1" t="str">
        <f>"فروش داخلي - سازمان شهرداري ها و دهياري هاي كشور"</f>
        <v>فروش داخلي - سازمان شهرداري ها و دهياري هاي كشور</v>
      </c>
      <c r="S1391" s="1" t="str">
        <f t="shared" si="345"/>
        <v>قرارداد فروش</v>
      </c>
      <c r="T1391" s="1" t="str">
        <f t="shared" si="346"/>
        <v>ندارد</v>
      </c>
      <c r="U1391" s="1" t="str">
        <f>"قره باغي مجيد(1871065)"</f>
        <v>قره باغي مجيد(1871065)</v>
      </c>
      <c r="V1391" s="1">
        <v>952000257</v>
      </c>
      <c r="W1391" s="1">
        <v>952000257</v>
      </c>
      <c r="X1391" s="1" t="str">
        <f>"1395447618"</f>
        <v>1395447618</v>
      </c>
      <c r="Y1391" s="1" t="str">
        <f>"95/09/07"</f>
        <v>95/09/07</v>
      </c>
      <c r="Z1391" s="1" t="str">
        <f>"42096"</f>
        <v>42096</v>
      </c>
      <c r="AA1391" s="1" t="str">
        <f>"شهرداريها"</f>
        <v>شهرداريها</v>
      </c>
      <c r="AB1391" s="1" t="str">
        <f>"95/08/24"</f>
        <v>95/08/24</v>
      </c>
      <c r="AC1391" s="1" t="str">
        <f t="shared" si="360"/>
        <v>استان چهارمحال بختياري</v>
      </c>
      <c r="AD1391" s="1" t="str">
        <f>"95/09/06"</f>
        <v>95/09/06</v>
      </c>
      <c r="AE1391" s="1" t="str">
        <f t="shared" si="350"/>
        <v>اختتام</v>
      </c>
      <c r="AF1391" s="1" t="str">
        <f>""</f>
        <v/>
      </c>
      <c r="AG1391" s="1" t="str">
        <f>""</f>
        <v/>
      </c>
      <c r="AH1391" s="1" t="str">
        <f>""</f>
        <v/>
      </c>
      <c r="AI1391" s="1" t="str">
        <f>""</f>
        <v/>
      </c>
      <c r="AJ1391" s="1" t="str">
        <f>""</f>
        <v/>
      </c>
      <c r="AK1391" s="1" t="str">
        <f>""</f>
        <v/>
      </c>
    </row>
    <row r="1392" spans="1:37" x14ac:dyDescent="0.2">
      <c r="A1392" s="1">
        <v>73000</v>
      </c>
      <c r="B1392" s="1">
        <v>952000225</v>
      </c>
      <c r="C1392" s="1" t="str">
        <f>"تخليه - چهارمحال و بختياري - کارخانه آسفالت شهرداري اردل"</f>
        <v>تخليه - چهارمحال و بختياري - کارخانه آسفالت شهرداري اردل</v>
      </c>
      <c r="D1392" s="1">
        <v>8023</v>
      </c>
      <c r="E1392" s="1">
        <v>72420</v>
      </c>
      <c r="F1392" s="1">
        <v>95</v>
      </c>
      <c r="G1392" s="1">
        <v>580</v>
      </c>
      <c r="H1392" s="1" t="str">
        <f>"95/08/18"</f>
        <v>95/08/18</v>
      </c>
      <c r="I1392" s="1" t="str">
        <f t="shared" si="344"/>
        <v>كيلوگرم</v>
      </c>
      <c r="J1392" s="1" t="str">
        <f t="shared" si="358"/>
        <v>1000000002</v>
      </c>
      <c r="K1392" s="1" t="str">
        <f t="shared" si="359"/>
        <v>قير 85/100 - فله</v>
      </c>
      <c r="L1392" s="1">
        <v>100</v>
      </c>
      <c r="M1392" s="1" t="str">
        <f t="shared" si="347"/>
        <v>مخازن قير اصفهان</v>
      </c>
      <c r="N1392" s="1">
        <v>11156</v>
      </c>
      <c r="O1392" s="1">
        <v>50032554</v>
      </c>
      <c r="P1392" s="1" t="str">
        <f>"  شهرداري كاج"</f>
        <v xml:space="preserve">  شهرداري كاج</v>
      </c>
      <c r="Q1392" s="1">
        <v>20</v>
      </c>
      <c r="R1392" s="1" t="str">
        <f>"فروش داخلي - سازمان شهرداري ها و دهياري هاي كشور"</f>
        <v>فروش داخلي - سازمان شهرداري ها و دهياري هاي كشور</v>
      </c>
      <c r="S1392" s="1" t="str">
        <f t="shared" si="345"/>
        <v>قرارداد فروش</v>
      </c>
      <c r="T1392" s="1" t="str">
        <f t="shared" si="346"/>
        <v>ندارد</v>
      </c>
      <c r="U1392" s="1" t="str">
        <f>"قره باغي مجيد(1871065)"</f>
        <v>قره باغي مجيد(1871065)</v>
      </c>
      <c r="V1392" s="1">
        <v>952000225</v>
      </c>
      <c r="W1392" s="1">
        <v>952000225</v>
      </c>
      <c r="X1392" s="1" t="str">
        <f>"1395443388"</f>
        <v>1395443388</v>
      </c>
      <c r="Y1392" s="1" t="str">
        <f>"95/08/17"</f>
        <v>95/08/17</v>
      </c>
      <c r="Z1392" s="1" t="str">
        <f>"40350"</f>
        <v>40350</v>
      </c>
      <c r="AA1392" s="1" t="str">
        <f>"شهرداريها"</f>
        <v>شهرداريها</v>
      </c>
      <c r="AB1392" s="1" t="str">
        <f>"95/08/16"</f>
        <v>95/08/16</v>
      </c>
      <c r="AC1392" s="1" t="str">
        <f t="shared" si="360"/>
        <v>استان چهارمحال بختياري</v>
      </c>
      <c r="AD1392" s="1" t="str">
        <f>"95/08/17"</f>
        <v>95/08/17</v>
      </c>
      <c r="AE1392" s="1" t="str">
        <f t="shared" ref="AE1392:AE1423" si="361">"اختتام"</f>
        <v>اختتام</v>
      </c>
      <c r="AF1392" s="1" t="str">
        <f>""</f>
        <v/>
      </c>
      <c r="AG1392" s="1" t="str">
        <f>""</f>
        <v/>
      </c>
      <c r="AH1392" s="1" t="str">
        <f>""</f>
        <v/>
      </c>
      <c r="AI1392" s="1" t="str">
        <f>""</f>
        <v/>
      </c>
      <c r="AJ1392" s="1" t="str">
        <f>""</f>
        <v/>
      </c>
      <c r="AK1392" s="1" t="str">
        <f>""</f>
        <v/>
      </c>
    </row>
    <row r="1393" spans="1:37" x14ac:dyDescent="0.2">
      <c r="A1393" s="1">
        <v>73000</v>
      </c>
      <c r="B1393" s="1">
        <v>956200171</v>
      </c>
      <c r="C1393" s="1" t="str">
        <f>"تخليه - چهارمحال-فارسان -شهرچليچه-سه راهي جونقان - کارخانه آسفالت احمدي"</f>
        <v>تخليه - چهارمحال-فارسان -شهرچليچه-سه راهي جونقان - کارخانه آسفالت احمدي</v>
      </c>
      <c r="D1393" s="1">
        <v>9361</v>
      </c>
      <c r="E1393" s="1">
        <v>72440</v>
      </c>
      <c r="F1393" s="1">
        <v>95</v>
      </c>
      <c r="G1393" s="1">
        <v>560</v>
      </c>
      <c r="H1393" s="1" t="str">
        <f>"95/11/04"</f>
        <v>95/11/04</v>
      </c>
      <c r="I1393" s="1" t="str">
        <f t="shared" si="344"/>
        <v>كيلوگرم</v>
      </c>
      <c r="J1393" s="1" t="str">
        <f t="shared" si="358"/>
        <v>1000000002</v>
      </c>
      <c r="K1393" s="1" t="str">
        <f t="shared" si="359"/>
        <v>قير 85/100 - فله</v>
      </c>
      <c r="L1393" s="1">
        <v>100</v>
      </c>
      <c r="M1393" s="1" t="str">
        <f t="shared" si="347"/>
        <v>مخازن قير اصفهان</v>
      </c>
      <c r="N1393" s="1">
        <v>11235</v>
      </c>
      <c r="O1393" s="1">
        <v>50033502</v>
      </c>
      <c r="P1393" s="1" t="str">
        <f>"  تصاعد زاگرس"</f>
        <v xml:space="preserve">  تصاعد زاگرس</v>
      </c>
      <c r="Q1393" s="1">
        <v>62</v>
      </c>
      <c r="R1393" s="1" t="str">
        <f>"فروش داخلي - سازمان بنيادمسكن انقلاب اسلامي"</f>
        <v>فروش داخلي - سازمان بنيادمسكن انقلاب اسلامي</v>
      </c>
      <c r="S1393" s="1" t="str">
        <f t="shared" si="345"/>
        <v>قرارداد فروش</v>
      </c>
      <c r="T1393" s="1" t="str">
        <f t="shared" si="346"/>
        <v>ندارد</v>
      </c>
      <c r="U1393" s="1" t="str">
        <f>"قره باغي مجيد(1871065)"</f>
        <v>قره باغي مجيد(1871065)</v>
      </c>
      <c r="V1393" s="1">
        <v>956200171</v>
      </c>
      <c r="W1393" s="1">
        <v>956200171</v>
      </c>
      <c r="X1393" s="1" t="str">
        <f>"1395460250"</f>
        <v>1395460250</v>
      </c>
      <c r="Y1393" s="1" t="str">
        <f>"95/11/04"</f>
        <v>95/11/04</v>
      </c>
      <c r="Z1393" s="1" t="str">
        <f>"45496/د"</f>
        <v>45496/د</v>
      </c>
      <c r="AA1393" s="1" t="str">
        <f>"بنيادمسكن انقلاب اسلامي"</f>
        <v>بنيادمسكن انقلاب اسلامي</v>
      </c>
      <c r="AB1393" s="1" t="str">
        <f>"95/10/25"</f>
        <v>95/10/25</v>
      </c>
      <c r="AC1393" s="1" t="str">
        <f t="shared" si="360"/>
        <v>استان چهارمحال بختياري</v>
      </c>
      <c r="AD1393" s="1" t="str">
        <f>"95/11/04"</f>
        <v>95/11/04</v>
      </c>
      <c r="AE1393" s="1" t="str">
        <f t="shared" si="361"/>
        <v>اختتام</v>
      </c>
      <c r="AF1393" s="1" t="str">
        <f>""</f>
        <v/>
      </c>
      <c r="AG1393" s="1" t="str">
        <f>""</f>
        <v/>
      </c>
      <c r="AH1393" s="1" t="str">
        <f>""</f>
        <v/>
      </c>
      <c r="AI1393" s="1" t="str">
        <f>""</f>
        <v/>
      </c>
      <c r="AJ1393" s="1" t="str">
        <f>""</f>
        <v/>
      </c>
      <c r="AK1393" s="1" t="str">
        <f>""</f>
        <v/>
      </c>
    </row>
    <row r="1394" spans="1:37" x14ac:dyDescent="0.2">
      <c r="A1394" s="1">
        <v>160000</v>
      </c>
      <c r="B1394" s="1">
        <v>956200186</v>
      </c>
      <c r="C1394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394" s="1">
        <v>9361</v>
      </c>
      <c r="E1394" s="1">
        <v>160000</v>
      </c>
      <c r="F1394" s="1">
        <v>95</v>
      </c>
      <c r="G1394" s="1">
        <v>0</v>
      </c>
      <c r="H1394" s="1" t="str">
        <f>"95/11/13"</f>
        <v>95/11/13</v>
      </c>
      <c r="I1394" s="1" t="str">
        <f t="shared" si="344"/>
        <v>كيلوگرم</v>
      </c>
      <c r="J1394" s="1" t="str">
        <f t="shared" si="358"/>
        <v>1000000002</v>
      </c>
      <c r="K1394" s="1" t="str">
        <f t="shared" si="359"/>
        <v>قير 85/100 - فله</v>
      </c>
      <c r="L1394" s="1">
        <v>100</v>
      </c>
      <c r="M1394" s="1" t="str">
        <f t="shared" si="347"/>
        <v>مخازن قير اصفهان</v>
      </c>
      <c r="N1394" s="1">
        <v>11237</v>
      </c>
      <c r="O1394" s="1">
        <v>50033576</v>
      </c>
      <c r="P1394" s="1" t="str">
        <f>"  بنياد مسکن انقلاب اسلامي زنجان"</f>
        <v xml:space="preserve">  بنياد مسکن انقلاب اسلامي زنجان</v>
      </c>
      <c r="Q1394" s="1">
        <v>62</v>
      </c>
      <c r="R1394" s="1" t="str">
        <f>"فروش داخلي - سازمان بنيادمسكن انقلاب اسلامي"</f>
        <v>فروش داخلي - سازمان بنيادمسكن انقلاب اسلامي</v>
      </c>
      <c r="S1394" s="1" t="str">
        <f t="shared" si="345"/>
        <v>قرارداد فروش</v>
      </c>
      <c r="T1394" s="1" t="str">
        <f t="shared" si="346"/>
        <v>ندارد</v>
      </c>
      <c r="U1394" s="1" t="str">
        <f>"فتاح زاده سيداحمد(3843011)"</f>
        <v>فتاح زاده سيداحمد(3843011)</v>
      </c>
      <c r="V1394" s="1">
        <v>956200186</v>
      </c>
      <c r="W1394" s="1">
        <v>956200186</v>
      </c>
      <c r="X1394" s="1" t="str">
        <f>"1395461991"</f>
        <v>1395461991</v>
      </c>
      <c r="Y1394" s="1" t="str">
        <f>"95/11/13"</f>
        <v>95/11/13</v>
      </c>
      <c r="Z1394" s="1" t="str">
        <f>"48783/د"</f>
        <v>48783/د</v>
      </c>
      <c r="AA1394" s="1" t="str">
        <f>"بنيادمسكن انقلاب اسلامي"</f>
        <v>بنيادمسكن انقلاب اسلامي</v>
      </c>
      <c r="AB1394" s="1" t="str">
        <f>"95/11/11"</f>
        <v>95/11/11</v>
      </c>
      <c r="AC1394" s="1" t="str">
        <f>"استان زنجان"</f>
        <v>استان زنجان</v>
      </c>
      <c r="AD1394" s="1" t="str">
        <f>"95/11/12"</f>
        <v>95/11/12</v>
      </c>
      <c r="AE1394" s="1" t="str">
        <f t="shared" si="361"/>
        <v>اختتام</v>
      </c>
      <c r="AF1394" s="1" t="str">
        <f>""</f>
        <v/>
      </c>
      <c r="AG1394" s="1" t="str">
        <f>""</f>
        <v/>
      </c>
      <c r="AH1394" s="1" t="str">
        <f>""</f>
        <v/>
      </c>
      <c r="AI1394" s="1" t="str">
        <f>""</f>
        <v/>
      </c>
      <c r="AJ1394" s="1" t="str">
        <f>""</f>
        <v/>
      </c>
      <c r="AK1394" s="1" t="str">
        <f>""</f>
        <v/>
      </c>
    </row>
    <row r="1395" spans="1:37" x14ac:dyDescent="0.2">
      <c r="A1395" s="1">
        <v>141000</v>
      </c>
      <c r="B1395" s="1">
        <v>956200268</v>
      </c>
      <c r="C1395" s="1" t="str">
        <f>"تخليه همدان كيلومتر54جاده همدان تهران كارخانه آسفالت سراوك"</f>
        <v>تخليه همدان كيلومتر54جاده همدان تهران كارخانه آسفالت سراوك</v>
      </c>
      <c r="D1395" s="1">
        <v>8848</v>
      </c>
      <c r="E1395" s="1">
        <v>139700</v>
      </c>
      <c r="F1395" s="1">
        <v>95</v>
      </c>
      <c r="G1395" s="1">
        <v>1300</v>
      </c>
      <c r="H1395" s="1" t="str">
        <f>"95/12/04"</f>
        <v>95/12/04</v>
      </c>
      <c r="I1395" s="1" t="str">
        <f t="shared" si="344"/>
        <v>كيلوگرم</v>
      </c>
      <c r="J1395" s="1" t="str">
        <f t="shared" si="358"/>
        <v>1000000002</v>
      </c>
      <c r="K1395" s="1" t="str">
        <f t="shared" si="359"/>
        <v>قير 85/100 - فله</v>
      </c>
      <c r="L1395" s="1">
        <v>100</v>
      </c>
      <c r="M1395" s="1" t="str">
        <f t="shared" si="347"/>
        <v>مخازن قير اصفهان</v>
      </c>
      <c r="N1395" s="1">
        <v>11240</v>
      </c>
      <c r="O1395" s="1">
        <v>50033834</v>
      </c>
      <c r="P1395" s="1" t="str">
        <f>"  خاتم پي پيكره"</f>
        <v xml:space="preserve">  خاتم پي پيكره</v>
      </c>
      <c r="Q1395" s="1">
        <v>62</v>
      </c>
      <c r="R1395" s="1" t="str">
        <f>"فروش داخلي - سازمان بنيادمسكن انقلاب اسلامي"</f>
        <v>فروش داخلي - سازمان بنيادمسكن انقلاب اسلامي</v>
      </c>
      <c r="S1395" s="1" t="str">
        <f t="shared" si="345"/>
        <v>قرارداد فروش</v>
      </c>
      <c r="T1395" s="1" t="str">
        <f t="shared" si="346"/>
        <v>ندارد</v>
      </c>
      <c r="U1395" s="1" t="str">
        <f>"حاجيلوئي علي اصغر(2842019)"</f>
        <v>حاجيلوئي علي اصغر(2842019)</v>
      </c>
      <c r="V1395" s="1">
        <v>956200268</v>
      </c>
      <c r="W1395" s="1">
        <v>956200268</v>
      </c>
      <c r="X1395" s="1" t="str">
        <f>"1395466582"</f>
        <v>1395466582</v>
      </c>
      <c r="Y1395" s="1" t="str">
        <f>"95/12/04"</f>
        <v>95/12/04</v>
      </c>
      <c r="Z1395" s="1" t="str">
        <f>"52077/د"</f>
        <v>52077/د</v>
      </c>
      <c r="AA1395" s="1" t="str">
        <f>"بنيادمسكن انقلاب اسلامي"</f>
        <v>بنيادمسكن انقلاب اسلامي</v>
      </c>
      <c r="AB1395" s="1" t="str">
        <f>"95/11/30"</f>
        <v>95/11/30</v>
      </c>
      <c r="AC1395" s="1" t="str">
        <f>"استان همدان"</f>
        <v>استان همدان</v>
      </c>
      <c r="AD1395" s="1" t="str">
        <f>"95/12/03"</f>
        <v>95/12/03</v>
      </c>
      <c r="AE1395" s="1" t="str">
        <f t="shared" si="361"/>
        <v>اختتام</v>
      </c>
      <c r="AF1395" s="1" t="str">
        <f>""</f>
        <v/>
      </c>
      <c r="AG1395" s="1" t="str">
        <f>""</f>
        <v/>
      </c>
      <c r="AH1395" s="1" t="str">
        <f>""</f>
        <v/>
      </c>
      <c r="AI1395" s="1" t="str">
        <f>""</f>
        <v/>
      </c>
      <c r="AJ1395" s="1" t="str">
        <f>""</f>
        <v/>
      </c>
      <c r="AK1395" s="1" t="str">
        <f>""</f>
        <v/>
      </c>
    </row>
    <row r="1396" spans="1:37" x14ac:dyDescent="0.2">
      <c r="A1396" s="1">
        <v>150000</v>
      </c>
      <c r="B1396" s="1">
        <v>956200253</v>
      </c>
      <c r="C1396" s="1" t="str">
        <f>"تخليه - اردبيل -نمين -روبروي کارخانه سيمان اردبيل"</f>
        <v>تخليه - اردبيل -نمين -روبروي کارخانه سيمان اردبيل</v>
      </c>
      <c r="D1396" s="1">
        <v>9361</v>
      </c>
      <c r="E1396" s="1">
        <v>148080</v>
      </c>
      <c r="F1396" s="1">
        <v>95</v>
      </c>
      <c r="G1396" s="1">
        <v>1920</v>
      </c>
      <c r="H1396" s="1" t="str">
        <f>"95/11/27"</f>
        <v>95/11/27</v>
      </c>
      <c r="I1396" s="1" t="str">
        <f t="shared" si="344"/>
        <v>كيلوگرم</v>
      </c>
      <c r="J1396" s="1" t="str">
        <f t="shared" si="358"/>
        <v>1000000002</v>
      </c>
      <c r="K1396" s="1" t="str">
        <f t="shared" si="359"/>
        <v>قير 85/100 - فله</v>
      </c>
      <c r="L1396" s="1">
        <v>100</v>
      </c>
      <c r="M1396" s="1" t="str">
        <f t="shared" si="347"/>
        <v>مخازن قير اصفهان</v>
      </c>
      <c r="N1396" s="1">
        <v>11265</v>
      </c>
      <c r="O1396" s="1">
        <v>50033790</v>
      </c>
      <c r="P1396" s="1" t="str">
        <f>"  آوادان يول سبلان"</f>
        <v xml:space="preserve">  آوادان يول سبلان</v>
      </c>
      <c r="Q1396" s="1">
        <v>62</v>
      </c>
      <c r="R1396" s="1" t="str">
        <f>"فروش داخلي - سازمان بنيادمسكن انقلاب اسلامي"</f>
        <v>فروش داخلي - سازمان بنيادمسكن انقلاب اسلامي</v>
      </c>
      <c r="S1396" s="1" t="str">
        <f t="shared" si="345"/>
        <v>قرارداد فروش</v>
      </c>
      <c r="T1396" s="1" t="str">
        <f t="shared" si="346"/>
        <v>ندارد</v>
      </c>
      <c r="U1396" s="1" t="str">
        <f>"علافي اسكويي محمد تقي(3843004)"</f>
        <v>علافي اسكويي محمد تقي(3843004)</v>
      </c>
      <c r="V1396" s="1">
        <v>956200253</v>
      </c>
      <c r="W1396" s="1">
        <v>956200253</v>
      </c>
      <c r="X1396" s="1" t="str">
        <f>"1395465844"</f>
        <v>1395465844</v>
      </c>
      <c r="Y1396" s="1" t="str">
        <f>"95/11/27"</f>
        <v>95/11/27</v>
      </c>
      <c r="Z1396" s="1" t="str">
        <f>"51504/د"</f>
        <v>51504/د</v>
      </c>
      <c r="AA1396" s="1" t="str">
        <f>"بنيادمسكن انقلاب اسلامي"</f>
        <v>بنيادمسكن انقلاب اسلامي</v>
      </c>
      <c r="AB1396" s="1" t="str">
        <f>"95/11/26"</f>
        <v>95/11/26</v>
      </c>
      <c r="AC1396" s="1" t="str">
        <f>"استان اردبيل"</f>
        <v>استان اردبيل</v>
      </c>
      <c r="AD1396" s="1" t="str">
        <f>"95/11/27"</f>
        <v>95/11/27</v>
      </c>
      <c r="AE1396" s="1" t="str">
        <f t="shared" si="361"/>
        <v>اختتام</v>
      </c>
      <c r="AF1396" s="1" t="str">
        <f>""</f>
        <v/>
      </c>
      <c r="AG1396" s="1" t="str">
        <f>""</f>
        <v/>
      </c>
      <c r="AH1396" s="1" t="str">
        <f>""</f>
        <v/>
      </c>
      <c r="AI1396" s="1" t="str">
        <f>""</f>
        <v/>
      </c>
      <c r="AJ1396" s="1" t="str">
        <f>""</f>
        <v/>
      </c>
      <c r="AK1396" s="1" t="str">
        <f>""</f>
        <v/>
      </c>
    </row>
    <row r="1397" spans="1:37" x14ac:dyDescent="0.2">
      <c r="A1397" s="1">
        <v>96000</v>
      </c>
      <c r="B1397" s="1">
        <v>956200274</v>
      </c>
      <c r="C1397" s="1" t="str">
        <f>"تخليه - کردستان - سقز - کارخانه آسفالت ميرده -کيلومتر 15 جاده سقز بانه"</f>
        <v>تخليه - کردستان - سقز - کارخانه آسفالت ميرده -کيلومتر 15 جاده سقز بانه</v>
      </c>
      <c r="D1397" s="1">
        <v>8848</v>
      </c>
      <c r="E1397" s="1">
        <v>91660</v>
      </c>
      <c r="F1397" s="1">
        <v>95</v>
      </c>
      <c r="G1397" s="1">
        <v>4340</v>
      </c>
      <c r="H1397" s="1" t="str">
        <f>"95/12/04"</f>
        <v>95/12/04</v>
      </c>
      <c r="I1397" s="1" t="str">
        <f t="shared" si="344"/>
        <v>كيلوگرم</v>
      </c>
      <c r="J1397" s="1" t="str">
        <f t="shared" si="358"/>
        <v>1000000002</v>
      </c>
      <c r="K1397" s="1" t="str">
        <f t="shared" si="359"/>
        <v>قير 85/100 - فله</v>
      </c>
      <c r="L1397" s="1">
        <v>100</v>
      </c>
      <c r="M1397" s="1" t="str">
        <f t="shared" si="347"/>
        <v>مخازن قير اصفهان</v>
      </c>
      <c r="N1397" s="1">
        <v>11267</v>
      </c>
      <c r="O1397" s="1">
        <v>50033840</v>
      </c>
      <c r="P1397" s="1" t="str">
        <f>"  ساختماني و تاسيساتي توس نوذر"</f>
        <v xml:space="preserve">  ساختماني و تاسيساتي توس نوذر</v>
      </c>
      <c r="Q1397" s="1">
        <v>62</v>
      </c>
      <c r="R1397" s="1" t="str">
        <f>"فروش داخلي - سازمان بنيادمسكن انقلاب اسلامي"</f>
        <v>فروش داخلي - سازمان بنيادمسكن انقلاب اسلامي</v>
      </c>
      <c r="S1397" s="1" t="str">
        <f t="shared" si="345"/>
        <v>قرارداد فروش</v>
      </c>
      <c r="T1397" s="1" t="str">
        <f t="shared" si="346"/>
        <v>ندارد</v>
      </c>
      <c r="U1397" s="1" t="str">
        <f>"حاجيلوئي علي اصغر(2842019)"</f>
        <v>حاجيلوئي علي اصغر(2842019)</v>
      </c>
      <c r="V1397" s="1">
        <v>956200274</v>
      </c>
      <c r="W1397" s="1">
        <v>956200274</v>
      </c>
      <c r="X1397" s="1" t="str">
        <f>"1395466582"</f>
        <v>1395466582</v>
      </c>
      <c r="Y1397" s="1" t="str">
        <f>"95/12/04"</f>
        <v>95/12/04</v>
      </c>
      <c r="Z1397" s="1" t="str">
        <f>"52080/د"</f>
        <v>52080/د</v>
      </c>
      <c r="AA1397" s="1" t="str">
        <f>"بنيادمسكن انقلاب اسلامي"</f>
        <v>بنيادمسكن انقلاب اسلامي</v>
      </c>
      <c r="AB1397" s="1" t="str">
        <f>"95/11/30"</f>
        <v>95/11/30</v>
      </c>
      <c r="AC1397" s="1" t="str">
        <f>"استان كردستان"</f>
        <v>استان كردستان</v>
      </c>
      <c r="AD1397" s="1" t="str">
        <f>"95/12/03"</f>
        <v>95/12/03</v>
      </c>
      <c r="AE1397" s="1" t="str">
        <f t="shared" si="361"/>
        <v>اختتام</v>
      </c>
      <c r="AF1397" s="1" t="str">
        <f>""</f>
        <v/>
      </c>
      <c r="AG1397" s="1" t="str">
        <f>""</f>
        <v/>
      </c>
      <c r="AH1397" s="1" t="str">
        <f>""</f>
        <v/>
      </c>
      <c r="AI1397" s="1" t="str">
        <f>""</f>
        <v/>
      </c>
      <c r="AJ1397" s="1" t="str">
        <f>""</f>
        <v/>
      </c>
      <c r="AK1397" s="1" t="str">
        <f>""</f>
        <v/>
      </c>
    </row>
    <row r="1398" spans="1:37" x14ac:dyDescent="0.2">
      <c r="A1398" s="1">
        <v>520000</v>
      </c>
      <c r="B1398" s="1">
        <v>951400045</v>
      </c>
      <c r="C1398" s="1" t="str">
        <f>"تخليه-خراسان جنوبي-اداره راه و شهرسازي شهرستان نهبندان"</f>
        <v>تخليه-خراسان جنوبي-اداره راه و شهرسازي شهرستان نهبندان</v>
      </c>
      <c r="D1398" s="1">
        <v>9980</v>
      </c>
      <c r="E1398" s="1">
        <v>515760</v>
      </c>
      <c r="F1398" s="1">
        <v>95</v>
      </c>
      <c r="G1398" s="1">
        <v>4240</v>
      </c>
      <c r="H1398" s="1" t="str">
        <f>"95/04/28"</f>
        <v>95/04/28</v>
      </c>
      <c r="I1398" s="1" t="str">
        <f t="shared" si="344"/>
        <v>كيلوگرم</v>
      </c>
      <c r="J1398" s="1" t="str">
        <f>"1000000003"</f>
        <v>1000000003</v>
      </c>
      <c r="K1398" s="1" t="str">
        <f>"قير MC250"</f>
        <v>قير MC250</v>
      </c>
      <c r="L1398" s="1">
        <v>100</v>
      </c>
      <c r="M1398" s="1" t="str">
        <f t="shared" si="347"/>
        <v>مخازن قير اصفهان</v>
      </c>
      <c r="N1398" s="1">
        <v>4012</v>
      </c>
      <c r="O1398" s="1">
        <v>50031311</v>
      </c>
      <c r="P1398" s="1" t="str">
        <f>"  اداره كل راه و شهرسازي خراسان جنوبي"</f>
        <v xml:space="preserve">  اداره كل راه و شهرسازي خراسان جنوبي</v>
      </c>
      <c r="Q1398" s="1">
        <v>14</v>
      </c>
      <c r="R1398" s="1" t="str">
        <f>"فروش داخلي - وزارت راه - حوزه راه روستايي ساخت"</f>
        <v>فروش داخلي - وزارت راه - حوزه راه روستايي ساخت</v>
      </c>
      <c r="S1398" s="1" t="str">
        <f t="shared" si="345"/>
        <v>قرارداد فروش</v>
      </c>
      <c r="T1398" s="1" t="str">
        <f t="shared" si="346"/>
        <v>ندارد</v>
      </c>
      <c r="U1398" s="1" t="str">
        <f>"مظفري مرتضي(4844023)"</f>
        <v>مظفري مرتضي(4844023)</v>
      </c>
      <c r="V1398" s="1">
        <v>951400045</v>
      </c>
      <c r="W1398" s="1">
        <v>951400045</v>
      </c>
      <c r="X1398" s="1" t="str">
        <f>"1395416200"</f>
        <v>1395416200</v>
      </c>
      <c r="Y1398" s="1" t="str">
        <f>"95/04/28"</f>
        <v>95/04/28</v>
      </c>
      <c r="Z1398" s="1" t="str">
        <f>"17854/510"</f>
        <v>17854/510</v>
      </c>
      <c r="AA1398" s="1" t="str">
        <f>"راه وروستايي -ساخت"</f>
        <v>راه وروستايي -ساخت</v>
      </c>
      <c r="AB1398" s="1" t="str">
        <f>"95/04/26"</f>
        <v>95/04/26</v>
      </c>
      <c r="AC1398" s="1" t="str">
        <f>"خراسان جنوبي"</f>
        <v>خراسان جنوبي</v>
      </c>
      <c r="AD1398" s="1" t="str">
        <f>"95/04/28"</f>
        <v>95/04/28</v>
      </c>
      <c r="AE1398" s="1" t="str">
        <f t="shared" si="361"/>
        <v>اختتام</v>
      </c>
      <c r="AF1398" s="1" t="str">
        <f>""</f>
        <v/>
      </c>
      <c r="AG1398" s="1" t="str">
        <f>""</f>
        <v/>
      </c>
      <c r="AH1398" s="1" t="str">
        <f>""</f>
        <v/>
      </c>
      <c r="AI1398" s="1" t="str">
        <f>""</f>
        <v/>
      </c>
      <c r="AJ1398" s="1" t="str">
        <f>""</f>
        <v/>
      </c>
      <c r="AK1398" s="1" t="str">
        <f>""</f>
        <v/>
      </c>
    </row>
    <row r="1399" spans="1:37" x14ac:dyDescent="0.2">
      <c r="A1399" s="1">
        <v>26000</v>
      </c>
      <c r="B1399" s="1">
        <v>956200308</v>
      </c>
      <c r="C1399" s="1" t="str">
        <f>"تخليه-کردستان -مريوان-کارخانه آسفالت اسکول"</f>
        <v>تخليه-کردستان -مريوان-کارخانه آسفالت اسکول</v>
      </c>
      <c r="D1399" s="1">
        <v>8848</v>
      </c>
      <c r="E1399" s="1">
        <v>24340</v>
      </c>
      <c r="F1399" s="1">
        <v>95</v>
      </c>
      <c r="G1399" s="1">
        <v>1660</v>
      </c>
      <c r="H1399" s="1" t="str">
        <f>"95/12/10"</f>
        <v>95/12/10</v>
      </c>
      <c r="I1399" s="1" t="str">
        <f t="shared" si="344"/>
        <v>كيلوگرم</v>
      </c>
      <c r="J1399" s="1" t="str">
        <f t="shared" ref="J1399:J1405" si="362">"1000000002"</f>
        <v>1000000002</v>
      </c>
      <c r="K1399" s="1" t="str">
        <f t="shared" ref="K1399:K1405" si="363">"قير 85/100 - فله"</f>
        <v>قير 85/100 - فله</v>
      </c>
      <c r="L1399" s="1">
        <v>100</v>
      </c>
      <c r="M1399" s="1" t="str">
        <f t="shared" si="347"/>
        <v>مخازن قير اصفهان</v>
      </c>
      <c r="N1399" s="1">
        <v>11285</v>
      </c>
      <c r="O1399" s="1">
        <v>50033944</v>
      </c>
      <c r="P1399" s="1" t="str">
        <f>"صباحمراد نژاد"</f>
        <v>صباحمراد نژاد</v>
      </c>
      <c r="Q1399" s="1">
        <v>62</v>
      </c>
      <c r="R1399" s="1" t="str">
        <f>"فروش داخلي - سازمان بنيادمسكن انقلاب اسلامي"</f>
        <v>فروش داخلي - سازمان بنيادمسكن انقلاب اسلامي</v>
      </c>
      <c r="S1399" s="1" t="str">
        <f t="shared" si="345"/>
        <v>قرارداد فروش</v>
      </c>
      <c r="T1399" s="1" t="str">
        <f t="shared" si="346"/>
        <v>ندارد</v>
      </c>
      <c r="U1399" s="1" t="str">
        <f>"قنبري امين(2872037)"</f>
        <v>قنبري امين(2872037)</v>
      </c>
      <c r="V1399" s="1">
        <v>956200308</v>
      </c>
      <c r="W1399" s="1">
        <v>956200308</v>
      </c>
      <c r="X1399" s="1" t="str">
        <f>"1395468358"</f>
        <v>1395468358</v>
      </c>
      <c r="Y1399" s="1" t="str">
        <f>"95/12/10"</f>
        <v>95/12/10</v>
      </c>
      <c r="Z1399" s="1" t="str">
        <f>"54462/د"</f>
        <v>54462/د</v>
      </c>
      <c r="AA1399" s="1" t="str">
        <f>"بنيادمسكن انقلاب اسلامي"</f>
        <v>بنيادمسكن انقلاب اسلامي</v>
      </c>
      <c r="AB1399" s="1" t="str">
        <f>"95/12/09"</f>
        <v>95/12/09</v>
      </c>
      <c r="AC1399" s="1" t="str">
        <f>"استان كردستان"</f>
        <v>استان كردستان</v>
      </c>
      <c r="AD1399" s="1" t="str">
        <f>"95/12/10"</f>
        <v>95/12/10</v>
      </c>
      <c r="AE1399" s="1" t="str">
        <f t="shared" si="361"/>
        <v>اختتام</v>
      </c>
      <c r="AF1399" s="1" t="str">
        <f>""</f>
        <v/>
      </c>
      <c r="AG1399" s="1" t="str">
        <f>""</f>
        <v/>
      </c>
      <c r="AH1399" s="1" t="str">
        <f>""</f>
        <v/>
      </c>
      <c r="AI1399" s="1" t="str">
        <f>""</f>
        <v/>
      </c>
      <c r="AJ1399" s="1" t="str">
        <f>""</f>
        <v/>
      </c>
      <c r="AK1399" s="1" t="str">
        <f>""</f>
        <v/>
      </c>
    </row>
    <row r="1400" spans="1:37" x14ac:dyDescent="0.2">
      <c r="A1400" s="1">
        <v>75000</v>
      </c>
      <c r="B1400" s="1">
        <v>952000022</v>
      </c>
      <c r="C1400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1400" s="1">
        <v>6426</v>
      </c>
      <c r="E1400" s="1">
        <v>74740</v>
      </c>
      <c r="F1400" s="1">
        <v>95</v>
      </c>
      <c r="G1400" s="1">
        <v>260</v>
      </c>
      <c r="H1400" s="1" t="str">
        <f>"95/05/27"</f>
        <v>95/05/27</v>
      </c>
      <c r="I1400" s="1" t="str">
        <f t="shared" si="344"/>
        <v>كيلوگرم</v>
      </c>
      <c r="J1400" s="1" t="str">
        <f t="shared" si="362"/>
        <v>1000000002</v>
      </c>
      <c r="K1400" s="1" t="str">
        <f t="shared" si="363"/>
        <v>قير 85/100 - فله</v>
      </c>
      <c r="L1400" s="1">
        <v>100</v>
      </c>
      <c r="M1400" s="1" t="str">
        <f t="shared" si="347"/>
        <v>مخازن قير اصفهان</v>
      </c>
      <c r="N1400" s="1">
        <v>11154</v>
      </c>
      <c r="O1400" s="1">
        <v>50031569</v>
      </c>
      <c r="P1400" s="1" t="str">
        <f>"  شهرداري چليچه"</f>
        <v xml:space="preserve">  شهرداري چليچه</v>
      </c>
      <c r="Q1400" s="1">
        <v>20</v>
      </c>
      <c r="R1400" s="1" t="str">
        <f>"فروش داخلي - سازمان شهرداري ها و دهياري هاي كشور"</f>
        <v>فروش داخلي - سازمان شهرداري ها و دهياري هاي كشور</v>
      </c>
      <c r="S1400" s="1" t="str">
        <f t="shared" si="345"/>
        <v>قرارداد فروش</v>
      </c>
      <c r="T1400" s="1" t="str">
        <f t="shared" si="346"/>
        <v>ندارد</v>
      </c>
      <c r="U1400" s="1" t="str">
        <f>"قره باغي مجيد(1871065)"</f>
        <v>قره باغي مجيد(1871065)</v>
      </c>
      <c r="V1400" s="1">
        <v>952000022</v>
      </c>
      <c r="W1400" s="1">
        <v>952000022</v>
      </c>
      <c r="X1400" s="1" t="str">
        <f>"1395423681"</f>
        <v>1395423681</v>
      </c>
      <c r="Y1400" s="1" t="str">
        <f>"95/05/25"</f>
        <v>95/05/25</v>
      </c>
      <c r="Z1400" s="1" t="str">
        <f>"18872"</f>
        <v>18872</v>
      </c>
      <c r="AA1400" s="1" t="str">
        <f>"شهرداريها"</f>
        <v>شهرداريها</v>
      </c>
      <c r="AB1400" s="1" t="str">
        <f>"95/05/03"</f>
        <v>95/05/03</v>
      </c>
      <c r="AC1400" s="1" t="str">
        <f>"استان اصفهان"</f>
        <v>استان اصفهان</v>
      </c>
      <c r="AD1400" s="1" t="str">
        <f>"95/05/24"</f>
        <v>95/05/24</v>
      </c>
      <c r="AE1400" s="1" t="str">
        <f t="shared" si="361"/>
        <v>اختتام</v>
      </c>
      <c r="AF1400" s="1" t="str">
        <f>""</f>
        <v/>
      </c>
      <c r="AG1400" s="1" t="str">
        <f>""</f>
        <v/>
      </c>
      <c r="AH1400" s="1" t="str">
        <f>""</f>
        <v/>
      </c>
      <c r="AI1400" s="1" t="str">
        <f>""</f>
        <v/>
      </c>
      <c r="AJ1400" s="1" t="str">
        <f>""</f>
        <v/>
      </c>
      <c r="AK1400" s="1" t="str">
        <f>""</f>
        <v/>
      </c>
    </row>
    <row r="1401" spans="1:37" x14ac:dyDescent="0.2">
      <c r="A1401" s="1">
        <v>74000</v>
      </c>
      <c r="B1401" s="1">
        <v>952000206</v>
      </c>
      <c r="C1401" s="1" t="str">
        <f>"تخليه - شهرکرد- فارسان-چليچه-کارخانه آسفالت جاسم احمدي"</f>
        <v>تخليه - شهرکرد- فارسان-چليچه-کارخانه آسفالت جاسم احمدي</v>
      </c>
      <c r="D1401" s="1">
        <v>8023</v>
      </c>
      <c r="E1401" s="1">
        <v>71600</v>
      </c>
      <c r="F1401" s="1">
        <v>95</v>
      </c>
      <c r="G1401" s="1">
        <v>2400</v>
      </c>
      <c r="H1401" s="1" t="str">
        <f>"95/08/16"</f>
        <v>95/08/16</v>
      </c>
      <c r="I1401" s="1" t="str">
        <f t="shared" si="344"/>
        <v>كيلوگرم</v>
      </c>
      <c r="J1401" s="1" t="str">
        <f t="shared" si="362"/>
        <v>1000000002</v>
      </c>
      <c r="K1401" s="1" t="str">
        <f t="shared" si="363"/>
        <v>قير 85/100 - فله</v>
      </c>
      <c r="L1401" s="1">
        <v>100</v>
      </c>
      <c r="M1401" s="1" t="str">
        <f t="shared" si="347"/>
        <v>مخازن قير اصفهان</v>
      </c>
      <c r="N1401" s="1">
        <v>11154</v>
      </c>
      <c r="O1401" s="1">
        <v>50032513</v>
      </c>
      <c r="P1401" s="1" t="str">
        <f>"  شهرداري چليچه"</f>
        <v xml:space="preserve">  شهرداري چليچه</v>
      </c>
      <c r="Q1401" s="1">
        <v>20</v>
      </c>
      <c r="R1401" s="1" t="str">
        <f>"فروش داخلي - سازمان شهرداري ها و دهياري هاي كشور"</f>
        <v>فروش داخلي - سازمان شهرداري ها و دهياري هاي كشور</v>
      </c>
      <c r="S1401" s="1" t="str">
        <f t="shared" si="345"/>
        <v>قرارداد فروش</v>
      </c>
      <c r="T1401" s="1" t="str">
        <f t="shared" si="346"/>
        <v>ندارد</v>
      </c>
      <c r="U1401" s="1" t="str">
        <f>"قره باغي مجيد(1871065)"</f>
        <v>قره باغي مجيد(1871065)</v>
      </c>
      <c r="V1401" s="1">
        <v>952000206</v>
      </c>
      <c r="W1401" s="1">
        <v>952000206</v>
      </c>
      <c r="X1401" s="1" t="str">
        <f>"1395443205"</f>
        <v>1395443205</v>
      </c>
      <c r="Y1401" s="1" t="str">
        <f>"95/08/16"</f>
        <v>95/08/16</v>
      </c>
      <c r="Z1401" s="1" t="str">
        <f>"39407"</f>
        <v>39407</v>
      </c>
      <c r="AA1401" s="1" t="str">
        <f>"شهرداريها"</f>
        <v>شهرداريها</v>
      </c>
      <c r="AB1401" s="1" t="str">
        <f>"95/08/11"</f>
        <v>95/08/11</v>
      </c>
      <c r="AC1401" s="1" t="str">
        <f>"استان چهارمحال بختياري"</f>
        <v>استان چهارمحال بختياري</v>
      </c>
      <c r="AD1401" s="1" t="str">
        <f>"95/08/15"</f>
        <v>95/08/15</v>
      </c>
      <c r="AE1401" s="1" t="str">
        <f t="shared" si="361"/>
        <v>اختتام</v>
      </c>
      <c r="AF1401" s="1" t="str">
        <f>""</f>
        <v/>
      </c>
      <c r="AG1401" s="1" t="str">
        <f>""</f>
        <v/>
      </c>
      <c r="AH1401" s="1" t="str">
        <f>""</f>
        <v/>
      </c>
      <c r="AI1401" s="1" t="str">
        <f>""</f>
        <v/>
      </c>
      <c r="AJ1401" s="1" t="str">
        <f>""</f>
        <v/>
      </c>
      <c r="AK1401" s="1" t="str">
        <f>""</f>
        <v/>
      </c>
    </row>
    <row r="1402" spans="1:37" x14ac:dyDescent="0.2">
      <c r="A1402" s="1">
        <v>111000</v>
      </c>
      <c r="B1402" s="1">
        <v>952000211</v>
      </c>
      <c r="C1402" s="1" t="str">
        <f>"تخليه - چهارمحال و بختياري - سامان-روبروي ايستگاه پليس راه سامان-شهرکرد"</f>
        <v>تخليه - چهارمحال و بختياري - سامان-روبروي ايستگاه پليس راه سامان-شهرکرد</v>
      </c>
      <c r="D1402" s="1">
        <v>8023</v>
      </c>
      <c r="E1402" s="1">
        <v>110440</v>
      </c>
      <c r="F1402" s="1">
        <v>95</v>
      </c>
      <c r="G1402" s="1">
        <v>560</v>
      </c>
      <c r="H1402" s="1" t="str">
        <f>"95/08/16"</f>
        <v>95/08/16</v>
      </c>
      <c r="I1402" s="1" t="str">
        <f t="shared" si="344"/>
        <v>كيلوگرم</v>
      </c>
      <c r="J1402" s="1" t="str">
        <f t="shared" si="362"/>
        <v>1000000002</v>
      </c>
      <c r="K1402" s="1" t="str">
        <f t="shared" si="363"/>
        <v>قير 85/100 - فله</v>
      </c>
      <c r="L1402" s="1">
        <v>100</v>
      </c>
      <c r="M1402" s="1" t="str">
        <f t="shared" si="347"/>
        <v>مخازن قير اصفهان</v>
      </c>
      <c r="N1402" s="1">
        <v>11157</v>
      </c>
      <c r="O1402" s="1">
        <v>50032523</v>
      </c>
      <c r="P1402" s="1" t="str">
        <f>"  شهرداري سورشجان"</f>
        <v xml:space="preserve">  شهرداري سورشجان</v>
      </c>
      <c r="Q1402" s="1">
        <v>20</v>
      </c>
      <c r="R1402" s="1" t="str">
        <f>"فروش داخلي - سازمان شهرداري ها و دهياري هاي كشور"</f>
        <v>فروش داخلي - سازمان شهرداري ها و دهياري هاي كشور</v>
      </c>
      <c r="S1402" s="1" t="str">
        <f t="shared" si="345"/>
        <v>قرارداد فروش</v>
      </c>
      <c r="T1402" s="1" t="str">
        <f t="shared" si="346"/>
        <v>ندارد</v>
      </c>
      <c r="U1402" s="1" t="str">
        <f>"سيفي پور گودرز(1019ج89)"</f>
        <v>سيفي پور گودرز(1019ج89)</v>
      </c>
      <c r="V1402" s="1">
        <v>952000211</v>
      </c>
      <c r="W1402" s="1">
        <v>952000211</v>
      </c>
      <c r="X1402" s="1" t="str">
        <f>"1395443205"</f>
        <v>1395443205</v>
      </c>
      <c r="Y1402" s="1" t="str">
        <f>"95/08/16"</f>
        <v>95/08/16</v>
      </c>
      <c r="Z1402" s="1" t="str">
        <f>"39321"</f>
        <v>39321</v>
      </c>
      <c r="AA1402" s="1" t="str">
        <f>"شهرداريها"</f>
        <v>شهرداريها</v>
      </c>
      <c r="AB1402" s="1" t="str">
        <f>"95/08/11"</f>
        <v>95/08/11</v>
      </c>
      <c r="AC1402" s="1" t="str">
        <f>"استان چهارمحال بختياري"</f>
        <v>استان چهارمحال بختياري</v>
      </c>
      <c r="AD1402" s="1" t="str">
        <f>"95/08/15"</f>
        <v>95/08/15</v>
      </c>
      <c r="AE1402" s="1" t="str">
        <f t="shared" si="361"/>
        <v>اختتام</v>
      </c>
      <c r="AF1402" s="1" t="str">
        <f>""</f>
        <v/>
      </c>
      <c r="AG1402" s="1" t="str">
        <f>""</f>
        <v/>
      </c>
      <c r="AH1402" s="1" t="str">
        <f>""</f>
        <v/>
      </c>
      <c r="AI1402" s="1" t="str">
        <f>""</f>
        <v/>
      </c>
      <c r="AJ1402" s="1" t="str">
        <f>""</f>
        <v/>
      </c>
      <c r="AK1402" s="1" t="str">
        <f>""</f>
        <v/>
      </c>
    </row>
    <row r="1403" spans="1:37" x14ac:dyDescent="0.2">
      <c r="A1403" s="1">
        <v>44000</v>
      </c>
      <c r="B1403" s="1">
        <v>956200079</v>
      </c>
      <c r="C1403" s="1" t="str">
        <f>" تخليه - چهارمحال - فارسان-شهرچليچه-کارخانه آسفالت احمدي"</f>
        <v xml:space="preserve"> تخليه - چهارمحال - فارسان-شهرچليچه-کارخانه آسفالت احمدي</v>
      </c>
      <c r="D1403" s="1">
        <v>6976</v>
      </c>
      <c r="E1403" s="1">
        <v>43400</v>
      </c>
      <c r="F1403" s="1">
        <v>95</v>
      </c>
      <c r="G1403" s="1">
        <v>600</v>
      </c>
      <c r="H1403" s="1" t="str">
        <f>"95/07/05"</f>
        <v>95/07/05</v>
      </c>
      <c r="I1403" s="1" t="str">
        <f t="shared" si="344"/>
        <v>كيلوگرم</v>
      </c>
      <c r="J1403" s="1" t="str">
        <f t="shared" si="362"/>
        <v>1000000002</v>
      </c>
      <c r="K1403" s="1" t="str">
        <f t="shared" si="363"/>
        <v>قير 85/100 - فله</v>
      </c>
      <c r="L1403" s="1">
        <v>100</v>
      </c>
      <c r="M1403" s="1" t="str">
        <f t="shared" si="347"/>
        <v>مخازن قير اصفهان</v>
      </c>
      <c r="N1403" s="1">
        <v>11186</v>
      </c>
      <c r="O1403" s="1">
        <v>50031945</v>
      </c>
      <c r="P1403" s="1" t="str">
        <f>"  نبرد بتن فارسان"</f>
        <v xml:space="preserve">  نبرد بتن فارسان</v>
      </c>
      <c r="Q1403" s="1">
        <v>62</v>
      </c>
      <c r="R1403" s="1" t="str">
        <f>"فروش داخلي - سازمان بنيادمسكن انقلاب اسلامي"</f>
        <v>فروش داخلي - سازمان بنيادمسكن انقلاب اسلامي</v>
      </c>
      <c r="S1403" s="1" t="str">
        <f t="shared" si="345"/>
        <v>قرارداد فروش</v>
      </c>
      <c r="T1403" s="1" t="str">
        <f t="shared" si="346"/>
        <v>ندارد</v>
      </c>
      <c r="U1403" s="1" t="str">
        <f>"قره باغي مجيد(1871065)"</f>
        <v>قره باغي مجيد(1871065)</v>
      </c>
      <c r="V1403" s="1">
        <v>956200079</v>
      </c>
      <c r="W1403" s="1">
        <v>956200079</v>
      </c>
      <c r="X1403" s="1" t="str">
        <f>"1395433646"</f>
        <v>1395433646</v>
      </c>
      <c r="Y1403" s="1" t="str">
        <f>"95/07/05"</f>
        <v>95/07/05</v>
      </c>
      <c r="Z1403" s="1" t="str">
        <f>"26578/د"</f>
        <v>26578/د</v>
      </c>
      <c r="AA1403" s="1" t="str">
        <f>"بنيادمسكن انقلاب اسلامي"</f>
        <v>بنيادمسكن انقلاب اسلامي</v>
      </c>
      <c r="AB1403" s="1" t="str">
        <f>"95/06/28"</f>
        <v>95/06/28</v>
      </c>
      <c r="AC1403" s="1" t="str">
        <f>"استان چهارمحال بختياري"</f>
        <v>استان چهارمحال بختياري</v>
      </c>
      <c r="AD1403" s="1" t="str">
        <f>"95/07/04"</f>
        <v>95/07/04</v>
      </c>
      <c r="AE1403" s="1" t="str">
        <f t="shared" si="361"/>
        <v>اختتام</v>
      </c>
      <c r="AF1403" s="1" t="str">
        <f>""</f>
        <v/>
      </c>
      <c r="AG1403" s="1" t="str">
        <f>""</f>
        <v/>
      </c>
      <c r="AH1403" s="1" t="str">
        <f>""</f>
        <v/>
      </c>
      <c r="AI1403" s="1" t="str">
        <f>""</f>
        <v/>
      </c>
      <c r="AJ1403" s="1" t="str">
        <f>""</f>
        <v/>
      </c>
      <c r="AK1403" s="1" t="str">
        <f>""</f>
        <v/>
      </c>
    </row>
    <row r="1404" spans="1:37" x14ac:dyDescent="0.2">
      <c r="A1404" s="1">
        <v>85000</v>
      </c>
      <c r="B1404" s="1">
        <v>956200097</v>
      </c>
      <c r="C1404" s="1" t="str">
        <f>" تخليه - چهارمحال - فارسان-شهرچليچه-کارخانه آسفالت احمدي"</f>
        <v xml:space="preserve"> تخليه - چهارمحال - فارسان-شهرچليچه-کارخانه آسفالت احمدي</v>
      </c>
      <c r="D1404" s="1">
        <v>8023</v>
      </c>
      <c r="E1404" s="1">
        <v>84700</v>
      </c>
      <c r="F1404" s="1">
        <v>95</v>
      </c>
      <c r="G1404" s="1">
        <v>300</v>
      </c>
      <c r="H1404" s="1" t="str">
        <f>"95/08/22"</f>
        <v>95/08/22</v>
      </c>
      <c r="I1404" s="1" t="str">
        <f t="shared" si="344"/>
        <v>كيلوگرم</v>
      </c>
      <c r="J1404" s="1" t="str">
        <f t="shared" si="362"/>
        <v>1000000002</v>
      </c>
      <c r="K1404" s="1" t="str">
        <f t="shared" si="363"/>
        <v>قير 85/100 - فله</v>
      </c>
      <c r="L1404" s="1">
        <v>100</v>
      </c>
      <c r="M1404" s="1" t="str">
        <f t="shared" si="347"/>
        <v>مخازن قير اصفهان</v>
      </c>
      <c r="N1404" s="1">
        <v>11186</v>
      </c>
      <c r="O1404" s="1">
        <v>50032586</v>
      </c>
      <c r="P1404" s="1" t="str">
        <f>"  نبرد بتن فارسان"</f>
        <v xml:space="preserve">  نبرد بتن فارسان</v>
      </c>
      <c r="Q1404" s="1">
        <v>62</v>
      </c>
      <c r="R1404" s="1" t="str">
        <f>"فروش داخلي - سازمان بنيادمسكن انقلاب اسلامي"</f>
        <v>فروش داخلي - سازمان بنيادمسكن انقلاب اسلامي</v>
      </c>
      <c r="S1404" s="1" t="str">
        <f t="shared" si="345"/>
        <v>قرارداد فروش</v>
      </c>
      <c r="T1404" s="1" t="str">
        <f t="shared" si="346"/>
        <v>ندارد</v>
      </c>
      <c r="U1404" s="1" t="str">
        <f>"قره باغي مجيد(1871065)"</f>
        <v>قره باغي مجيد(1871065)</v>
      </c>
      <c r="V1404" s="1">
        <v>956200097</v>
      </c>
      <c r="W1404" s="1">
        <v>956200097</v>
      </c>
      <c r="X1404" s="1" t="str">
        <f>"1395444762"</f>
        <v>1395444762</v>
      </c>
      <c r="Y1404" s="1" t="str">
        <f>"95/08/22"</f>
        <v>95/08/22</v>
      </c>
      <c r="Z1404" s="1" t="str">
        <f>"35133/د"</f>
        <v>35133/د</v>
      </c>
      <c r="AA1404" s="1" t="str">
        <f>"بنيادمسكن انقلاب اسلامي"</f>
        <v>بنيادمسكن انقلاب اسلامي</v>
      </c>
      <c r="AB1404" s="1" t="str">
        <f>"95/08/19"</f>
        <v>95/08/19</v>
      </c>
      <c r="AC1404" s="1" t="str">
        <f>"استان چهارمحال بختياري"</f>
        <v>استان چهارمحال بختياري</v>
      </c>
      <c r="AD1404" s="1" t="str">
        <f>"95/08/22"</f>
        <v>95/08/22</v>
      </c>
      <c r="AE1404" s="1" t="str">
        <f t="shared" si="361"/>
        <v>اختتام</v>
      </c>
      <c r="AF1404" s="1" t="str">
        <f>""</f>
        <v/>
      </c>
      <c r="AG1404" s="1" t="str">
        <f>""</f>
        <v/>
      </c>
      <c r="AH1404" s="1" t="str">
        <f>""</f>
        <v/>
      </c>
      <c r="AI1404" s="1" t="str">
        <f>""</f>
        <v/>
      </c>
      <c r="AJ1404" s="1" t="str">
        <f>""</f>
        <v/>
      </c>
      <c r="AK1404" s="1" t="str">
        <f>""</f>
        <v/>
      </c>
    </row>
    <row r="1405" spans="1:37" x14ac:dyDescent="0.2">
      <c r="A1405" s="1">
        <v>89000</v>
      </c>
      <c r="B1405" s="1">
        <v>956200147</v>
      </c>
      <c r="C1405" s="1" t="str">
        <f>"تخليه -چهارمحال و بختياري-لردگان-جاده خوزستان-شرکت لردگان آسفالت"</f>
        <v>تخليه -چهارمحال و بختياري-لردگان-جاده خوزستان-شرکت لردگان آسفالت</v>
      </c>
      <c r="D1405" s="1">
        <v>8861</v>
      </c>
      <c r="E1405" s="1">
        <v>88400</v>
      </c>
      <c r="F1405" s="1">
        <v>95</v>
      </c>
      <c r="G1405" s="1">
        <v>600</v>
      </c>
      <c r="H1405" s="1" t="str">
        <f>"95/10/19"</f>
        <v>95/10/19</v>
      </c>
      <c r="I1405" s="1" t="str">
        <f t="shared" si="344"/>
        <v>كيلوگرم</v>
      </c>
      <c r="J1405" s="1" t="str">
        <f t="shared" si="362"/>
        <v>1000000002</v>
      </c>
      <c r="K1405" s="1" t="str">
        <f t="shared" si="363"/>
        <v>قير 85/100 - فله</v>
      </c>
      <c r="L1405" s="1">
        <v>100</v>
      </c>
      <c r="M1405" s="1" t="str">
        <f t="shared" si="347"/>
        <v>مخازن قير اصفهان</v>
      </c>
      <c r="N1405" s="1">
        <v>11232</v>
      </c>
      <c r="O1405" s="1">
        <v>50033332</v>
      </c>
      <c r="P1405" s="1" t="str">
        <f>"  بهتا بتون سپاهان"</f>
        <v xml:space="preserve">  بهتا بتون سپاهان</v>
      </c>
      <c r="Q1405" s="1">
        <v>62</v>
      </c>
      <c r="R1405" s="1" t="str">
        <f>"فروش داخلي - سازمان بنيادمسكن انقلاب اسلامي"</f>
        <v>فروش داخلي - سازمان بنيادمسكن انقلاب اسلامي</v>
      </c>
      <c r="S1405" s="1" t="str">
        <f t="shared" si="345"/>
        <v>قرارداد فروش</v>
      </c>
      <c r="T1405" s="1" t="str">
        <f t="shared" si="346"/>
        <v>ندارد</v>
      </c>
      <c r="U1405" s="1" t="str">
        <f>"فتحي حميد(1901090)"</f>
        <v>فتحي حميد(1901090)</v>
      </c>
      <c r="V1405" s="1">
        <v>956200147</v>
      </c>
      <c r="W1405" s="1">
        <v>956200147</v>
      </c>
      <c r="X1405" s="1" t="str">
        <f>"1395457633"</f>
        <v>1395457633</v>
      </c>
      <c r="Y1405" s="1" t="str">
        <f>"95/10/19"</f>
        <v>95/10/19</v>
      </c>
      <c r="Z1405" s="1" t="str">
        <f>"44486/د"</f>
        <v>44486/د</v>
      </c>
      <c r="AA1405" s="1" t="str">
        <f>"بنيادمسكن انقلاب اسلامي"</f>
        <v>بنيادمسكن انقلاب اسلامي</v>
      </c>
      <c r="AB1405" s="1" t="str">
        <f>"95/10/19"</f>
        <v>95/10/19</v>
      </c>
      <c r="AC1405" s="1" t="str">
        <f>"استان چهارمحال بختياري"</f>
        <v>استان چهارمحال بختياري</v>
      </c>
      <c r="AD1405" s="1" t="str">
        <f>"95/10/19"</f>
        <v>95/10/19</v>
      </c>
      <c r="AE1405" s="1" t="str">
        <f t="shared" si="361"/>
        <v>اختتام</v>
      </c>
      <c r="AF1405" s="1" t="str">
        <f>""</f>
        <v/>
      </c>
      <c r="AG1405" s="1" t="str">
        <f>""</f>
        <v/>
      </c>
      <c r="AH1405" s="1" t="str">
        <f>""</f>
        <v/>
      </c>
      <c r="AI1405" s="1" t="str">
        <f>""</f>
        <v/>
      </c>
      <c r="AJ1405" s="1" t="str">
        <f>""</f>
        <v/>
      </c>
      <c r="AK1405" s="1" t="str">
        <f>""</f>
        <v/>
      </c>
    </row>
    <row r="1406" spans="1:37" x14ac:dyDescent="0.2">
      <c r="A1406" s="1">
        <v>74000</v>
      </c>
      <c r="B1406" s="1">
        <v>952000037</v>
      </c>
      <c r="C1406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1406" s="1">
        <v>6876</v>
      </c>
      <c r="E1406" s="1">
        <v>72640</v>
      </c>
      <c r="F1406" s="1">
        <v>95</v>
      </c>
      <c r="G1406" s="1">
        <v>1360</v>
      </c>
      <c r="H1406" s="1" t="str">
        <f>"95/06/07"</f>
        <v>95/06/07</v>
      </c>
      <c r="I1406" s="1" t="str">
        <f t="shared" si="344"/>
        <v>كيلوگرم</v>
      </c>
      <c r="J1406" s="1" t="str">
        <f>"0000000076"</f>
        <v>0000000076</v>
      </c>
      <c r="K1406" s="1" t="str">
        <f>"قير 60/70 - فله"</f>
        <v>قير 60/70 - فله</v>
      </c>
      <c r="L1406" s="1">
        <v>100</v>
      </c>
      <c r="M1406" s="1" t="str">
        <f t="shared" si="347"/>
        <v>مخازن قير اصفهان</v>
      </c>
      <c r="N1406" s="1">
        <v>10046</v>
      </c>
      <c r="O1406" s="1">
        <v>50031674</v>
      </c>
      <c r="P1406" s="1" t="str">
        <f>"  شهرداري نيك آباد"</f>
        <v xml:space="preserve">  شهرداري نيك آباد</v>
      </c>
      <c r="Q1406" s="1">
        <v>20</v>
      </c>
      <c r="R1406" s="1" t="str">
        <f>"فروش داخلي - سازمان شهرداري ها و دهياري هاي كشور"</f>
        <v>فروش داخلي - سازمان شهرداري ها و دهياري هاي كشور</v>
      </c>
      <c r="S1406" s="1" t="str">
        <f t="shared" si="345"/>
        <v>قرارداد فروش</v>
      </c>
      <c r="T1406" s="1" t="str">
        <f t="shared" si="346"/>
        <v>ندارد</v>
      </c>
      <c r="U1406" s="1" t="str">
        <f>"علي عابدي ابوالقاسم(1003ج89)"</f>
        <v>علي عابدي ابوالقاسم(1003ج89)</v>
      </c>
      <c r="V1406" s="1">
        <v>952000037</v>
      </c>
      <c r="W1406" s="1">
        <v>952000037</v>
      </c>
      <c r="X1406" s="1" t="str">
        <f>"1395426944"</f>
        <v>1395426944</v>
      </c>
      <c r="Y1406" s="1" t="str">
        <f>"95/06/07"</f>
        <v>95/06/07</v>
      </c>
      <c r="Z1406" s="1" t="str">
        <f>"23546"</f>
        <v>23546</v>
      </c>
      <c r="AA1406" s="1" t="str">
        <f>"شهرداريها"</f>
        <v>شهرداريها</v>
      </c>
      <c r="AB1406" s="1" t="str">
        <f>"95/05/25"</f>
        <v>95/05/25</v>
      </c>
      <c r="AC1406" s="1" t="str">
        <f>"استان اصفهان"</f>
        <v>استان اصفهان</v>
      </c>
      <c r="AD1406" s="1" t="str">
        <f>"95/06/06"</f>
        <v>95/06/06</v>
      </c>
      <c r="AE1406" s="1" t="str">
        <f t="shared" si="361"/>
        <v>اختتام</v>
      </c>
      <c r="AF1406" s="1" t="str">
        <f>""</f>
        <v/>
      </c>
      <c r="AG1406" s="1" t="str">
        <f>""</f>
        <v/>
      </c>
      <c r="AH1406" s="1" t="str">
        <f>""</f>
        <v/>
      </c>
      <c r="AI1406" s="1" t="str">
        <f>""</f>
        <v/>
      </c>
      <c r="AJ1406" s="1" t="str">
        <f>""</f>
        <v/>
      </c>
      <c r="AK1406" s="1" t="str">
        <f>""</f>
        <v/>
      </c>
    </row>
    <row r="1407" spans="1:37" x14ac:dyDescent="0.2">
      <c r="A1407" s="1">
        <v>69000</v>
      </c>
      <c r="B1407" s="1">
        <v>952000127</v>
      </c>
      <c r="C1407" s="1" t="str">
        <f>"تخليه -اصفهان كيلومتر125محوراصفهان نائين شركت توليدآسفالت نوژان خشت"</f>
        <v>تخليه -اصفهان كيلومتر125محوراصفهان نائين شركت توليدآسفالت نوژان خشت</v>
      </c>
      <c r="D1407" s="1">
        <v>6976</v>
      </c>
      <c r="E1407" s="1">
        <v>69000</v>
      </c>
      <c r="F1407" s="1">
        <v>95</v>
      </c>
      <c r="G1407" s="1">
        <v>0</v>
      </c>
      <c r="H1407" s="1" t="str">
        <f>"95/07/11"</f>
        <v>95/07/11</v>
      </c>
      <c r="I1407" s="1" t="str">
        <f t="shared" si="344"/>
        <v>كيلوگرم</v>
      </c>
      <c r="J1407" s="1" t="str">
        <f>"0000000076"</f>
        <v>0000000076</v>
      </c>
      <c r="K1407" s="1" t="str">
        <f>"قير 60/70 - فله"</f>
        <v>قير 60/70 - فله</v>
      </c>
      <c r="L1407" s="1">
        <v>100</v>
      </c>
      <c r="M1407" s="1" t="str">
        <f t="shared" si="347"/>
        <v>مخازن قير اصفهان</v>
      </c>
      <c r="N1407" s="1">
        <v>10052</v>
      </c>
      <c r="O1407" s="1">
        <v>50032052</v>
      </c>
      <c r="P1407" s="1" t="str">
        <f>"  شهرداري كوهپايه"</f>
        <v xml:space="preserve">  شهرداري كوهپايه</v>
      </c>
      <c r="Q1407" s="1">
        <v>20</v>
      </c>
      <c r="R1407" s="1" t="str">
        <f>"فروش داخلي - سازمان شهرداري ها و دهياري هاي كشور"</f>
        <v>فروش داخلي - سازمان شهرداري ها و دهياري هاي كشور</v>
      </c>
      <c r="S1407" s="1" t="str">
        <f t="shared" si="345"/>
        <v>قرارداد فروش</v>
      </c>
      <c r="T1407" s="1" t="str">
        <f t="shared" si="346"/>
        <v>ندارد</v>
      </c>
      <c r="U1407" s="1" t="str">
        <f>"ريسماني حسن(1007ج89)"</f>
        <v>ريسماني حسن(1007ج89)</v>
      </c>
      <c r="V1407" s="1">
        <v>952000127</v>
      </c>
      <c r="W1407" s="1">
        <v>952000127</v>
      </c>
      <c r="X1407" s="1" t="str">
        <f>"1395435297"</f>
        <v>1395435297</v>
      </c>
      <c r="Y1407" s="1" t="str">
        <f>"95/07/11"</f>
        <v>95/07/11</v>
      </c>
      <c r="Z1407" s="1" t="str">
        <f>"27722"</f>
        <v>27722</v>
      </c>
      <c r="AA1407" s="1" t="str">
        <f>"شهرداريها"</f>
        <v>شهرداريها</v>
      </c>
      <c r="AB1407" s="1" t="str">
        <f>"95/06/10"</f>
        <v>95/06/10</v>
      </c>
      <c r="AC1407" s="1" t="str">
        <f>"استان اصفهان"</f>
        <v>استان اصفهان</v>
      </c>
      <c r="AD1407" s="1" t="str">
        <f>"95/07/11"</f>
        <v>95/07/11</v>
      </c>
      <c r="AE1407" s="1" t="str">
        <f t="shared" si="361"/>
        <v>اختتام</v>
      </c>
      <c r="AF1407" s="1" t="str">
        <f>""</f>
        <v/>
      </c>
      <c r="AG1407" s="1" t="str">
        <f>""</f>
        <v/>
      </c>
      <c r="AH1407" s="1" t="str">
        <f>""</f>
        <v/>
      </c>
      <c r="AI1407" s="1" t="str">
        <f>""</f>
        <v/>
      </c>
      <c r="AJ1407" s="1" t="str">
        <f>""</f>
        <v/>
      </c>
      <c r="AK1407" s="1" t="str">
        <f>""</f>
        <v/>
      </c>
    </row>
    <row r="1408" spans="1:37" x14ac:dyDescent="0.2">
      <c r="A1408" s="1">
        <v>334000</v>
      </c>
      <c r="B1408" s="1">
        <v>956200185</v>
      </c>
      <c r="C1408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408" s="1">
        <v>9361</v>
      </c>
      <c r="E1408" s="1">
        <v>334000</v>
      </c>
      <c r="F1408" s="1">
        <v>95</v>
      </c>
      <c r="G1408" s="1">
        <v>0</v>
      </c>
      <c r="H1408" s="1" t="str">
        <f>"95/11/06"</f>
        <v>95/11/06</v>
      </c>
      <c r="I1408" s="1" t="str">
        <f t="shared" si="344"/>
        <v>كيلوگرم</v>
      </c>
      <c r="J1408" s="1" t="str">
        <f>"1000000002"</f>
        <v>1000000002</v>
      </c>
      <c r="K1408" s="1" t="str">
        <f>"قير 85/100 - فله"</f>
        <v>قير 85/100 - فله</v>
      </c>
      <c r="L1408" s="1">
        <v>100</v>
      </c>
      <c r="M1408" s="1" t="str">
        <f t="shared" si="347"/>
        <v>مخازن قير اصفهان</v>
      </c>
      <c r="N1408" s="1">
        <v>11237</v>
      </c>
      <c r="O1408" s="1">
        <v>50033545</v>
      </c>
      <c r="P1408" s="1" t="str">
        <f>"  بنياد مسکن انقلاب اسلامي زنجان"</f>
        <v xml:space="preserve">  بنياد مسکن انقلاب اسلامي زنجان</v>
      </c>
      <c r="Q1408" s="1">
        <v>62</v>
      </c>
      <c r="R1408" s="1" t="str">
        <f t="shared" ref="R1408:R1414" si="364">"فروش داخلي - سازمان بنيادمسكن انقلاب اسلامي"</f>
        <v>فروش داخلي - سازمان بنيادمسكن انقلاب اسلامي</v>
      </c>
      <c r="S1408" s="1" t="str">
        <f t="shared" si="345"/>
        <v>قرارداد فروش</v>
      </c>
      <c r="T1408" s="1" t="str">
        <f t="shared" si="346"/>
        <v>ندارد</v>
      </c>
      <c r="U1408" s="1" t="str">
        <f>"فتاح زاده سيداحمد(3843011)"</f>
        <v>فتاح زاده سيداحمد(3843011)</v>
      </c>
      <c r="V1408" s="1">
        <v>956200185</v>
      </c>
      <c r="W1408" s="1">
        <v>956200185</v>
      </c>
      <c r="X1408" s="1" t="str">
        <f>"1395461166"</f>
        <v>1395461166</v>
      </c>
      <c r="Y1408" s="1" t="str">
        <f>"95/11/06"</f>
        <v>95/11/06</v>
      </c>
      <c r="Z1408" s="1" t="str">
        <f>"47524/د"</f>
        <v>47524/د</v>
      </c>
      <c r="AA1408" s="1" t="str">
        <f t="shared" ref="AA1408:AA1414" si="365">"بنيادمسكن انقلاب اسلامي"</f>
        <v>بنيادمسكن انقلاب اسلامي</v>
      </c>
      <c r="AB1408" s="1" t="str">
        <f>"95/11/05"</f>
        <v>95/11/05</v>
      </c>
      <c r="AC1408" s="1" t="str">
        <f>"استان زنجان"</f>
        <v>استان زنجان</v>
      </c>
      <c r="AD1408" s="1" t="str">
        <f>"95/11/06"</f>
        <v>95/11/06</v>
      </c>
      <c r="AE1408" s="1" t="str">
        <f t="shared" si="361"/>
        <v>اختتام</v>
      </c>
      <c r="AF1408" s="1" t="str">
        <f>""</f>
        <v/>
      </c>
      <c r="AG1408" s="1" t="str">
        <f>""</f>
        <v/>
      </c>
      <c r="AH1408" s="1" t="str">
        <f>""</f>
        <v/>
      </c>
      <c r="AI1408" s="1" t="str">
        <f>""</f>
        <v/>
      </c>
      <c r="AJ1408" s="1" t="str">
        <f>""</f>
        <v/>
      </c>
      <c r="AK1408" s="1" t="str">
        <f>""</f>
        <v/>
      </c>
    </row>
    <row r="1409" spans="1:37" x14ac:dyDescent="0.2">
      <c r="A1409" s="1">
        <v>46000</v>
      </c>
      <c r="B1409" s="1">
        <v>956200188</v>
      </c>
      <c r="C1409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409" s="1">
        <v>9361</v>
      </c>
      <c r="E1409" s="1">
        <v>45420</v>
      </c>
      <c r="F1409" s="1">
        <v>95</v>
      </c>
      <c r="G1409" s="1">
        <v>580</v>
      </c>
      <c r="H1409" s="1" t="str">
        <f>"95/11/13"</f>
        <v>95/11/13</v>
      </c>
      <c r="I1409" s="1" t="str">
        <f t="shared" si="344"/>
        <v>كيلوگرم</v>
      </c>
      <c r="J1409" s="1" t="str">
        <f>"1000000002"</f>
        <v>1000000002</v>
      </c>
      <c r="K1409" s="1" t="str">
        <f>"قير 85/100 - فله"</f>
        <v>قير 85/100 - فله</v>
      </c>
      <c r="L1409" s="1">
        <v>100</v>
      </c>
      <c r="M1409" s="1" t="str">
        <f t="shared" si="347"/>
        <v>مخازن قير اصفهان</v>
      </c>
      <c r="N1409" s="1">
        <v>11237</v>
      </c>
      <c r="O1409" s="1">
        <v>50033578</v>
      </c>
      <c r="P1409" s="1" t="str">
        <f>"  بنياد مسکن انقلاب اسلامي زنجان"</f>
        <v xml:space="preserve">  بنياد مسکن انقلاب اسلامي زنجان</v>
      </c>
      <c r="Q1409" s="1">
        <v>62</v>
      </c>
      <c r="R1409" s="1" t="str">
        <f t="shared" si="364"/>
        <v>فروش داخلي - سازمان بنيادمسكن انقلاب اسلامي</v>
      </c>
      <c r="S1409" s="1" t="str">
        <f t="shared" si="345"/>
        <v>قرارداد فروش</v>
      </c>
      <c r="T1409" s="1" t="str">
        <f t="shared" si="346"/>
        <v>ندارد</v>
      </c>
      <c r="U1409" s="1" t="str">
        <f>"فتاح زاده سيداحمد(3843011)"</f>
        <v>فتاح زاده سيداحمد(3843011)</v>
      </c>
      <c r="V1409" s="1">
        <v>956200188</v>
      </c>
      <c r="W1409" s="1">
        <v>956200188</v>
      </c>
      <c r="X1409" s="1" t="str">
        <f>"1395461991"</f>
        <v>1395461991</v>
      </c>
      <c r="Y1409" s="1" t="str">
        <f>"95/11/13"</f>
        <v>95/11/13</v>
      </c>
      <c r="Z1409" s="1" t="str">
        <f>"48781/د"</f>
        <v>48781/د</v>
      </c>
      <c r="AA1409" s="1" t="str">
        <f t="shared" si="365"/>
        <v>بنيادمسكن انقلاب اسلامي</v>
      </c>
      <c r="AB1409" s="1" t="str">
        <f>"95/11/11"</f>
        <v>95/11/11</v>
      </c>
      <c r="AC1409" s="1" t="str">
        <f>"استان زنجان"</f>
        <v>استان زنجان</v>
      </c>
      <c r="AD1409" s="1" t="str">
        <f>"95/11/12"</f>
        <v>95/11/12</v>
      </c>
      <c r="AE1409" s="1" t="str">
        <f t="shared" si="361"/>
        <v>اختتام</v>
      </c>
      <c r="AF1409" s="1" t="str">
        <f>""</f>
        <v/>
      </c>
      <c r="AG1409" s="1" t="str">
        <f>""</f>
        <v/>
      </c>
      <c r="AH1409" s="1" t="str">
        <f>""</f>
        <v/>
      </c>
      <c r="AI1409" s="1" t="str">
        <f>""</f>
        <v/>
      </c>
      <c r="AJ1409" s="1" t="str">
        <f>""</f>
        <v/>
      </c>
      <c r="AK1409" s="1" t="str">
        <f>""</f>
        <v/>
      </c>
    </row>
    <row r="1410" spans="1:37" x14ac:dyDescent="0.2">
      <c r="A1410" s="1">
        <v>686000</v>
      </c>
      <c r="B1410" s="1">
        <v>956200190</v>
      </c>
      <c r="C1410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410" s="1">
        <v>9361</v>
      </c>
      <c r="E1410" s="1">
        <v>686000</v>
      </c>
      <c r="F1410" s="1">
        <v>95</v>
      </c>
      <c r="G1410" s="1">
        <v>0</v>
      </c>
      <c r="H1410" s="1" t="str">
        <f>"95/11/16"</f>
        <v>95/11/16</v>
      </c>
      <c r="I1410" s="1" t="str">
        <f t="shared" ref="I1410:I1473" si="366">"كيلوگرم"</f>
        <v>كيلوگرم</v>
      </c>
      <c r="J1410" s="1" t="str">
        <f>"1000000002"</f>
        <v>1000000002</v>
      </c>
      <c r="K1410" s="1" t="str">
        <f>"قير 85/100 - فله"</f>
        <v>قير 85/100 - فله</v>
      </c>
      <c r="L1410" s="1">
        <v>100</v>
      </c>
      <c r="M1410" s="1" t="str">
        <f t="shared" si="347"/>
        <v>مخازن قير اصفهان</v>
      </c>
      <c r="N1410" s="1">
        <v>11237</v>
      </c>
      <c r="O1410" s="1">
        <v>50033604</v>
      </c>
      <c r="P1410" s="1" t="str">
        <f>"  بنياد مسکن انقلاب اسلامي زنجان"</f>
        <v xml:space="preserve">  بنياد مسکن انقلاب اسلامي زنجان</v>
      </c>
      <c r="Q1410" s="1">
        <v>62</v>
      </c>
      <c r="R1410" s="1" t="str">
        <f t="shared" si="364"/>
        <v>فروش داخلي - سازمان بنيادمسكن انقلاب اسلامي</v>
      </c>
      <c r="S1410" s="1" t="str">
        <f t="shared" ref="S1410:S1473" si="367">"قرارداد فروش"</f>
        <v>قرارداد فروش</v>
      </c>
      <c r="T1410" s="1" t="str">
        <f t="shared" ref="T1410:T1473" si="368">"ندارد"</f>
        <v>ندارد</v>
      </c>
      <c r="U1410" s="1" t="str">
        <f>"فتاح زاده سيداحمد(3843011)"</f>
        <v>فتاح زاده سيداحمد(3843011)</v>
      </c>
      <c r="V1410" s="1">
        <v>956200190</v>
      </c>
      <c r="W1410" s="1">
        <v>956200190</v>
      </c>
      <c r="X1410" s="1" t="str">
        <f>"1395462880"</f>
        <v>1395462880</v>
      </c>
      <c r="Y1410" s="1" t="str">
        <f>"95/11/16"</f>
        <v>95/11/16</v>
      </c>
      <c r="Z1410" s="1" t="str">
        <f>"49111/د"</f>
        <v>49111/د</v>
      </c>
      <c r="AA1410" s="1" t="str">
        <f t="shared" si="365"/>
        <v>بنيادمسكن انقلاب اسلامي</v>
      </c>
      <c r="AB1410" s="1" t="str">
        <f>"95/11/13"</f>
        <v>95/11/13</v>
      </c>
      <c r="AC1410" s="1" t="str">
        <f>"استان زنجان"</f>
        <v>استان زنجان</v>
      </c>
      <c r="AD1410" s="1" t="str">
        <f>"95/11/16"</f>
        <v>95/11/16</v>
      </c>
      <c r="AE1410" s="1" t="str">
        <f t="shared" si="361"/>
        <v>اختتام</v>
      </c>
      <c r="AF1410" s="1" t="str">
        <f>""</f>
        <v/>
      </c>
      <c r="AG1410" s="1" t="str">
        <f>""</f>
        <v/>
      </c>
      <c r="AH1410" s="1" t="str">
        <f>""</f>
        <v/>
      </c>
      <c r="AI1410" s="1" t="str">
        <f>""</f>
        <v/>
      </c>
      <c r="AJ1410" s="1" t="str">
        <f>""</f>
        <v/>
      </c>
      <c r="AK1410" s="1" t="str">
        <f>""</f>
        <v/>
      </c>
    </row>
    <row r="1411" spans="1:37" x14ac:dyDescent="0.2">
      <c r="A1411" s="1">
        <v>207000</v>
      </c>
      <c r="B1411" s="1">
        <v>956200191</v>
      </c>
      <c r="C1411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1411" s="1">
        <v>9361</v>
      </c>
      <c r="E1411" s="1">
        <v>204940</v>
      </c>
      <c r="F1411" s="1">
        <v>95</v>
      </c>
      <c r="G1411" s="1">
        <v>2060</v>
      </c>
      <c r="H1411" s="1" t="str">
        <f>"95/11/16"</f>
        <v>95/11/16</v>
      </c>
      <c r="I1411" s="1" t="str">
        <f t="shared" si="366"/>
        <v>كيلوگرم</v>
      </c>
      <c r="J1411" s="1" t="str">
        <f>"1000000002"</f>
        <v>1000000002</v>
      </c>
      <c r="K1411" s="1" t="str">
        <f>"قير 85/100 - فله"</f>
        <v>قير 85/100 - فله</v>
      </c>
      <c r="L1411" s="1">
        <v>100</v>
      </c>
      <c r="M1411" s="1" t="str">
        <f t="shared" si="347"/>
        <v>مخازن قير اصفهان</v>
      </c>
      <c r="N1411" s="1">
        <v>11237</v>
      </c>
      <c r="O1411" s="1">
        <v>50033605</v>
      </c>
      <c r="P1411" s="1" t="str">
        <f>"  بنياد مسکن انقلاب اسلامي زنجان"</f>
        <v xml:space="preserve">  بنياد مسکن انقلاب اسلامي زنجان</v>
      </c>
      <c r="Q1411" s="1">
        <v>62</v>
      </c>
      <c r="R1411" s="1" t="str">
        <f t="shared" si="364"/>
        <v>فروش داخلي - سازمان بنيادمسكن انقلاب اسلامي</v>
      </c>
      <c r="S1411" s="1" t="str">
        <f t="shared" si="367"/>
        <v>قرارداد فروش</v>
      </c>
      <c r="T1411" s="1" t="str">
        <f t="shared" si="368"/>
        <v>ندارد</v>
      </c>
      <c r="U1411" s="1" t="str">
        <f>"آخوندي احمد(1841051)"</f>
        <v>آخوندي احمد(1841051)</v>
      </c>
      <c r="V1411" s="1">
        <v>956200191</v>
      </c>
      <c r="W1411" s="1">
        <v>956200191</v>
      </c>
      <c r="X1411" s="1" t="str">
        <f>"1395462880"</f>
        <v>1395462880</v>
      </c>
      <c r="Y1411" s="1" t="str">
        <f>"95/11/16"</f>
        <v>95/11/16</v>
      </c>
      <c r="Z1411" s="1" t="str">
        <f>"49114/د"</f>
        <v>49114/د</v>
      </c>
      <c r="AA1411" s="1" t="str">
        <f t="shared" si="365"/>
        <v>بنيادمسكن انقلاب اسلامي</v>
      </c>
      <c r="AB1411" s="1" t="str">
        <f>"95/11/13"</f>
        <v>95/11/13</v>
      </c>
      <c r="AC1411" s="1" t="str">
        <f>"استان زنجان"</f>
        <v>استان زنجان</v>
      </c>
      <c r="AD1411" s="1" t="str">
        <f>"95/11/16"</f>
        <v>95/11/16</v>
      </c>
      <c r="AE1411" s="1" t="str">
        <f t="shared" si="361"/>
        <v>اختتام</v>
      </c>
      <c r="AF1411" s="1" t="str">
        <f>""</f>
        <v/>
      </c>
      <c r="AG1411" s="1" t="str">
        <f>""</f>
        <v/>
      </c>
      <c r="AH1411" s="1" t="str">
        <f>""</f>
        <v/>
      </c>
      <c r="AI1411" s="1" t="str">
        <f>""</f>
        <v/>
      </c>
      <c r="AJ1411" s="1" t="str">
        <f>""</f>
        <v/>
      </c>
      <c r="AK1411" s="1" t="str">
        <f>""</f>
        <v/>
      </c>
    </row>
    <row r="1412" spans="1:37" x14ac:dyDescent="0.2">
      <c r="A1412" s="1">
        <v>585000</v>
      </c>
      <c r="B1412" s="1">
        <v>956200272</v>
      </c>
      <c r="C1412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1412" s="1">
        <v>8848</v>
      </c>
      <c r="E1412" s="1">
        <v>584600</v>
      </c>
      <c r="F1412" s="1">
        <v>95</v>
      </c>
      <c r="G1412" s="1">
        <v>400</v>
      </c>
      <c r="H1412" s="1" t="str">
        <f>"95/12/04"</f>
        <v>95/12/04</v>
      </c>
      <c r="I1412" s="1" t="str">
        <f t="shared" si="366"/>
        <v>كيلوگرم</v>
      </c>
      <c r="J1412" s="1" t="str">
        <f>"1000000002"</f>
        <v>1000000002</v>
      </c>
      <c r="K1412" s="1" t="str">
        <f>"قير 85/100 - فله"</f>
        <v>قير 85/100 - فله</v>
      </c>
      <c r="L1412" s="1">
        <v>100</v>
      </c>
      <c r="M1412" s="1" t="str">
        <f t="shared" si="347"/>
        <v>مخازن قير اصفهان</v>
      </c>
      <c r="N1412" s="1">
        <v>11237</v>
      </c>
      <c r="O1412" s="1">
        <v>50033838</v>
      </c>
      <c r="P1412" s="1" t="str">
        <f>"  بنياد مسکن انقلاب اسلامي زنجان"</f>
        <v xml:space="preserve">  بنياد مسکن انقلاب اسلامي زنجان</v>
      </c>
      <c r="Q1412" s="1">
        <v>62</v>
      </c>
      <c r="R1412" s="1" t="str">
        <f t="shared" si="364"/>
        <v>فروش داخلي - سازمان بنيادمسكن انقلاب اسلامي</v>
      </c>
      <c r="S1412" s="1" t="str">
        <f t="shared" si="367"/>
        <v>قرارداد فروش</v>
      </c>
      <c r="T1412" s="1" t="str">
        <f t="shared" si="368"/>
        <v>ندارد</v>
      </c>
      <c r="U1412" s="1" t="str">
        <f>"فتاح زاده سيداحمد(3843011)"</f>
        <v>فتاح زاده سيداحمد(3843011)</v>
      </c>
      <c r="V1412" s="1">
        <v>956200272</v>
      </c>
      <c r="W1412" s="1">
        <v>956200272</v>
      </c>
      <c r="X1412" s="1" t="str">
        <f>"1395466582"</f>
        <v>1395466582</v>
      </c>
      <c r="Y1412" s="1" t="str">
        <f>"95/12/04"</f>
        <v>95/12/04</v>
      </c>
      <c r="Z1412" s="1" t="str">
        <f>"52082/د"</f>
        <v>52082/د</v>
      </c>
      <c r="AA1412" s="1" t="str">
        <f t="shared" si="365"/>
        <v>بنيادمسكن انقلاب اسلامي</v>
      </c>
      <c r="AB1412" s="1" t="str">
        <f>"95/11/30"</f>
        <v>95/11/30</v>
      </c>
      <c r="AC1412" s="1" t="str">
        <f>"استان زنجان"</f>
        <v>استان زنجان</v>
      </c>
      <c r="AD1412" s="1" t="str">
        <f>"95/12/03"</f>
        <v>95/12/03</v>
      </c>
      <c r="AE1412" s="1" t="str">
        <f t="shared" si="361"/>
        <v>اختتام</v>
      </c>
      <c r="AF1412" s="1" t="str">
        <f>""</f>
        <v/>
      </c>
      <c r="AG1412" s="1" t="str">
        <f>""</f>
        <v/>
      </c>
      <c r="AH1412" s="1" t="str">
        <f>""</f>
        <v/>
      </c>
      <c r="AI1412" s="1" t="str">
        <f>""</f>
        <v/>
      </c>
      <c r="AJ1412" s="1" t="str">
        <f>""</f>
        <v/>
      </c>
      <c r="AK1412" s="1" t="str">
        <f>""</f>
        <v/>
      </c>
    </row>
    <row r="1413" spans="1:37" x14ac:dyDescent="0.2">
      <c r="A1413" s="1">
        <v>64000</v>
      </c>
      <c r="B1413" s="1">
        <v>956200229</v>
      </c>
      <c r="C1413" s="1" t="str">
        <f>"تخليه -يزد-خاتم -كيلومتر2جاده سياهوئيه - کارخانه آسفالت بسترسازان کوير"</f>
        <v>تخليه -يزد-خاتم -كيلومتر2جاده سياهوئيه - کارخانه آسفالت بسترسازان کوير</v>
      </c>
      <c r="D1413" s="1">
        <v>9361</v>
      </c>
      <c r="E1413" s="1">
        <v>63060</v>
      </c>
      <c r="F1413" s="1">
        <v>95</v>
      </c>
      <c r="G1413" s="1">
        <v>940</v>
      </c>
      <c r="H1413" s="1" t="str">
        <f>"95/11/25"</f>
        <v>95/11/25</v>
      </c>
      <c r="I1413" s="1" t="str">
        <f t="shared" si="366"/>
        <v>كيلوگرم</v>
      </c>
      <c r="J1413" s="1" t="str">
        <f>"0000000076"</f>
        <v>0000000076</v>
      </c>
      <c r="K1413" s="1" t="str">
        <f>"قير 60/70 - فله"</f>
        <v>قير 60/70 - فله</v>
      </c>
      <c r="L1413" s="1">
        <v>100</v>
      </c>
      <c r="M1413" s="1" t="str">
        <f t="shared" si="347"/>
        <v>مخازن قير اصفهان</v>
      </c>
      <c r="N1413" s="1">
        <v>10088</v>
      </c>
      <c r="O1413" s="1">
        <v>50033731</v>
      </c>
      <c r="P1413" s="1" t="str">
        <f>"  عمراني بسترسازان كوير"</f>
        <v xml:space="preserve">  عمراني بسترسازان كوير</v>
      </c>
      <c r="Q1413" s="1">
        <v>62</v>
      </c>
      <c r="R1413" s="1" t="str">
        <f t="shared" si="364"/>
        <v>فروش داخلي - سازمان بنيادمسكن انقلاب اسلامي</v>
      </c>
      <c r="S1413" s="1" t="str">
        <f t="shared" si="367"/>
        <v>قرارداد فروش</v>
      </c>
      <c r="T1413" s="1" t="str">
        <f t="shared" si="368"/>
        <v>ندارد</v>
      </c>
      <c r="U1413" s="1" t="str">
        <f>"عزيزي صفر(1006ج 89)"</f>
        <v>عزيزي صفر(1006ج 89)</v>
      </c>
      <c r="V1413" s="1">
        <v>956200229</v>
      </c>
      <c r="W1413" s="1">
        <v>956200229</v>
      </c>
      <c r="X1413" s="1" t="str">
        <f>"1395464669"</f>
        <v>1395464669</v>
      </c>
      <c r="Y1413" s="1" t="str">
        <f>"95/11/25"</f>
        <v>95/11/25</v>
      </c>
      <c r="Z1413" s="1" t="str">
        <f>"51028/د"</f>
        <v>51028/د</v>
      </c>
      <c r="AA1413" s="1" t="str">
        <f t="shared" si="365"/>
        <v>بنيادمسكن انقلاب اسلامي</v>
      </c>
      <c r="AB1413" s="1" t="str">
        <f>"95/11/24"</f>
        <v>95/11/24</v>
      </c>
      <c r="AC1413" s="1" t="str">
        <f>"استان يزد"</f>
        <v>استان يزد</v>
      </c>
      <c r="AD1413" s="1" t="str">
        <f>"95/11/25"</f>
        <v>95/11/25</v>
      </c>
      <c r="AE1413" s="1" t="str">
        <f t="shared" si="361"/>
        <v>اختتام</v>
      </c>
      <c r="AF1413" s="1" t="str">
        <f>""</f>
        <v/>
      </c>
      <c r="AG1413" s="1" t="str">
        <f>""</f>
        <v/>
      </c>
      <c r="AH1413" s="1" t="str">
        <f>""</f>
        <v/>
      </c>
      <c r="AI1413" s="1" t="str">
        <f>""</f>
        <v/>
      </c>
      <c r="AJ1413" s="1" t="str">
        <f>""</f>
        <v/>
      </c>
      <c r="AK1413" s="1" t="str">
        <f>""</f>
        <v/>
      </c>
    </row>
    <row r="1414" spans="1:37" x14ac:dyDescent="0.2">
      <c r="A1414" s="1">
        <v>102000</v>
      </c>
      <c r="B1414" s="1">
        <v>956200411</v>
      </c>
      <c r="C1414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1414" s="1">
        <v>8848</v>
      </c>
      <c r="E1414" s="1">
        <v>101000</v>
      </c>
      <c r="F1414" s="1">
        <v>95</v>
      </c>
      <c r="G1414" s="1">
        <v>1000</v>
      </c>
      <c r="H1414" s="1" t="str">
        <f>"95/12/28"</f>
        <v>95/12/28</v>
      </c>
      <c r="I1414" s="1" t="str">
        <f t="shared" si="366"/>
        <v>كيلوگرم</v>
      </c>
      <c r="J1414" s="1" t="str">
        <f>"0000000076"</f>
        <v>0000000076</v>
      </c>
      <c r="K1414" s="1" t="str">
        <f>"قير 60/70 - فله"</f>
        <v>قير 60/70 - فله</v>
      </c>
      <c r="L1414" s="1">
        <v>100</v>
      </c>
      <c r="M1414" s="1" t="str">
        <f t="shared" si="347"/>
        <v>مخازن قير اصفهان</v>
      </c>
      <c r="N1414" s="1">
        <v>10088</v>
      </c>
      <c r="O1414" s="1">
        <v>50034298</v>
      </c>
      <c r="P1414" s="1" t="str">
        <f>"  عمراني بسترسازان كوير"</f>
        <v xml:space="preserve">  عمراني بسترسازان كوير</v>
      </c>
      <c r="Q1414" s="1">
        <v>62</v>
      </c>
      <c r="R1414" s="1" t="str">
        <f t="shared" si="364"/>
        <v>فروش داخلي - سازمان بنيادمسكن انقلاب اسلامي</v>
      </c>
      <c r="S1414" s="1" t="str">
        <f t="shared" si="367"/>
        <v>قرارداد فروش</v>
      </c>
      <c r="T1414" s="1" t="str">
        <f t="shared" si="368"/>
        <v>ندارد</v>
      </c>
      <c r="U1414" s="1" t="str">
        <f>"عزيزي صفر(1006ج 89)"</f>
        <v>عزيزي صفر(1006ج 89)</v>
      </c>
      <c r="V1414" s="1">
        <v>956200411</v>
      </c>
      <c r="W1414" s="1">
        <v>956200411</v>
      </c>
      <c r="X1414" s="1" t="str">
        <f>"1395470952"</f>
        <v>1395470952</v>
      </c>
      <c r="Y1414" s="1" t="str">
        <f>"95/12/28"</f>
        <v>95/12/28</v>
      </c>
      <c r="Z1414" s="1" t="str">
        <f>"57198/د"</f>
        <v>57198/د</v>
      </c>
      <c r="AA1414" s="1" t="str">
        <f t="shared" si="365"/>
        <v>بنيادمسكن انقلاب اسلامي</v>
      </c>
      <c r="AB1414" s="1" t="str">
        <f>"95/12/22"</f>
        <v>95/12/22</v>
      </c>
      <c r="AC1414" s="1" t="str">
        <f>"استان اصفهان"</f>
        <v>استان اصفهان</v>
      </c>
      <c r="AD1414" s="1" t="str">
        <f>"95/12/24"</f>
        <v>95/12/24</v>
      </c>
      <c r="AE1414" s="1" t="str">
        <f t="shared" si="361"/>
        <v>اختتام</v>
      </c>
      <c r="AF1414" s="1" t="str">
        <f>""</f>
        <v/>
      </c>
      <c r="AG1414" s="1" t="str">
        <f>""</f>
        <v/>
      </c>
      <c r="AH1414" s="1" t="str">
        <f>""</f>
        <v/>
      </c>
      <c r="AI1414" s="1" t="str">
        <f>""</f>
        <v/>
      </c>
      <c r="AJ1414" s="1" t="str">
        <f>""</f>
        <v/>
      </c>
      <c r="AK1414" s="1" t="str">
        <f>""</f>
        <v/>
      </c>
    </row>
    <row r="1415" spans="1:37" x14ac:dyDescent="0.2">
      <c r="A1415" s="1">
        <v>73000</v>
      </c>
      <c r="B1415" s="1">
        <v>952000029</v>
      </c>
      <c r="C1415" s="1" t="str">
        <f>"تخليه -چهارمحال وبختياري لردگان فلاردروستاي گنج كارخانه آسفالت جهانباز"</f>
        <v>تخليه -چهارمحال وبختياري لردگان فلاردروستاي گنج كارخانه آسفالت جهانباز</v>
      </c>
      <c r="D1415" s="1">
        <v>6426</v>
      </c>
      <c r="E1415" s="1">
        <v>71300</v>
      </c>
      <c r="F1415" s="1">
        <v>95</v>
      </c>
      <c r="G1415" s="1">
        <v>1700</v>
      </c>
      <c r="H1415" s="1" t="str">
        <f>"95/05/27"</f>
        <v>95/05/27</v>
      </c>
      <c r="I1415" s="1" t="str">
        <f t="shared" si="366"/>
        <v>كيلوگرم</v>
      </c>
      <c r="J1415" s="1" t="str">
        <f t="shared" ref="J1415:J1421" si="369">"1000000002"</f>
        <v>1000000002</v>
      </c>
      <c r="K1415" s="1" t="str">
        <f t="shared" ref="K1415:K1421" si="370">"قير 85/100 - فله"</f>
        <v>قير 85/100 - فله</v>
      </c>
      <c r="L1415" s="1">
        <v>100</v>
      </c>
      <c r="M1415" s="1" t="str">
        <f t="shared" si="347"/>
        <v>مخازن قير اصفهان</v>
      </c>
      <c r="N1415" s="1">
        <v>9669</v>
      </c>
      <c r="O1415" s="1">
        <v>50031579</v>
      </c>
      <c r="P1415" s="1" t="str">
        <f>"  شهرداري مال خليفه"</f>
        <v xml:space="preserve">  شهرداري مال خليفه</v>
      </c>
      <c r="Q1415" s="1">
        <v>20</v>
      </c>
      <c r="R1415" s="1" t="str">
        <f>"فروش داخلي - سازمان شهرداري ها و دهياري هاي كشور"</f>
        <v>فروش داخلي - سازمان شهرداري ها و دهياري هاي كشور</v>
      </c>
      <c r="S1415" s="1" t="str">
        <f t="shared" si="367"/>
        <v>قرارداد فروش</v>
      </c>
      <c r="T1415" s="1" t="str">
        <f t="shared" si="368"/>
        <v>ندارد</v>
      </c>
      <c r="U1415" s="1" t="str">
        <f>"قره باغي مجيد(1871065)"</f>
        <v>قره باغي مجيد(1871065)</v>
      </c>
      <c r="V1415" s="1">
        <v>952000029</v>
      </c>
      <c r="W1415" s="1">
        <v>952000029</v>
      </c>
      <c r="X1415" s="1" t="str">
        <f>"1395423681"</f>
        <v>1395423681</v>
      </c>
      <c r="Y1415" s="1" t="str">
        <f>"95/05/25"</f>
        <v>95/05/25</v>
      </c>
      <c r="Z1415" s="1" t="str">
        <f>"19211"</f>
        <v>19211</v>
      </c>
      <c r="AA1415" s="1" t="str">
        <f>"شهرداريها"</f>
        <v>شهرداريها</v>
      </c>
      <c r="AB1415" s="1" t="str">
        <f>"95/05/04"</f>
        <v>95/05/04</v>
      </c>
      <c r="AC1415" s="1" t="str">
        <f>"استان چهارمحال بختياري"</f>
        <v>استان چهارمحال بختياري</v>
      </c>
      <c r="AD1415" s="1" t="str">
        <f>"95/05/24"</f>
        <v>95/05/24</v>
      </c>
      <c r="AE1415" s="1" t="str">
        <f t="shared" si="361"/>
        <v>اختتام</v>
      </c>
      <c r="AF1415" s="1" t="str">
        <f>""</f>
        <v/>
      </c>
      <c r="AG1415" s="1" t="str">
        <f>""</f>
        <v/>
      </c>
      <c r="AH1415" s="1" t="str">
        <f>""</f>
        <v/>
      </c>
      <c r="AI1415" s="1" t="str">
        <f>""</f>
        <v/>
      </c>
      <c r="AJ1415" s="1" t="str">
        <f>""</f>
        <v/>
      </c>
      <c r="AK1415" s="1" t="str">
        <f>""</f>
        <v/>
      </c>
    </row>
    <row r="1416" spans="1:37" x14ac:dyDescent="0.2">
      <c r="A1416" s="1">
        <v>75000</v>
      </c>
      <c r="B1416" s="1">
        <v>956200168</v>
      </c>
      <c r="C1416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416" s="1">
        <v>9361</v>
      </c>
      <c r="E1416" s="1">
        <v>74000</v>
      </c>
      <c r="F1416" s="1">
        <v>95</v>
      </c>
      <c r="G1416" s="1">
        <v>1000</v>
      </c>
      <c r="H1416" s="1" t="str">
        <f>"95/11/04"</f>
        <v>95/11/04</v>
      </c>
      <c r="I1416" s="1" t="str">
        <f t="shared" si="366"/>
        <v>كيلوگرم</v>
      </c>
      <c r="J1416" s="1" t="str">
        <f t="shared" si="369"/>
        <v>1000000002</v>
      </c>
      <c r="K1416" s="1" t="str">
        <f t="shared" si="370"/>
        <v>قير 85/100 - فله</v>
      </c>
      <c r="L1416" s="1">
        <v>100</v>
      </c>
      <c r="M1416" s="1" t="str">
        <f t="shared" ref="M1416:M1479" si="371">"مخازن قير اصفهان"</f>
        <v>مخازن قير اصفهان</v>
      </c>
      <c r="N1416" s="1">
        <v>9777</v>
      </c>
      <c r="O1416" s="1">
        <v>50033497</v>
      </c>
      <c r="P1416" s="1" t="str">
        <f>"  كاويان سازان كوهستان"</f>
        <v xml:space="preserve">  كاويان سازان كوهستان</v>
      </c>
      <c r="Q1416" s="1">
        <v>62</v>
      </c>
      <c r="R1416" s="1" t="str">
        <f t="shared" ref="R1416:R1424" si="372">"فروش داخلي - سازمان بنيادمسكن انقلاب اسلامي"</f>
        <v>فروش داخلي - سازمان بنيادمسكن انقلاب اسلامي</v>
      </c>
      <c r="S1416" s="1" t="str">
        <f t="shared" si="367"/>
        <v>قرارداد فروش</v>
      </c>
      <c r="T1416" s="1" t="str">
        <f t="shared" si="368"/>
        <v>ندارد</v>
      </c>
      <c r="U1416" s="1" t="str">
        <f>"قره باغي مجيد(1871065)"</f>
        <v>قره باغي مجيد(1871065)</v>
      </c>
      <c r="V1416" s="1">
        <v>956200168</v>
      </c>
      <c r="W1416" s="1">
        <v>956200168</v>
      </c>
      <c r="X1416" s="1" t="str">
        <f>"1395460250"</f>
        <v>1395460250</v>
      </c>
      <c r="Y1416" s="1" t="str">
        <f>"95/11/04"</f>
        <v>95/11/04</v>
      </c>
      <c r="Z1416" s="1" t="str">
        <f>"45495/د"</f>
        <v>45495/د</v>
      </c>
      <c r="AA1416" s="1" t="str">
        <f t="shared" ref="AA1416:AA1424" si="373">"بنيادمسكن انقلاب اسلامي"</f>
        <v>بنيادمسكن انقلاب اسلامي</v>
      </c>
      <c r="AB1416" s="1" t="str">
        <f>"95/10/25"</f>
        <v>95/10/25</v>
      </c>
      <c r="AC1416" s="1" t="str">
        <f>"استان چهارمحال بختياري"</f>
        <v>استان چهارمحال بختياري</v>
      </c>
      <c r="AD1416" s="1" t="str">
        <f>"95/11/04"</f>
        <v>95/11/04</v>
      </c>
      <c r="AE1416" s="1" t="str">
        <f t="shared" si="361"/>
        <v>اختتام</v>
      </c>
      <c r="AF1416" s="1" t="str">
        <f>""</f>
        <v/>
      </c>
      <c r="AG1416" s="1" t="str">
        <f>""</f>
        <v/>
      </c>
      <c r="AH1416" s="1" t="str">
        <f>""</f>
        <v/>
      </c>
      <c r="AI1416" s="1" t="str">
        <f>""</f>
        <v/>
      </c>
      <c r="AJ1416" s="1" t="str">
        <f>""</f>
        <v/>
      </c>
      <c r="AK1416" s="1" t="str">
        <f>""</f>
        <v/>
      </c>
    </row>
    <row r="1417" spans="1:37" x14ac:dyDescent="0.2">
      <c r="A1417" s="1">
        <v>144000</v>
      </c>
      <c r="B1417" s="1">
        <v>956200199</v>
      </c>
      <c r="C1417" s="1" t="str">
        <f>"تخليه - کردستان - سه راه مريوان -کارخانه آسفالت قشلاق"</f>
        <v>تخليه - کردستان - سه راه مريوان -کارخانه آسفالت قشلاق</v>
      </c>
      <c r="D1417" s="1">
        <v>9361</v>
      </c>
      <c r="E1417" s="1">
        <v>144000</v>
      </c>
      <c r="F1417" s="1">
        <v>95</v>
      </c>
      <c r="G1417" s="1">
        <v>0</v>
      </c>
      <c r="H1417" s="1" t="str">
        <f>"95/11/19"</f>
        <v>95/11/19</v>
      </c>
      <c r="I1417" s="1" t="str">
        <f t="shared" si="366"/>
        <v>كيلوگرم</v>
      </c>
      <c r="J1417" s="1" t="str">
        <f t="shared" si="369"/>
        <v>1000000002</v>
      </c>
      <c r="K1417" s="1" t="str">
        <f t="shared" si="370"/>
        <v>قير 85/100 - فله</v>
      </c>
      <c r="L1417" s="1">
        <v>100</v>
      </c>
      <c r="M1417" s="1" t="str">
        <f t="shared" si="371"/>
        <v>مخازن قير اصفهان</v>
      </c>
      <c r="N1417" s="1">
        <v>11243</v>
      </c>
      <c r="O1417" s="1">
        <v>50033632</v>
      </c>
      <c r="P1417" s="1" t="str">
        <f>"  عرش گستران کامياب"</f>
        <v xml:space="preserve">  عرش گستران کامياب</v>
      </c>
      <c r="Q1417" s="1">
        <v>62</v>
      </c>
      <c r="R1417" s="1" t="str">
        <f t="shared" si="372"/>
        <v>فروش داخلي - سازمان بنيادمسكن انقلاب اسلامي</v>
      </c>
      <c r="S1417" s="1" t="str">
        <f t="shared" si="367"/>
        <v>قرارداد فروش</v>
      </c>
      <c r="T1417" s="1" t="str">
        <f t="shared" si="368"/>
        <v>ندارد</v>
      </c>
      <c r="U1417" s="1" t="str">
        <f>"قنبري امين(2872037)"</f>
        <v>قنبري امين(2872037)</v>
      </c>
      <c r="V1417" s="1">
        <v>956200199</v>
      </c>
      <c r="W1417" s="1">
        <v>956200199</v>
      </c>
      <c r="X1417" s="1" t="str">
        <f>"1395463366"</f>
        <v>1395463366</v>
      </c>
      <c r="Y1417" s="1" t="str">
        <f>"95/11/19"</f>
        <v>95/11/19</v>
      </c>
      <c r="Z1417" s="1" t="str">
        <f>"49889/د"</f>
        <v>49889/د</v>
      </c>
      <c r="AA1417" s="1" t="str">
        <f t="shared" si="373"/>
        <v>بنيادمسكن انقلاب اسلامي</v>
      </c>
      <c r="AB1417" s="1" t="str">
        <f>"95/11/18"</f>
        <v>95/11/18</v>
      </c>
      <c r="AC1417" s="1" t="str">
        <f>"استان كردستان"</f>
        <v>استان كردستان</v>
      </c>
      <c r="AD1417" s="1" t="str">
        <f>"95/11/19"</f>
        <v>95/11/19</v>
      </c>
      <c r="AE1417" s="1" t="str">
        <f t="shared" si="361"/>
        <v>اختتام</v>
      </c>
      <c r="AF1417" s="1" t="str">
        <f>""</f>
        <v/>
      </c>
      <c r="AG1417" s="1" t="str">
        <f>""</f>
        <v/>
      </c>
      <c r="AH1417" s="1" t="str">
        <f>""</f>
        <v/>
      </c>
      <c r="AI1417" s="1" t="str">
        <f>""</f>
        <v/>
      </c>
      <c r="AJ1417" s="1" t="str">
        <f>""</f>
        <v/>
      </c>
      <c r="AK1417" s="1" t="str">
        <f>""</f>
        <v/>
      </c>
    </row>
    <row r="1418" spans="1:37" x14ac:dyDescent="0.2">
      <c r="A1418" s="1">
        <v>32000</v>
      </c>
      <c r="B1418" s="1">
        <v>956200206</v>
      </c>
      <c r="C1418" s="1" t="str">
        <f>"تخليه - کردستان-بيجار - کارخانه آسفالت زرده کمر"</f>
        <v>تخليه - کردستان-بيجار - کارخانه آسفالت زرده کمر</v>
      </c>
      <c r="D1418" s="1">
        <v>9361</v>
      </c>
      <c r="E1418" s="1">
        <v>30240</v>
      </c>
      <c r="F1418" s="1">
        <v>95</v>
      </c>
      <c r="G1418" s="1">
        <v>1760</v>
      </c>
      <c r="H1418" s="1" t="str">
        <f>"95/11/19"</f>
        <v>95/11/19</v>
      </c>
      <c r="I1418" s="1" t="str">
        <f t="shared" si="366"/>
        <v>كيلوگرم</v>
      </c>
      <c r="J1418" s="1" t="str">
        <f t="shared" si="369"/>
        <v>1000000002</v>
      </c>
      <c r="K1418" s="1" t="str">
        <f t="shared" si="370"/>
        <v>قير 85/100 - فله</v>
      </c>
      <c r="L1418" s="1">
        <v>100</v>
      </c>
      <c r="M1418" s="1" t="str">
        <f t="shared" si="371"/>
        <v>مخازن قير اصفهان</v>
      </c>
      <c r="N1418" s="1">
        <v>11246</v>
      </c>
      <c r="O1418" s="1">
        <v>50033640</v>
      </c>
      <c r="P1418" s="1" t="str">
        <f>"  كهن پي كيان"</f>
        <v xml:space="preserve">  كهن پي كيان</v>
      </c>
      <c r="Q1418" s="1">
        <v>62</v>
      </c>
      <c r="R1418" s="1" t="str">
        <f t="shared" si="372"/>
        <v>فروش داخلي - سازمان بنيادمسكن انقلاب اسلامي</v>
      </c>
      <c r="S1418" s="1" t="str">
        <f t="shared" si="367"/>
        <v>قرارداد فروش</v>
      </c>
      <c r="T1418" s="1" t="str">
        <f t="shared" si="368"/>
        <v>ندارد</v>
      </c>
      <c r="U1418" s="1" t="str">
        <f>"ميهن دوست عبداله(2842010)"</f>
        <v>ميهن دوست عبداله(2842010)</v>
      </c>
      <c r="V1418" s="1">
        <v>956200206</v>
      </c>
      <c r="W1418" s="1">
        <v>956200206</v>
      </c>
      <c r="X1418" s="1" t="str">
        <f>"1395463366"</f>
        <v>1395463366</v>
      </c>
      <c r="Y1418" s="1" t="str">
        <f>"95/11/19"</f>
        <v>95/11/19</v>
      </c>
      <c r="Z1418" s="1" t="str">
        <f>"49881/د"</f>
        <v>49881/د</v>
      </c>
      <c r="AA1418" s="1" t="str">
        <f t="shared" si="373"/>
        <v>بنيادمسكن انقلاب اسلامي</v>
      </c>
      <c r="AB1418" s="1" t="str">
        <f>"95/11/18"</f>
        <v>95/11/18</v>
      </c>
      <c r="AC1418" s="1" t="str">
        <f>"استان كردستان"</f>
        <v>استان كردستان</v>
      </c>
      <c r="AD1418" s="1" t="str">
        <f>"95/11/19"</f>
        <v>95/11/19</v>
      </c>
      <c r="AE1418" s="1" t="str">
        <f t="shared" si="361"/>
        <v>اختتام</v>
      </c>
      <c r="AF1418" s="1" t="str">
        <f>""</f>
        <v/>
      </c>
      <c r="AG1418" s="1" t="str">
        <f>""</f>
        <v/>
      </c>
      <c r="AH1418" s="1" t="str">
        <f>""</f>
        <v/>
      </c>
      <c r="AI1418" s="1" t="str">
        <f>""</f>
        <v/>
      </c>
      <c r="AJ1418" s="1" t="str">
        <f>""</f>
        <v/>
      </c>
      <c r="AK1418" s="1" t="str">
        <f>""</f>
        <v/>
      </c>
    </row>
    <row r="1419" spans="1:37" x14ac:dyDescent="0.2">
      <c r="A1419" s="1">
        <v>142000</v>
      </c>
      <c r="B1419" s="1">
        <v>956200217</v>
      </c>
      <c r="C1419" s="1" t="str">
        <f>"كردستان -شهرستان همدان -شهرك مدني بلوارامام خميني بلوك 29نبش كوچه نيلوفر7جنب عكاسي سام واحد1"</f>
        <v>كردستان -شهرستان همدان -شهرك مدني بلوارامام خميني بلوك 29نبش كوچه نيلوفر7جنب عكاسي سام واحد1</v>
      </c>
      <c r="D1419" s="1">
        <v>9361</v>
      </c>
      <c r="E1419" s="1">
        <v>129060</v>
      </c>
      <c r="F1419" s="1">
        <v>95</v>
      </c>
      <c r="G1419" s="1">
        <v>12940</v>
      </c>
      <c r="H1419" s="1" t="str">
        <f>"95/11/20"</f>
        <v>95/11/20</v>
      </c>
      <c r="I1419" s="1" t="str">
        <f t="shared" si="366"/>
        <v>كيلوگرم</v>
      </c>
      <c r="J1419" s="1" t="str">
        <f t="shared" si="369"/>
        <v>1000000002</v>
      </c>
      <c r="K1419" s="1" t="str">
        <f t="shared" si="370"/>
        <v>قير 85/100 - فله</v>
      </c>
      <c r="L1419" s="1">
        <v>100</v>
      </c>
      <c r="M1419" s="1" t="str">
        <f t="shared" si="371"/>
        <v>مخازن قير اصفهان</v>
      </c>
      <c r="N1419" s="1">
        <v>11251</v>
      </c>
      <c r="O1419" s="1">
        <v>50033656</v>
      </c>
      <c r="P1419" s="1" t="str">
        <f>"  كوه كن ژرفا"</f>
        <v xml:space="preserve">  كوه كن ژرفا</v>
      </c>
      <c r="Q1419" s="1">
        <v>62</v>
      </c>
      <c r="R1419" s="1" t="str">
        <f t="shared" si="372"/>
        <v>فروش داخلي - سازمان بنيادمسكن انقلاب اسلامي</v>
      </c>
      <c r="S1419" s="1" t="str">
        <f t="shared" si="367"/>
        <v>قرارداد فروش</v>
      </c>
      <c r="T1419" s="1" t="str">
        <f t="shared" si="368"/>
        <v>ندارد</v>
      </c>
      <c r="U1419" s="1" t="str">
        <f>"ميهن دوست عبداله(2842010)"</f>
        <v>ميهن دوست عبداله(2842010)</v>
      </c>
      <c r="V1419" s="1">
        <v>956200217</v>
      </c>
      <c r="W1419" s="1">
        <v>956200217</v>
      </c>
      <c r="X1419" s="1" t="str">
        <f>"1395464205"</f>
        <v>1395464205</v>
      </c>
      <c r="Y1419" s="1" t="str">
        <f>"95/11/20"</f>
        <v>95/11/20</v>
      </c>
      <c r="Z1419" s="1" t="str">
        <f>"50203/د"</f>
        <v>50203/د</v>
      </c>
      <c r="AA1419" s="1" t="str">
        <f t="shared" si="373"/>
        <v>بنيادمسكن انقلاب اسلامي</v>
      </c>
      <c r="AB1419" s="1" t="str">
        <f>"95/11/19"</f>
        <v>95/11/19</v>
      </c>
      <c r="AC1419" s="1" t="str">
        <f>"استان كردستان"</f>
        <v>استان كردستان</v>
      </c>
      <c r="AD1419" s="1" t="str">
        <f>"95/11/20"</f>
        <v>95/11/20</v>
      </c>
      <c r="AE1419" s="1" t="str">
        <f t="shared" si="361"/>
        <v>اختتام</v>
      </c>
      <c r="AF1419" s="1" t="str">
        <f>""</f>
        <v/>
      </c>
      <c r="AG1419" s="1" t="str">
        <f>""</f>
        <v/>
      </c>
      <c r="AH1419" s="1" t="str">
        <f>""</f>
        <v/>
      </c>
      <c r="AI1419" s="1" t="str">
        <f>""</f>
        <v/>
      </c>
      <c r="AJ1419" s="1" t="str">
        <f>""</f>
        <v/>
      </c>
      <c r="AK1419" s="1" t="str">
        <f>""</f>
        <v/>
      </c>
    </row>
    <row r="1420" spans="1:37" x14ac:dyDescent="0.2">
      <c r="A1420" s="1">
        <v>17000</v>
      </c>
      <c r="B1420" s="1">
        <v>956200270</v>
      </c>
      <c r="C1420" s="1" t="str">
        <f>"تخليه - کردستان - مريوان - کارخانه آسفالت کاران"</f>
        <v>تخليه - کردستان - مريوان - کارخانه آسفالت کاران</v>
      </c>
      <c r="D1420" s="1">
        <v>8848</v>
      </c>
      <c r="E1420" s="1">
        <v>17000</v>
      </c>
      <c r="F1420" s="1">
        <v>95</v>
      </c>
      <c r="G1420" s="1">
        <v>0</v>
      </c>
      <c r="H1420" s="1" t="str">
        <f>"95/12/04"</f>
        <v>95/12/04</v>
      </c>
      <c r="I1420" s="1" t="str">
        <f t="shared" si="366"/>
        <v>كيلوگرم</v>
      </c>
      <c r="J1420" s="1" t="str">
        <f t="shared" si="369"/>
        <v>1000000002</v>
      </c>
      <c r="K1420" s="1" t="str">
        <f t="shared" si="370"/>
        <v>قير 85/100 - فله</v>
      </c>
      <c r="L1420" s="1">
        <v>100</v>
      </c>
      <c r="M1420" s="1" t="str">
        <f t="shared" si="371"/>
        <v>مخازن قير اصفهان</v>
      </c>
      <c r="N1420" s="1">
        <v>11266</v>
      </c>
      <c r="O1420" s="1">
        <v>50033836</v>
      </c>
      <c r="P1420" s="1" t="str">
        <f>"  راه و ساختماني زريبار مريوان"</f>
        <v xml:space="preserve">  راه و ساختماني زريبار مريوان</v>
      </c>
      <c r="Q1420" s="1">
        <v>62</v>
      </c>
      <c r="R1420" s="1" t="str">
        <f t="shared" si="372"/>
        <v>فروش داخلي - سازمان بنيادمسكن انقلاب اسلامي</v>
      </c>
      <c r="S1420" s="1" t="str">
        <f t="shared" si="367"/>
        <v>قرارداد فروش</v>
      </c>
      <c r="T1420" s="1" t="str">
        <f t="shared" si="368"/>
        <v>ندارد</v>
      </c>
      <c r="U1420" s="1" t="str">
        <f>"ميهن دوست عبداله(2842010)"</f>
        <v>ميهن دوست عبداله(2842010)</v>
      </c>
      <c r="V1420" s="1">
        <v>956200270</v>
      </c>
      <c r="W1420" s="1">
        <v>956200270</v>
      </c>
      <c r="X1420" s="1" t="str">
        <f>"1395466582"</f>
        <v>1395466582</v>
      </c>
      <c r="Y1420" s="1" t="str">
        <f>"95/12/04"</f>
        <v>95/12/04</v>
      </c>
      <c r="Z1420" s="1" t="str">
        <f>"52052/د"</f>
        <v>52052/د</v>
      </c>
      <c r="AA1420" s="1" t="str">
        <f t="shared" si="373"/>
        <v>بنيادمسكن انقلاب اسلامي</v>
      </c>
      <c r="AB1420" s="1" t="str">
        <f>"95/11/30"</f>
        <v>95/11/30</v>
      </c>
      <c r="AC1420" s="1" t="str">
        <f>"استان كردستان"</f>
        <v>استان كردستان</v>
      </c>
      <c r="AD1420" s="1" t="str">
        <f>"95/12/03"</f>
        <v>95/12/03</v>
      </c>
      <c r="AE1420" s="1" t="str">
        <f t="shared" si="361"/>
        <v>اختتام</v>
      </c>
      <c r="AF1420" s="1" t="str">
        <f>""</f>
        <v/>
      </c>
      <c r="AG1420" s="1" t="str">
        <f>""</f>
        <v/>
      </c>
      <c r="AH1420" s="1" t="str">
        <f>""</f>
        <v/>
      </c>
      <c r="AI1420" s="1" t="str">
        <f>""</f>
        <v/>
      </c>
      <c r="AJ1420" s="1" t="str">
        <f>""</f>
        <v/>
      </c>
      <c r="AK1420" s="1" t="str">
        <f>""</f>
        <v/>
      </c>
    </row>
    <row r="1421" spans="1:37" x14ac:dyDescent="0.2">
      <c r="A1421" s="1">
        <v>17000</v>
      </c>
      <c r="B1421" s="1">
        <v>956200271</v>
      </c>
      <c r="C1421" s="1" t="str">
        <f>"تخليه - کردستان - مريوان - کارخانه آسفالت کاران"</f>
        <v>تخليه - کردستان - مريوان - کارخانه آسفالت کاران</v>
      </c>
      <c r="D1421" s="1">
        <v>8848</v>
      </c>
      <c r="E1421" s="1">
        <v>14280</v>
      </c>
      <c r="F1421" s="1">
        <v>95</v>
      </c>
      <c r="G1421" s="1">
        <v>2720</v>
      </c>
      <c r="H1421" s="1" t="str">
        <f>"95/12/04"</f>
        <v>95/12/04</v>
      </c>
      <c r="I1421" s="1" t="str">
        <f t="shared" si="366"/>
        <v>كيلوگرم</v>
      </c>
      <c r="J1421" s="1" t="str">
        <f t="shared" si="369"/>
        <v>1000000002</v>
      </c>
      <c r="K1421" s="1" t="str">
        <f t="shared" si="370"/>
        <v>قير 85/100 - فله</v>
      </c>
      <c r="L1421" s="1">
        <v>100</v>
      </c>
      <c r="M1421" s="1" t="str">
        <f t="shared" si="371"/>
        <v>مخازن قير اصفهان</v>
      </c>
      <c r="N1421" s="1">
        <v>11266</v>
      </c>
      <c r="O1421" s="1">
        <v>50033837</v>
      </c>
      <c r="P1421" s="1" t="str">
        <f>"  راه و ساختماني زريبار مريوان"</f>
        <v xml:space="preserve">  راه و ساختماني زريبار مريوان</v>
      </c>
      <c r="Q1421" s="1">
        <v>62</v>
      </c>
      <c r="R1421" s="1" t="str">
        <f t="shared" si="372"/>
        <v>فروش داخلي - سازمان بنيادمسكن انقلاب اسلامي</v>
      </c>
      <c r="S1421" s="1" t="str">
        <f t="shared" si="367"/>
        <v>قرارداد فروش</v>
      </c>
      <c r="T1421" s="1" t="str">
        <f t="shared" si="368"/>
        <v>ندارد</v>
      </c>
      <c r="U1421" s="1" t="str">
        <f>"ميهن دوست عبداله(2842010)"</f>
        <v>ميهن دوست عبداله(2842010)</v>
      </c>
      <c r="V1421" s="1">
        <v>956200271</v>
      </c>
      <c r="W1421" s="1">
        <v>956200271</v>
      </c>
      <c r="X1421" s="1" t="str">
        <f>"1395466582"</f>
        <v>1395466582</v>
      </c>
      <c r="Y1421" s="1" t="str">
        <f>"95/12/04"</f>
        <v>95/12/04</v>
      </c>
      <c r="Z1421" s="1" t="str">
        <f>"52078/د"</f>
        <v>52078/د</v>
      </c>
      <c r="AA1421" s="1" t="str">
        <f t="shared" si="373"/>
        <v>بنيادمسكن انقلاب اسلامي</v>
      </c>
      <c r="AB1421" s="1" t="str">
        <f>"95/11/30"</f>
        <v>95/11/30</v>
      </c>
      <c r="AC1421" s="1" t="str">
        <f>"استان كردستان"</f>
        <v>استان كردستان</v>
      </c>
      <c r="AD1421" s="1" t="str">
        <f>"95/12/03"</f>
        <v>95/12/03</v>
      </c>
      <c r="AE1421" s="1" t="str">
        <f t="shared" si="361"/>
        <v>اختتام</v>
      </c>
      <c r="AF1421" s="1" t="str">
        <f>""</f>
        <v/>
      </c>
      <c r="AG1421" s="1" t="str">
        <f>""</f>
        <v/>
      </c>
      <c r="AH1421" s="1" t="str">
        <f>""</f>
        <v/>
      </c>
      <c r="AI1421" s="1" t="str">
        <f>""</f>
        <v/>
      </c>
      <c r="AJ1421" s="1" t="str">
        <f>""</f>
        <v/>
      </c>
      <c r="AK1421" s="1" t="str">
        <f>""</f>
        <v/>
      </c>
    </row>
    <row r="1422" spans="1:37" x14ac:dyDescent="0.2">
      <c r="A1422" s="1">
        <v>15000</v>
      </c>
      <c r="B1422" s="1">
        <v>956200003</v>
      </c>
      <c r="C1422" s="1" t="str">
        <f>"تخليه-جاده سيمان سپاهان- خ يازدهم-منطقه صنعتي اشترجان"</f>
        <v>تخليه-جاده سيمان سپاهان- خ يازدهم-منطقه صنعتي اشترجان</v>
      </c>
      <c r="D1422" s="1">
        <v>9324</v>
      </c>
      <c r="E1422" s="1">
        <v>13220</v>
      </c>
      <c r="F1422" s="1">
        <v>95</v>
      </c>
      <c r="G1422" s="1">
        <v>1780</v>
      </c>
      <c r="H1422" s="1" t="str">
        <f>"95/02/28"</f>
        <v>95/02/28</v>
      </c>
      <c r="I1422" s="1" t="str">
        <f t="shared" si="366"/>
        <v>كيلوگرم</v>
      </c>
      <c r="J1422" s="1" t="str">
        <f>"1000000003"</f>
        <v>1000000003</v>
      </c>
      <c r="K1422" s="1" t="str">
        <f>"قير MC250"</f>
        <v>قير MC250</v>
      </c>
      <c r="L1422" s="1">
        <v>100</v>
      </c>
      <c r="M1422" s="1" t="str">
        <f t="shared" si="371"/>
        <v>مخازن قير اصفهان</v>
      </c>
      <c r="N1422" s="1">
        <v>1002</v>
      </c>
      <c r="O1422" s="1">
        <v>50030850</v>
      </c>
      <c r="P1422" s="1" t="str">
        <f>"  راه آژند"</f>
        <v xml:space="preserve">  راه آژند</v>
      </c>
      <c r="Q1422" s="1">
        <v>62</v>
      </c>
      <c r="R1422" s="1" t="str">
        <f t="shared" si="372"/>
        <v>فروش داخلي - سازمان بنيادمسكن انقلاب اسلامي</v>
      </c>
      <c r="S1422" s="1" t="str">
        <f t="shared" si="367"/>
        <v>قرارداد فروش</v>
      </c>
      <c r="T1422" s="1" t="str">
        <f t="shared" si="368"/>
        <v>ندارد</v>
      </c>
      <c r="U1422" s="1" t="str">
        <f>"سيفي پور عبدالمجيد(1009ج89)"</f>
        <v>سيفي پور عبدالمجيد(1009ج89)</v>
      </c>
      <c r="V1422" s="1">
        <v>956200003</v>
      </c>
      <c r="W1422" s="1">
        <v>956200003</v>
      </c>
      <c r="X1422" s="1" t="str">
        <f>"1395404451"</f>
        <v>1395404451</v>
      </c>
      <c r="Y1422" s="1" t="str">
        <f>"95/02/28"</f>
        <v>95/02/28</v>
      </c>
      <c r="Z1422" s="1" t="str">
        <f>"6685/د"</f>
        <v>6685/د</v>
      </c>
      <c r="AA1422" s="1" t="str">
        <f t="shared" si="373"/>
        <v>بنيادمسكن انقلاب اسلامي</v>
      </c>
      <c r="AB1422" s="1" t="str">
        <f>"95/02/22"</f>
        <v>95/02/22</v>
      </c>
      <c r="AC1422" s="1" t="str">
        <f>"استان اصفهان"</f>
        <v>استان اصفهان</v>
      </c>
      <c r="AD1422" s="1" t="str">
        <f>"95/02/27"</f>
        <v>95/02/27</v>
      </c>
      <c r="AE1422" s="1" t="str">
        <f t="shared" si="361"/>
        <v>اختتام</v>
      </c>
      <c r="AF1422" s="1" t="str">
        <f>""</f>
        <v/>
      </c>
      <c r="AG1422" s="1" t="str">
        <f>""</f>
        <v/>
      </c>
      <c r="AH1422" s="1" t="str">
        <f>""</f>
        <v/>
      </c>
      <c r="AI1422" s="1" t="str">
        <f>""</f>
        <v/>
      </c>
      <c r="AJ1422" s="1" t="str">
        <f>""</f>
        <v/>
      </c>
      <c r="AK1422" s="1" t="str">
        <f>""</f>
        <v/>
      </c>
    </row>
    <row r="1423" spans="1:37" x14ac:dyDescent="0.2">
      <c r="A1423" s="1">
        <v>15000</v>
      </c>
      <c r="B1423" s="1">
        <v>956200406</v>
      </c>
      <c r="C1423" s="1" t="str">
        <f>"تخليه -اصفهان شهرك صنعتي اشترجان خ يازدهم شركت راه آژند"</f>
        <v>تخليه -اصفهان شهرك صنعتي اشترجان خ يازدهم شركت راه آژند</v>
      </c>
      <c r="D1423" s="1">
        <v>12582</v>
      </c>
      <c r="E1423" s="1">
        <v>14480</v>
      </c>
      <c r="F1423" s="1">
        <v>95</v>
      </c>
      <c r="G1423" s="1">
        <v>520</v>
      </c>
      <c r="H1423" s="1" t="str">
        <f>"95/12/25"</f>
        <v>95/12/25</v>
      </c>
      <c r="I1423" s="1" t="str">
        <f t="shared" si="366"/>
        <v>كيلوگرم</v>
      </c>
      <c r="J1423" s="1" t="str">
        <f>"1000000003"</f>
        <v>1000000003</v>
      </c>
      <c r="K1423" s="1" t="str">
        <f>"قير MC250"</f>
        <v>قير MC250</v>
      </c>
      <c r="L1423" s="1">
        <v>100</v>
      </c>
      <c r="M1423" s="1" t="str">
        <f t="shared" si="371"/>
        <v>مخازن قير اصفهان</v>
      </c>
      <c r="N1423" s="1">
        <v>1002</v>
      </c>
      <c r="O1423" s="1">
        <v>50034254</v>
      </c>
      <c r="P1423" s="1" t="str">
        <f>"  راه آژند"</f>
        <v xml:space="preserve">  راه آژند</v>
      </c>
      <c r="Q1423" s="1">
        <v>62</v>
      </c>
      <c r="R1423" s="1" t="str">
        <f t="shared" si="372"/>
        <v>فروش داخلي - سازمان بنيادمسكن انقلاب اسلامي</v>
      </c>
      <c r="S1423" s="1" t="str">
        <f t="shared" si="367"/>
        <v>قرارداد فروش</v>
      </c>
      <c r="T1423" s="1" t="str">
        <f t="shared" si="368"/>
        <v>ندارد</v>
      </c>
      <c r="U1423" s="1" t="str">
        <f>"سيفي پور عبدالمجيد(1009ج89)"</f>
        <v>سيفي پور عبدالمجيد(1009ج89)</v>
      </c>
      <c r="V1423" s="1">
        <v>956200406</v>
      </c>
      <c r="W1423" s="1">
        <v>956200406</v>
      </c>
      <c r="X1423" s="1" t="str">
        <f>"1395470892"</f>
        <v>1395470892</v>
      </c>
      <c r="Y1423" s="1" t="str">
        <f>"95/12/25"</f>
        <v>95/12/25</v>
      </c>
      <c r="Z1423" s="1" t="str">
        <f>"57004/د"</f>
        <v>57004/د</v>
      </c>
      <c r="AA1423" s="1" t="str">
        <f t="shared" si="373"/>
        <v>بنيادمسكن انقلاب اسلامي</v>
      </c>
      <c r="AB1423" s="1" t="str">
        <f>"95/12/22"</f>
        <v>95/12/22</v>
      </c>
      <c r="AC1423" s="1" t="str">
        <f>"استان اصفهان"</f>
        <v>استان اصفهان</v>
      </c>
      <c r="AD1423" s="1" t="str">
        <f>"95/12/23"</f>
        <v>95/12/23</v>
      </c>
      <c r="AE1423" s="1" t="str">
        <f t="shared" si="361"/>
        <v>اختتام</v>
      </c>
      <c r="AF1423" s="1" t="str">
        <f>""</f>
        <v/>
      </c>
      <c r="AG1423" s="1" t="str">
        <f>""</f>
        <v/>
      </c>
      <c r="AH1423" s="1" t="str">
        <f>""</f>
        <v/>
      </c>
      <c r="AI1423" s="1" t="str">
        <f>""</f>
        <v/>
      </c>
      <c r="AJ1423" s="1" t="str">
        <f>""</f>
        <v/>
      </c>
      <c r="AK1423" s="1" t="str">
        <f>""</f>
        <v/>
      </c>
    </row>
    <row r="1424" spans="1:37" x14ac:dyDescent="0.2">
      <c r="A1424" s="1">
        <v>136000</v>
      </c>
      <c r="B1424" s="1">
        <v>956200327</v>
      </c>
      <c r="C1424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1424" s="1">
        <v>8848</v>
      </c>
      <c r="E1424" s="1">
        <v>135840</v>
      </c>
      <c r="F1424" s="1">
        <v>95</v>
      </c>
      <c r="G1424" s="1">
        <v>160</v>
      </c>
      <c r="H1424" s="1" t="str">
        <f>"95/12/14"</f>
        <v>95/12/14</v>
      </c>
      <c r="I1424" s="1" t="str">
        <f t="shared" si="366"/>
        <v>كيلوگرم</v>
      </c>
      <c r="J1424" s="1" t="str">
        <f>"1000000002"</f>
        <v>1000000002</v>
      </c>
      <c r="K1424" s="1" t="str">
        <f>"قير 85/100 - فله"</f>
        <v>قير 85/100 - فله</v>
      </c>
      <c r="L1424" s="1">
        <v>100</v>
      </c>
      <c r="M1424" s="1" t="str">
        <f t="shared" si="371"/>
        <v>مخازن قير اصفهان</v>
      </c>
      <c r="N1424" s="1">
        <v>10053</v>
      </c>
      <c r="O1424" s="1">
        <v>50033997</v>
      </c>
      <c r="P1424" s="1" t="str">
        <f>"  پوشش راه هگمتانه"</f>
        <v xml:space="preserve">  پوشش راه هگمتانه</v>
      </c>
      <c r="Q1424" s="1">
        <v>62</v>
      </c>
      <c r="R1424" s="1" t="str">
        <f t="shared" si="372"/>
        <v>فروش داخلي - سازمان بنيادمسكن انقلاب اسلامي</v>
      </c>
      <c r="S1424" s="1" t="str">
        <f t="shared" si="367"/>
        <v>قرارداد فروش</v>
      </c>
      <c r="T1424" s="1" t="str">
        <f t="shared" si="368"/>
        <v>ندارد</v>
      </c>
      <c r="U1424" s="1" t="str">
        <f>"حاجيلوئي علي اصغر(2842019)"</f>
        <v>حاجيلوئي علي اصغر(2842019)</v>
      </c>
      <c r="V1424" s="1">
        <v>956200327</v>
      </c>
      <c r="W1424" s="1">
        <v>956200327</v>
      </c>
      <c r="X1424" s="1" t="str">
        <f>"1395468929"</f>
        <v>1395468929</v>
      </c>
      <c r="Y1424" s="1" t="str">
        <f>"95/12/14"</f>
        <v>95/12/14</v>
      </c>
      <c r="Z1424" s="1" t="str">
        <f>"54962/د"</f>
        <v>54962/د</v>
      </c>
      <c r="AA1424" s="1" t="str">
        <f t="shared" si="373"/>
        <v>بنيادمسكن انقلاب اسلامي</v>
      </c>
      <c r="AB1424" s="1" t="str">
        <f>"95/12/14"</f>
        <v>95/12/14</v>
      </c>
      <c r="AC1424" s="1" t="str">
        <f>"استان همدان"</f>
        <v>استان همدان</v>
      </c>
      <c r="AD1424" s="1" t="str">
        <f>"95/12/14"</f>
        <v>95/12/14</v>
      </c>
      <c r="AE1424" s="1" t="str">
        <f t="shared" ref="AE1424:AE1436" si="374">"اختتام"</f>
        <v>اختتام</v>
      </c>
      <c r="AF1424" s="1" t="str">
        <f>""</f>
        <v/>
      </c>
      <c r="AG1424" s="1" t="str">
        <f>""</f>
        <v/>
      </c>
      <c r="AH1424" s="1" t="str">
        <f>""</f>
        <v/>
      </c>
      <c r="AI1424" s="1" t="str">
        <f>""</f>
        <v/>
      </c>
      <c r="AJ1424" s="1" t="str">
        <f>""</f>
        <v/>
      </c>
      <c r="AK1424" s="1" t="str">
        <f>""</f>
        <v/>
      </c>
    </row>
    <row r="1425" spans="1:37" x14ac:dyDescent="0.2">
      <c r="A1425" s="1">
        <v>172000</v>
      </c>
      <c r="B1425" s="1">
        <v>951700045</v>
      </c>
      <c r="C1425" s="1" t="str">
        <f>"تخليه -خراسان جنوبي -كارخانه گيتي گستر"</f>
        <v>تخليه -خراسان جنوبي -كارخانه گيتي گستر</v>
      </c>
      <c r="D1425" s="1">
        <v>9860</v>
      </c>
      <c r="E1425" s="1">
        <v>168920</v>
      </c>
      <c r="F1425" s="1">
        <v>95</v>
      </c>
      <c r="G1425" s="1">
        <v>3080</v>
      </c>
      <c r="H1425" s="1" t="str">
        <f>"95/03/25"</f>
        <v>95/03/25</v>
      </c>
      <c r="I1425" s="1" t="str">
        <f t="shared" si="366"/>
        <v>كيلوگرم</v>
      </c>
      <c r="J1425" s="1" t="str">
        <f>"1000000003"</f>
        <v>1000000003</v>
      </c>
      <c r="K1425" s="1" t="str">
        <f>"قير MC250"</f>
        <v>قير MC250</v>
      </c>
      <c r="L1425" s="1">
        <v>100</v>
      </c>
      <c r="M1425" s="1" t="str">
        <f t="shared" si="371"/>
        <v>مخازن قير اصفهان</v>
      </c>
      <c r="N1425" s="1">
        <v>4012</v>
      </c>
      <c r="O1425" s="1">
        <v>50031048</v>
      </c>
      <c r="P1425" s="1" t="str">
        <f>"  اداره كل راه و شهرسازي خراسان جنوبي"</f>
        <v xml:space="preserve">  اداره كل راه و شهرسازي خراسان جنوبي</v>
      </c>
      <c r="Q1425" s="1">
        <v>17</v>
      </c>
      <c r="R1425" s="1" t="str">
        <f>"فروش داخلي تهران - وزارت راه - راه روستايي - روکش"</f>
        <v>فروش داخلي تهران - وزارت راه - راه روستايي - روکش</v>
      </c>
      <c r="S1425" s="1" t="str">
        <f t="shared" si="367"/>
        <v>قرارداد فروش</v>
      </c>
      <c r="T1425" s="1" t="str">
        <f t="shared" si="368"/>
        <v>ندارد</v>
      </c>
      <c r="U1425" s="1" t="str">
        <f>"بابامحمدي عنايت اله(4844000)"</f>
        <v>بابامحمدي عنايت اله(4844000)</v>
      </c>
      <c r="V1425" s="1">
        <v>951700045</v>
      </c>
      <c r="W1425" s="1">
        <v>951700045</v>
      </c>
      <c r="X1425" s="1" t="str">
        <f>"1395409194"</f>
        <v>1395409194</v>
      </c>
      <c r="Y1425" s="1" t="str">
        <f>"95/03/25"</f>
        <v>95/03/25</v>
      </c>
      <c r="Z1425" s="1" t="str">
        <f>"11823/510"</f>
        <v>11823/510</v>
      </c>
      <c r="AA1425" s="1" t="str">
        <f>"راه روستائي -روكش"</f>
        <v>راه روستائي -روكش</v>
      </c>
      <c r="AB1425" s="1" t="str">
        <f>"95/03/23"</f>
        <v>95/03/23</v>
      </c>
      <c r="AC1425" s="1" t="str">
        <f>"خراسان جنوبي"</f>
        <v>خراسان جنوبي</v>
      </c>
      <c r="AD1425" s="1" t="str">
        <f>"95/03/25"</f>
        <v>95/03/25</v>
      </c>
      <c r="AE1425" s="1" t="str">
        <f t="shared" si="374"/>
        <v>اختتام</v>
      </c>
      <c r="AF1425" s="1" t="str">
        <f>""</f>
        <v/>
      </c>
      <c r="AG1425" s="1" t="str">
        <f>""</f>
        <v/>
      </c>
      <c r="AH1425" s="1" t="str">
        <f>""</f>
        <v/>
      </c>
      <c r="AI1425" s="1" t="str">
        <f>""</f>
        <v/>
      </c>
      <c r="AJ1425" s="1" t="str">
        <f>""</f>
        <v/>
      </c>
      <c r="AK1425" s="1" t="str">
        <f>""</f>
        <v/>
      </c>
    </row>
    <row r="1426" spans="1:37" x14ac:dyDescent="0.2">
      <c r="A1426" s="1">
        <v>25000</v>
      </c>
      <c r="B1426" s="1">
        <v>951100140</v>
      </c>
      <c r="C1426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1426" s="1">
        <v>12280</v>
      </c>
      <c r="E1426" s="1">
        <v>22880</v>
      </c>
      <c r="F1426" s="1">
        <v>95</v>
      </c>
      <c r="G1426" s="1">
        <v>2120</v>
      </c>
      <c r="H1426" s="1" t="str">
        <f>"95/08/18"</f>
        <v>95/08/18</v>
      </c>
      <c r="I1426" s="1" t="str">
        <f t="shared" si="366"/>
        <v>كيلوگرم</v>
      </c>
      <c r="J1426" s="1" t="str">
        <f>"1000000003"</f>
        <v>1000000003</v>
      </c>
      <c r="K1426" s="1" t="str">
        <f>"قير MC250"</f>
        <v>قير MC250</v>
      </c>
      <c r="L1426" s="1">
        <v>100</v>
      </c>
      <c r="M1426" s="1" t="str">
        <f t="shared" si="371"/>
        <v>مخازن قير اصفهان</v>
      </c>
      <c r="N1426" s="1">
        <v>1665</v>
      </c>
      <c r="O1426" s="1">
        <v>50032562</v>
      </c>
      <c r="P1426" s="1" t="str">
        <f>"  جهاد نصر يزد"</f>
        <v xml:space="preserve">  جهاد نصر يزد</v>
      </c>
      <c r="Q1426" s="1">
        <v>11</v>
      </c>
      <c r="R1426" s="1" t="str">
        <f>"فروش داخلي تهران - بورس"</f>
        <v>فروش داخلي تهران - بورس</v>
      </c>
      <c r="S1426" s="1" t="str">
        <f t="shared" si="367"/>
        <v>قرارداد فروش</v>
      </c>
      <c r="T1426" s="1" t="str">
        <f t="shared" si="368"/>
        <v>ندارد</v>
      </c>
      <c r="U1426" s="1" t="str">
        <f>"غلام نجفي سيامك‌‌‌‌‌‌(1881082)"</f>
        <v>غلام نجفي سيامك‌‌‌‌‌‌(1881082)</v>
      </c>
      <c r="V1426" s="1">
        <v>951100140</v>
      </c>
      <c r="W1426" s="1">
        <v>951100140</v>
      </c>
      <c r="X1426" s="1" t="str">
        <f>"1395443379"</f>
        <v>1395443379</v>
      </c>
      <c r="Y1426" s="1" t="str">
        <f>"95/08/17"</f>
        <v>95/08/17</v>
      </c>
      <c r="Z1426" s="1" t="str">
        <f>"5937/ش/ن /95"</f>
        <v>5937/ش/ن /95</v>
      </c>
      <c r="AA1426" s="1" t="str">
        <f>"راه سازي"</f>
        <v>راه سازي</v>
      </c>
      <c r="AB1426" s="1" t="str">
        <f>"95/08/16"</f>
        <v>95/08/16</v>
      </c>
      <c r="AC1426" s="1" t="str">
        <f>"استان گلستان"</f>
        <v>استان گلستان</v>
      </c>
      <c r="AD1426" s="1" t="str">
        <f>"95/08/17"</f>
        <v>95/08/17</v>
      </c>
      <c r="AE1426" s="1" t="str">
        <f t="shared" si="374"/>
        <v>اختتام</v>
      </c>
      <c r="AF1426" s="1" t="str">
        <f>""</f>
        <v/>
      </c>
      <c r="AG1426" s="1" t="str">
        <f>""</f>
        <v/>
      </c>
      <c r="AH1426" s="1" t="str">
        <f>""</f>
        <v/>
      </c>
      <c r="AI1426" s="1" t="str">
        <f>""</f>
        <v/>
      </c>
      <c r="AJ1426" s="1" t="str">
        <f>""</f>
        <v/>
      </c>
      <c r="AK1426" s="1" t="str">
        <f>""</f>
        <v/>
      </c>
    </row>
    <row r="1427" spans="1:37" x14ac:dyDescent="0.2">
      <c r="A1427" s="1">
        <v>25000</v>
      </c>
      <c r="B1427" s="1">
        <v>951100051</v>
      </c>
      <c r="C1427" s="1" t="str">
        <f>"تربت حيدريه كيلومتر45محورمشهد-تربت حيدريه"</f>
        <v>تربت حيدريه كيلومتر45محورمشهد-تربت حيدريه</v>
      </c>
      <c r="D1427" s="1">
        <v>9324</v>
      </c>
      <c r="E1427" s="1">
        <v>22320</v>
      </c>
      <c r="F1427" s="1">
        <v>95</v>
      </c>
      <c r="G1427" s="1">
        <v>2680</v>
      </c>
      <c r="H1427" s="1" t="str">
        <f>"95/02/28"</f>
        <v>95/02/28</v>
      </c>
      <c r="I1427" s="1" t="str">
        <f t="shared" si="366"/>
        <v>كيلوگرم</v>
      </c>
      <c r="J1427" s="1" t="str">
        <f>"1000000003"</f>
        <v>1000000003</v>
      </c>
      <c r="K1427" s="1" t="str">
        <f>"قير MC250"</f>
        <v>قير MC250</v>
      </c>
      <c r="L1427" s="1">
        <v>100</v>
      </c>
      <c r="M1427" s="1" t="str">
        <f t="shared" si="371"/>
        <v>مخازن قير اصفهان</v>
      </c>
      <c r="N1427" s="1">
        <v>4079</v>
      </c>
      <c r="O1427" s="1">
        <v>50030858</v>
      </c>
      <c r="P1427" s="1" t="str">
        <f>"  طوس عامر"</f>
        <v xml:space="preserve">  طوس عامر</v>
      </c>
      <c r="Q1427" s="1">
        <v>11</v>
      </c>
      <c r="R1427" s="1" t="str">
        <f>"فروش داخلي تهران - بورس"</f>
        <v>فروش داخلي تهران - بورس</v>
      </c>
      <c r="S1427" s="1" t="str">
        <f t="shared" si="367"/>
        <v>قرارداد فروش</v>
      </c>
      <c r="T1427" s="1" t="str">
        <f t="shared" si="368"/>
        <v>ندارد</v>
      </c>
      <c r="U1427" s="1" t="str">
        <f>"حسيني حسن(1841075)"</f>
        <v>حسيني حسن(1841075)</v>
      </c>
      <c r="V1427" s="1">
        <v>951100051</v>
      </c>
      <c r="W1427" s="1">
        <v>951100051</v>
      </c>
      <c r="X1427" s="1" t="str">
        <f>"1395404431"</f>
        <v>1395404431</v>
      </c>
      <c r="Y1427" s="1" t="str">
        <f>"95/02/28"</f>
        <v>95/02/28</v>
      </c>
      <c r="Z1427" s="1" t="str">
        <f>"95/21355"</f>
        <v>95/21355</v>
      </c>
      <c r="AA1427" s="1" t="str">
        <f>"راه سازي"</f>
        <v>راه سازي</v>
      </c>
      <c r="AB1427" s="1" t="str">
        <f>"95/02/21"</f>
        <v>95/02/21</v>
      </c>
      <c r="AC1427" s="1" t="str">
        <f>"خراسان رضوي"</f>
        <v>خراسان رضوي</v>
      </c>
      <c r="AD1427" s="1" t="str">
        <f>"95/02/27"</f>
        <v>95/02/27</v>
      </c>
      <c r="AE1427" s="1" t="str">
        <f t="shared" si="374"/>
        <v>اختتام</v>
      </c>
      <c r="AF1427" s="1" t="str">
        <f>""</f>
        <v/>
      </c>
      <c r="AG1427" s="1" t="str">
        <f>""</f>
        <v/>
      </c>
      <c r="AH1427" s="1" t="str">
        <f>""</f>
        <v/>
      </c>
      <c r="AI1427" s="1" t="str">
        <f>""</f>
        <v/>
      </c>
      <c r="AJ1427" s="1" t="str">
        <f>""</f>
        <v/>
      </c>
      <c r="AK1427" s="1" t="str">
        <f>""</f>
        <v/>
      </c>
    </row>
    <row r="1428" spans="1:37" x14ac:dyDescent="0.2">
      <c r="A1428" s="1">
        <v>75000</v>
      </c>
      <c r="B1428" s="1">
        <v>952000062</v>
      </c>
      <c r="C1428" s="1" t="str">
        <f>"تخليه - چهارمحال و بختياري- شرکت احمديه چليچه"</f>
        <v>تخليه - چهارمحال و بختياري- شرکت احمديه چليچه</v>
      </c>
      <c r="D1428" s="1">
        <v>6876</v>
      </c>
      <c r="E1428" s="1">
        <v>73480</v>
      </c>
      <c r="F1428" s="1">
        <v>95</v>
      </c>
      <c r="G1428" s="1">
        <v>1520</v>
      </c>
      <c r="H1428" s="1" t="str">
        <f>"95/06/14"</f>
        <v>95/06/14</v>
      </c>
      <c r="I1428" s="1" t="str">
        <f t="shared" si="366"/>
        <v>كيلوگرم</v>
      </c>
      <c r="J1428" s="1" t="str">
        <f>"1000000002"</f>
        <v>1000000002</v>
      </c>
      <c r="K1428" s="1" t="str">
        <f>"قير 85/100 - فله"</f>
        <v>قير 85/100 - فله</v>
      </c>
      <c r="L1428" s="1">
        <v>100</v>
      </c>
      <c r="M1428" s="1" t="str">
        <f t="shared" si="371"/>
        <v>مخازن قير اصفهان</v>
      </c>
      <c r="N1428" s="1">
        <v>10702</v>
      </c>
      <c r="O1428" s="1">
        <v>50031763</v>
      </c>
      <c r="P1428" s="1" t="str">
        <f>"  شهرداري گوجان"</f>
        <v xml:space="preserve">  شهرداري گوجان</v>
      </c>
      <c r="Q1428" s="1">
        <v>20</v>
      </c>
      <c r="R1428" s="1" t="str">
        <f>"فروش داخلي - سازمان شهرداري ها و دهياري هاي كشور"</f>
        <v>فروش داخلي - سازمان شهرداري ها و دهياري هاي كشور</v>
      </c>
      <c r="S1428" s="1" t="str">
        <f t="shared" si="367"/>
        <v>قرارداد فروش</v>
      </c>
      <c r="T1428" s="1" t="str">
        <f t="shared" si="368"/>
        <v>ندارد</v>
      </c>
      <c r="U1428" s="1" t="str">
        <f>"قره باغي مجيد(1871065)"</f>
        <v>قره باغي مجيد(1871065)</v>
      </c>
      <c r="V1428" s="1">
        <v>952000062</v>
      </c>
      <c r="W1428" s="1">
        <v>952000062</v>
      </c>
      <c r="X1428" s="1" t="str">
        <f>"1395428835"</f>
        <v>1395428835</v>
      </c>
      <c r="Y1428" s="1" t="str">
        <f>"95/06/14"</f>
        <v>95/06/14</v>
      </c>
      <c r="Z1428" s="1" t="str">
        <f>"19740"</f>
        <v>19740</v>
      </c>
      <c r="AA1428" s="1" t="str">
        <f>"شهرداريها"</f>
        <v>شهرداريها</v>
      </c>
      <c r="AB1428" s="1" t="str">
        <f>"95/05/06"</f>
        <v>95/05/06</v>
      </c>
      <c r="AC1428" s="1" t="str">
        <f>"استان چهارمحال بختياري"</f>
        <v>استان چهارمحال بختياري</v>
      </c>
      <c r="AD1428" s="1" t="str">
        <f>"95/06/13"</f>
        <v>95/06/13</v>
      </c>
      <c r="AE1428" s="1" t="str">
        <f t="shared" si="374"/>
        <v>اختتام</v>
      </c>
      <c r="AF1428" s="1" t="str">
        <f>""</f>
        <v/>
      </c>
      <c r="AG1428" s="1" t="str">
        <f>""</f>
        <v/>
      </c>
      <c r="AH1428" s="1" t="str">
        <f>""</f>
        <v/>
      </c>
      <c r="AI1428" s="1" t="str">
        <f>""</f>
        <v/>
      </c>
      <c r="AJ1428" s="1" t="str">
        <f>""</f>
        <v/>
      </c>
      <c r="AK1428" s="1" t="str">
        <f>""</f>
        <v/>
      </c>
    </row>
    <row r="1429" spans="1:37" x14ac:dyDescent="0.2">
      <c r="A1429" s="1">
        <v>600000</v>
      </c>
      <c r="B1429" s="1">
        <v>951700112</v>
      </c>
      <c r="C1429" s="1" t="str">
        <f>"تخليه -سيستان وبلوچستان -مخازن قيرادارات تابعه"</f>
        <v>تخليه -سيستان وبلوچستان -مخازن قيرادارات تابعه</v>
      </c>
      <c r="D1429" s="1">
        <v>9980</v>
      </c>
      <c r="E1429" s="1">
        <v>600000</v>
      </c>
      <c r="F1429" s="1">
        <v>95</v>
      </c>
      <c r="G1429" s="1">
        <v>0</v>
      </c>
      <c r="H1429" s="1" t="str">
        <f>"95/04/28"</f>
        <v>95/04/28</v>
      </c>
      <c r="I1429" s="1" t="str">
        <f t="shared" si="366"/>
        <v>كيلوگرم</v>
      </c>
      <c r="J1429" s="1" t="str">
        <f>"1000000003"</f>
        <v>1000000003</v>
      </c>
      <c r="K1429" s="1" t="str">
        <f>"قير MC250"</f>
        <v>قير MC250</v>
      </c>
      <c r="L1429" s="1">
        <v>100</v>
      </c>
      <c r="M1429" s="1" t="str">
        <f t="shared" si="371"/>
        <v>مخازن قير اصفهان</v>
      </c>
      <c r="N1429" s="1">
        <v>4095</v>
      </c>
      <c r="O1429" s="1">
        <v>50031307</v>
      </c>
      <c r="P1429" s="1" t="str">
        <f>"  اداره كل راه وشهرسازي سيستان وبلوچستان"</f>
        <v xml:space="preserve">  اداره كل راه وشهرسازي سيستان وبلوچستان</v>
      </c>
      <c r="Q1429" s="1">
        <v>17</v>
      </c>
      <c r="R1429" s="1" t="str">
        <f>"فروش داخلي تهران - وزارت راه - راه روستايي - روکش"</f>
        <v>فروش داخلي تهران - وزارت راه - راه روستايي - روکش</v>
      </c>
      <c r="S1429" s="1" t="str">
        <f t="shared" si="367"/>
        <v>قرارداد فروش</v>
      </c>
      <c r="T1429" s="1" t="str">
        <f t="shared" si="368"/>
        <v>ندارد</v>
      </c>
      <c r="U1429" s="1" t="str">
        <f>"نگهبان چاپارسبزجاده عليرضا(1043ج 94)"</f>
        <v>نگهبان چاپارسبزجاده عليرضا(1043ج 94)</v>
      </c>
      <c r="V1429" s="1">
        <v>951700112</v>
      </c>
      <c r="W1429" s="1">
        <v>951700112</v>
      </c>
      <c r="X1429" s="1" t="str">
        <f>"1395416201"</f>
        <v>1395416201</v>
      </c>
      <c r="Y1429" s="1" t="str">
        <f>"95/04/28"</f>
        <v>95/04/28</v>
      </c>
      <c r="Z1429" s="1" t="str">
        <f>"17841/510"</f>
        <v>17841/510</v>
      </c>
      <c r="AA1429" s="1" t="str">
        <f>"راه روستائي -روكش"</f>
        <v>راه روستائي -روكش</v>
      </c>
      <c r="AB1429" s="1" t="str">
        <f>"95/04/26"</f>
        <v>95/04/26</v>
      </c>
      <c r="AC1429" s="1" t="str">
        <f>"استان سيستان بلوچستان"</f>
        <v>استان سيستان بلوچستان</v>
      </c>
      <c r="AD1429" s="1" t="str">
        <f>"95/04/28"</f>
        <v>95/04/28</v>
      </c>
      <c r="AE1429" s="1" t="str">
        <f t="shared" si="374"/>
        <v>اختتام</v>
      </c>
      <c r="AF1429" s="1" t="str">
        <f>""</f>
        <v/>
      </c>
      <c r="AG1429" s="1" t="str">
        <f>""</f>
        <v/>
      </c>
      <c r="AH1429" s="1" t="str">
        <f>""</f>
        <v/>
      </c>
      <c r="AI1429" s="1" t="str">
        <f>""</f>
        <v/>
      </c>
      <c r="AJ1429" s="1" t="str">
        <f>""</f>
        <v/>
      </c>
      <c r="AK1429" s="1" t="str">
        <f>""</f>
        <v/>
      </c>
    </row>
    <row r="1430" spans="1:37" x14ac:dyDescent="0.2">
      <c r="A1430" s="1">
        <v>63000</v>
      </c>
      <c r="B1430" s="1">
        <v>951100169</v>
      </c>
      <c r="C1430" s="1" t="str">
        <f>"تخليه سيستان وبلوچستان -ادارات تابعه وشركت هاي طرف قراردادبااداره كل راه وشهرسازي سيستان وبلوچستان"</f>
        <v>تخليه سيستان وبلوچستان -ادارات تابعه وشركت هاي طرف قراردادبااداره كل راه وشهرسازي سيستان وبلوچستان</v>
      </c>
      <c r="D1430" s="1">
        <v>12507</v>
      </c>
      <c r="E1430" s="1">
        <v>61720</v>
      </c>
      <c r="F1430" s="1">
        <v>95</v>
      </c>
      <c r="G1430" s="1">
        <v>1280</v>
      </c>
      <c r="H1430" s="1" t="str">
        <f>"95/10/08"</f>
        <v>95/10/08</v>
      </c>
      <c r="I1430" s="1" t="str">
        <f t="shared" si="366"/>
        <v>كيلوگرم</v>
      </c>
      <c r="J1430" s="1" t="str">
        <f>"1000000003"</f>
        <v>1000000003</v>
      </c>
      <c r="K1430" s="1" t="str">
        <f>"قير MC250"</f>
        <v>قير MC250</v>
      </c>
      <c r="L1430" s="1">
        <v>100</v>
      </c>
      <c r="M1430" s="1" t="str">
        <f t="shared" si="371"/>
        <v>مخازن قير اصفهان</v>
      </c>
      <c r="N1430" s="1">
        <v>4095</v>
      </c>
      <c r="O1430" s="1">
        <v>50033212</v>
      </c>
      <c r="P1430" s="1" t="str">
        <f>"  اداره كل راه وشهرسازي سيستان وبلوچستان"</f>
        <v xml:space="preserve">  اداره كل راه وشهرسازي سيستان وبلوچستان</v>
      </c>
      <c r="Q1430" s="1">
        <v>11</v>
      </c>
      <c r="R1430" s="1" t="str">
        <f>"فروش داخلي تهران - بورس"</f>
        <v>فروش داخلي تهران - بورس</v>
      </c>
      <c r="S1430" s="1" t="str">
        <f t="shared" si="367"/>
        <v>قرارداد فروش</v>
      </c>
      <c r="T1430" s="1" t="str">
        <f t="shared" si="368"/>
        <v>ندارد</v>
      </c>
      <c r="U1430" s="1" t="str">
        <f>"ميرحسيني چاپارحقيقت كرمان(4844008)"</f>
        <v>ميرحسيني چاپارحقيقت كرمان(4844008)</v>
      </c>
      <c r="V1430" s="1">
        <v>951100169</v>
      </c>
      <c r="W1430" s="1">
        <v>951100169</v>
      </c>
      <c r="X1430" s="1" t="str">
        <f>"1395455863"</f>
        <v>1395455863</v>
      </c>
      <c r="Y1430" s="1" t="str">
        <f>"95/10/08"</f>
        <v>95/10/08</v>
      </c>
      <c r="Z1430" s="1" t="str">
        <f>"19/37344الف"</f>
        <v>19/37344الف</v>
      </c>
      <c r="AA1430" s="1" t="str">
        <f>"وزارت راه و ترابري-استانها"</f>
        <v>وزارت راه و ترابري-استانها</v>
      </c>
      <c r="AB1430" s="1" t="str">
        <f>"95/10/07"</f>
        <v>95/10/07</v>
      </c>
      <c r="AC1430" s="1" t="str">
        <f>"استان سيستان بلوچستان"</f>
        <v>استان سيستان بلوچستان</v>
      </c>
      <c r="AD1430" s="1" t="str">
        <f>"95/10/08"</f>
        <v>95/10/08</v>
      </c>
      <c r="AE1430" s="1" t="str">
        <f t="shared" si="374"/>
        <v>اختتام</v>
      </c>
      <c r="AF1430" s="1" t="str">
        <f>""</f>
        <v/>
      </c>
      <c r="AG1430" s="1" t="str">
        <f>""</f>
        <v/>
      </c>
      <c r="AH1430" s="1" t="str">
        <f>""</f>
        <v/>
      </c>
      <c r="AI1430" s="1" t="str">
        <f>""</f>
        <v/>
      </c>
      <c r="AJ1430" s="1" t="str">
        <f>""</f>
        <v/>
      </c>
      <c r="AK1430" s="1" t="str">
        <f>""</f>
        <v/>
      </c>
    </row>
    <row r="1431" spans="1:37" x14ac:dyDescent="0.2">
      <c r="A1431" s="1">
        <v>77000</v>
      </c>
      <c r="B1431" s="1">
        <v>952000210</v>
      </c>
      <c r="C1431" s="1" t="str">
        <f>"تخليه -چهارمحال بختياري -شهركرد-سازمان همياري شهرداريهاي چهارمحال وبختياري"</f>
        <v>تخليه -چهارمحال بختياري -شهركرد-سازمان همياري شهرداريهاي چهارمحال وبختياري</v>
      </c>
      <c r="D1431" s="1">
        <v>8023</v>
      </c>
      <c r="E1431" s="1">
        <v>76880</v>
      </c>
      <c r="F1431" s="1">
        <v>95</v>
      </c>
      <c r="G1431" s="1">
        <v>120</v>
      </c>
      <c r="H1431" s="1" t="str">
        <f>"95/08/16"</f>
        <v>95/08/16</v>
      </c>
      <c r="I1431" s="1" t="str">
        <f t="shared" si="366"/>
        <v>كيلوگرم</v>
      </c>
      <c r="J1431" s="1" t="str">
        <f t="shared" ref="J1431:J1436" si="375">"1000000002"</f>
        <v>1000000002</v>
      </c>
      <c r="K1431" s="1" t="str">
        <f t="shared" ref="K1431:K1436" si="376">"قير 85/100 - فله"</f>
        <v>قير 85/100 - فله</v>
      </c>
      <c r="L1431" s="1">
        <v>100</v>
      </c>
      <c r="M1431" s="1" t="str">
        <f t="shared" si="371"/>
        <v>مخازن قير اصفهان</v>
      </c>
      <c r="N1431" s="1">
        <v>10794</v>
      </c>
      <c r="O1431" s="1">
        <v>50032521</v>
      </c>
      <c r="P1431" s="1" t="str">
        <f>"  شهرداري طاقانك"</f>
        <v xml:space="preserve">  شهرداري طاقانك</v>
      </c>
      <c r="Q1431" s="1">
        <v>20</v>
      </c>
      <c r="R1431" s="1" t="str">
        <f>"فروش داخلي - سازمان شهرداري ها و دهياري هاي كشور"</f>
        <v>فروش داخلي - سازمان شهرداري ها و دهياري هاي كشور</v>
      </c>
      <c r="S1431" s="1" t="str">
        <f t="shared" si="367"/>
        <v>قرارداد فروش</v>
      </c>
      <c r="T1431" s="1" t="str">
        <f t="shared" si="368"/>
        <v>ندارد</v>
      </c>
      <c r="U1431" s="1" t="str">
        <f>"سيفي پور گودرز(1019ج89)"</f>
        <v>سيفي پور گودرز(1019ج89)</v>
      </c>
      <c r="V1431" s="1">
        <v>952000210</v>
      </c>
      <c r="W1431" s="1">
        <v>952000210</v>
      </c>
      <c r="X1431" s="1" t="str">
        <f>"1395443205"</f>
        <v>1395443205</v>
      </c>
      <c r="Y1431" s="1" t="str">
        <f>"95/08/16"</f>
        <v>95/08/16</v>
      </c>
      <c r="Z1431" s="1" t="str">
        <f>"39320"</f>
        <v>39320</v>
      </c>
      <c r="AA1431" s="1" t="str">
        <f>"شهرداريها"</f>
        <v>شهرداريها</v>
      </c>
      <c r="AB1431" s="1" t="str">
        <f>"95/08/11"</f>
        <v>95/08/11</v>
      </c>
      <c r="AC1431" s="1" t="str">
        <f t="shared" ref="AC1431:AC1436" si="377">"استان چهارمحال بختياري"</f>
        <v>استان چهارمحال بختياري</v>
      </c>
      <c r="AD1431" s="1" t="str">
        <f>"95/08/15"</f>
        <v>95/08/15</v>
      </c>
      <c r="AE1431" s="1" t="str">
        <f t="shared" si="374"/>
        <v>اختتام</v>
      </c>
      <c r="AF1431" s="1" t="str">
        <f>""</f>
        <v/>
      </c>
      <c r="AG1431" s="1" t="str">
        <f>""</f>
        <v/>
      </c>
      <c r="AH1431" s="1" t="str">
        <f>""</f>
        <v/>
      </c>
      <c r="AI1431" s="1" t="str">
        <f>""</f>
        <v/>
      </c>
      <c r="AJ1431" s="1" t="str">
        <f>""</f>
        <v/>
      </c>
      <c r="AK1431" s="1" t="str">
        <f>""</f>
        <v/>
      </c>
    </row>
    <row r="1432" spans="1:37" x14ac:dyDescent="0.2">
      <c r="A1432" s="1">
        <v>135000</v>
      </c>
      <c r="B1432" s="1">
        <v>952000167</v>
      </c>
      <c r="C1432" s="1" t="str">
        <f>"تخليه -چهارمحال بختياري چليچه شركت كارخانه آسفالت احمدي"</f>
        <v>تخليه -چهارمحال بختياري چليچه شركت كارخانه آسفالت احمدي</v>
      </c>
      <c r="D1432" s="1">
        <v>8023</v>
      </c>
      <c r="E1432" s="1">
        <v>133700</v>
      </c>
      <c r="F1432" s="1">
        <v>95</v>
      </c>
      <c r="G1432" s="1">
        <v>1300</v>
      </c>
      <c r="H1432" s="1" t="str">
        <f>"95/08/09"</f>
        <v>95/08/09</v>
      </c>
      <c r="I1432" s="1" t="str">
        <f t="shared" si="366"/>
        <v>كيلوگرم</v>
      </c>
      <c r="J1432" s="1" t="str">
        <f t="shared" si="375"/>
        <v>1000000002</v>
      </c>
      <c r="K1432" s="1" t="str">
        <f t="shared" si="376"/>
        <v>قير 85/100 - فله</v>
      </c>
      <c r="L1432" s="1">
        <v>100</v>
      </c>
      <c r="M1432" s="1" t="str">
        <f t="shared" si="371"/>
        <v>مخازن قير اصفهان</v>
      </c>
      <c r="N1432" s="1">
        <v>10854</v>
      </c>
      <c r="O1432" s="1">
        <v>50032429</v>
      </c>
      <c r="P1432" s="1" t="str">
        <f>"  شهرداري جونقان"</f>
        <v xml:space="preserve">  شهرداري جونقان</v>
      </c>
      <c r="Q1432" s="1">
        <v>20</v>
      </c>
      <c r="R1432" s="1" t="str">
        <f>"فروش داخلي - سازمان شهرداري ها و دهياري هاي كشور"</f>
        <v>فروش داخلي - سازمان شهرداري ها و دهياري هاي كشور</v>
      </c>
      <c r="S1432" s="1" t="str">
        <f t="shared" si="367"/>
        <v>قرارداد فروش</v>
      </c>
      <c r="T1432" s="1" t="str">
        <f t="shared" si="368"/>
        <v>ندارد</v>
      </c>
      <c r="U1432" s="1" t="str">
        <f>"مظلوم فريبرز(1008ج89)"</f>
        <v>مظلوم فريبرز(1008ج89)</v>
      </c>
      <c r="V1432" s="1">
        <v>952000167</v>
      </c>
      <c r="W1432" s="1">
        <v>952000167</v>
      </c>
      <c r="X1432" s="1" t="str">
        <f>"1395441431"</f>
        <v>1395441431</v>
      </c>
      <c r="Y1432" s="1" t="str">
        <f>"95/08/09"</f>
        <v>95/08/09</v>
      </c>
      <c r="Z1432" s="1" t="str">
        <f>"38484"</f>
        <v>38484</v>
      </c>
      <c r="AA1432" s="1" t="str">
        <f>"شهرداريها"</f>
        <v>شهرداريها</v>
      </c>
      <c r="AB1432" s="1" t="str">
        <f>"95/08/08"</f>
        <v>95/08/08</v>
      </c>
      <c r="AC1432" s="1" t="str">
        <f t="shared" si="377"/>
        <v>استان چهارمحال بختياري</v>
      </c>
      <c r="AD1432" s="1" t="str">
        <f>"95/08/09"</f>
        <v>95/08/09</v>
      </c>
      <c r="AE1432" s="1" t="str">
        <f t="shared" si="374"/>
        <v>اختتام</v>
      </c>
      <c r="AF1432" s="1" t="str">
        <f>""</f>
        <v/>
      </c>
      <c r="AG1432" s="1" t="str">
        <f>""</f>
        <v/>
      </c>
      <c r="AH1432" s="1" t="str">
        <f>""</f>
        <v/>
      </c>
      <c r="AI1432" s="1" t="str">
        <f>""</f>
        <v/>
      </c>
      <c r="AJ1432" s="1" t="str">
        <f>""</f>
        <v/>
      </c>
      <c r="AK1432" s="1" t="str">
        <f>""</f>
        <v/>
      </c>
    </row>
    <row r="1433" spans="1:37" x14ac:dyDescent="0.2">
      <c r="A1433" s="1">
        <v>65000</v>
      </c>
      <c r="B1433" s="1">
        <v>952000035</v>
      </c>
      <c r="C1433" s="1" t="str">
        <f>"تخليه -چهارمحال وبختياري اردل كارخانه شهرداري اردل"</f>
        <v>تخليه -چهارمحال وبختياري اردل كارخانه شهرداري اردل</v>
      </c>
      <c r="D1433" s="1">
        <v>6426</v>
      </c>
      <c r="E1433" s="1">
        <v>64640</v>
      </c>
      <c r="F1433" s="1">
        <v>95</v>
      </c>
      <c r="G1433" s="1">
        <v>360</v>
      </c>
      <c r="H1433" s="1" t="str">
        <f>"95/05/27"</f>
        <v>95/05/27</v>
      </c>
      <c r="I1433" s="1" t="str">
        <f t="shared" si="366"/>
        <v>كيلوگرم</v>
      </c>
      <c r="J1433" s="1" t="str">
        <f t="shared" si="375"/>
        <v>1000000002</v>
      </c>
      <c r="K1433" s="1" t="str">
        <f t="shared" si="376"/>
        <v>قير 85/100 - فله</v>
      </c>
      <c r="L1433" s="1">
        <v>100</v>
      </c>
      <c r="M1433" s="1" t="str">
        <f t="shared" si="371"/>
        <v>مخازن قير اصفهان</v>
      </c>
      <c r="N1433" s="1">
        <v>10867</v>
      </c>
      <c r="O1433" s="1">
        <v>50031585</v>
      </c>
      <c r="P1433" s="1" t="str">
        <f>"  شهرداري صمصامي"</f>
        <v xml:space="preserve">  شهرداري صمصامي</v>
      </c>
      <c r="Q1433" s="1">
        <v>20</v>
      </c>
      <c r="R1433" s="1" t="str">
        <f>"فروش داخلي - سازمان شهرداري ها و دهياري هاي كشور"</f>
        <v>فروش داخلي - سازمان شهرداري ها و دهياري هاي كشور</v>
      </c>
      <c r="S1433" s="1" t="str">
        <f t="shared" si="367"/>
        <v>قرارداد فروش</v>
      </c>
      <c r="T1433" s="1" t="str">
        <f t="shared" si="368"/>
        <v>ندارد</v>
      </c>
      <c r="U1433" s="1" t="str">
        <f>"قره باغي مجيد(1871065)"</f>
        <v>قره باغي مجيد(1871065)</v>
      </c>
      <c r="V1433" s="1">
        <v>952000035</v>
      </c>
      <c r="W1433" s="1">
        <v>952000035</v>
      </c>
      <c r="X1433" s="1" t="str">
        <f>"1395423681"</f>
        <v>1395423681</v>
      </c>
      <c r="Y1433" s="1" t="str">
        <f>"95/05/25"</f>
        <v>95/05/25</v>
      </c>
      <c r="Z1433" s="1" t="str">
        <f>"21256"</f>
        <v>21256</v>
      </c>
      <c r="AA1433" s="1" t="str">
        <f>"شهرداريها"</f>
        <v>شهرداريها</v>
      </c>
      <c r="AB1433" s="1" t="str">
        <f>"95/05/16"</f>
        <v>95/05/16</v>
      </c>
      <c r="AC1433" s="1" t="str">
        <f t="shared" si="377"/>
        <v>استان چهارمحال بختياري</v>
      </c>
      <c r="AD1433" s="1" t="str">
        <f>"95/05/24"</f>
        <v>95/05/24</v>
      </c>
      <c r="AE1433" s="1" t="str">
        <f t="shared" si="374"/>
        <v>اختتام</v>
      </c>
      <c r="AF1433" s="1" t="str">
        <f>""</f>
        <v/>
      </c>
      <c r="AG1433" s="1" t="str">
        <f>""</f>
        <v/>
      </c>
      <c r="AH1433" s="1" t="str">
        <f>""</f>
        <v/>
      </c>
      <c r="AI1433" s="1" t="str">
        <f>""</f>
        <v/>
      </c>
      <c r="AJ1433" s="1" t="str">
        <f>""</f>
        <v/>
      </c>
      <c r="AK1433" s="1" t="str">
        <f>""</f>
        <v/>
      </c>
    </row>
    <row r="1434" spans="1:37" x14ac:dyDescent="0.2">
      <c r="A1434" s="1">
        <v>293000</v>
      </c>
      <c r="B1434" s="1">
        <v>956200023</v>
      </c>
      <c r="C1434" s="1" t="str">
        <f>"تخليه-لردگان-فلارد-روستاي گنج-کارخانه آسفالت جانباز لردگان"</f>
        <v>تخليه-لردگان-فلارد-روستاي گنج-کارخانه آسفالت جانباز لردگان</v>
      </c>
      <c r="D1434" s="1">
        <v>5750</v>
      </c>
      <c r="E1434" s="1">
        <v>293000</v>
      </c>
      <c r="F1434" s="1">
        <v>95</v>
      </c>
      <c r="G1434" s="1">
        <v>0</v>
      </c>
      <c r="H1434" s="1" t="str">
        <f>"95/03/16"</f>
        <v>95/03/16</v>
      </c>
      <c r="I1434" s="1" t="str">
        <f t="shared" si="366"/>
        <v>كيلوگرم</v>
      </c>
      <c r="J1434" s="1" t="str">
        <f t="shared" si="375"/>
        <v>1000000002</v>
      </c>
      <c r="K1434" s="1" t="str">
        <f t="shared" si="376"/>
        <v>قير 85/100 - فله</v>
      </c>
      <c r="L1434" s="1">
        <v>100</v>
      </c>
      <c r="M1434" s="1" t="str">
        <f t="shared" si="371"/>
        <v>مخازن قير اصفهان</v>
      </c>
      <c r="N1434" s="1">
        <v>11087</v>
      </c>
      <c r="O1434" s="1">
        <v>50030962</v>
      </c>
      <c r="P1434" s="1" t="str">
        <f>"  جاويد سازان نصر"</f>
        <v xml:space="preserve">  جاويد سازان نصر</v>
      </c>
      <c r="Q1434" s="1">
        <v>62</v>
      </c>
      <c r="R1434" s="1" t="str">
        <f>"فروش داخلي - سازمان بنيادمسكن انقلاب اسلامي"</f>
        <v>فروش داخلي - سازمان بنيادمسكن انقلاب اسلامي</v>
      </c>
      <c r="S1434" s="1" t="str">
        <f t="shared" si="367"/>
        <v>قرارداد فروش</v>
      </c>
      <c r="T1434" s="1" t="str">
        <f t="shared" si="368"/>
        <v>ندارد</v>
      </c>
      <c r="U1434" s="1" t="str">
        <f>"قره باغي مجيد(1871065)"</f>
        <v>قره باغي مجيد(1871065)</v>
      </c>
      <c r="V1434" s="1">
        <v>956200023</v>
      </c>
      <c r="W1434" s="1">
        <v>956200023</v>
      </c>
      <c r="X1434" s="1" t="str">
        <f>"1395407682"</f>
        <v>1395407682</v>
      </c>
      <c r="Y1434" s="1" t="str">
        <f>"95/03/16"</f>
        <v>95/03/16</v>
      </c>
      <c r="Z1434" s="1" t="str">
        <f>"9888/د"</f>
        <v>9888/د</v>
      </c>
      <c r="AA1434" s="1" t="str">
        <f>"بنيادمسكن انقلاب اسلامي"</f>
        <v>بنيادمسكن انقلاب اسلامي</v>
      </c>
      <c r="AB1434" s="1" t="str">
        <f>"95/03/12"</f>
        <v>95/03/12</v>
      </c>
      <c r="AC1434" s="1" t="str">
        <f t="shared" si="377"/>
        <v>استان چهارمحال بختياري</v>
      </c>
      <c r="AD1434" s="1" t="str">
        <f>"95/03/16"</f>
        <v>95/03/16</v>
      </c>
      <c r="AE1434" s="1" t="str">
        <f t="shared" si="374"/>
        <v>اختتام</v>
      </c>
      <c r="AF1434" s="1" t="str">
        <f>""</f>
        <v/>
      </c>
      <c r="AG1434" s="1" t="str">
        <f>""</f>
        <v/>
      </c>
      <c r="AH1434" s="1" t="str">
        <f>""</f>
        <v/>
      </c>
      <c r="AI1434" s="1" t="str">
        <f>""</f>
        <v/>
      </c>
      <c r="AJ1434" s="1" t="str">
        <f>""</f>
        <v/>
      </c>
      <c r="AK1434" s="1" t="str">
        <f>""</f>
        <v/>
      </c>
    </row>
    <row r="1435" spans="1:37" x14ac:dyDescent="0.2">
      <c r="A1435" s="1">
        <v>143000</v>
      </c>
      <c r="B1435" s="1">
        <v>956200022</v>
      </c>
      <c r="C1435" s="1" t="str">
        <f>"تخليه-لردگان- فلارد-روستاي گنج-کارخانه آسفالت جانباز لردگان"</f>
        <v>تخليه-لردگان- فلارد-روستاي گنج-کارخانه آسفالت جانباز لردگان</v>
      </c>
      <c r="D1435" s="1">
        <v>5750</v>
      </c>
      <c r="E1435" s="1">
        <v>142540</v>
      </c>
      <c r="F1435" s="1">
        <v>95</v>
      </c>
      <c r="G1435" s="1">
        <v>460</v>
      </c>
      <c r="H1435" s="1" t="str">
        <f>"95/03/12"</f>
        <v>95/03/12</v>
      </c>
      <c r="I1435" s="1" t="str">
        <f t="shared" si="366"/>
        <v>كيلوگرم</v>
      </c>
      <c r="J1435" s="1" t="str">
        <f t="shared" si="375"/>
        <v>1000000002</v>
      </c>
      <c r="K1435" s="1" t="str">
        <f t="shared" si="376"/>
        <v>قير 85/100 - فله</v>
      </c>
      <c r="L1435" s="1">
        <v>100</v>
      </c>
      <c r="M1435" s="1" t="str">
        <f t="shared" si="371"/>
        <v>مخازن قير اصفهان</v>
      </c>
      <c r="N1435" s="1">
        <v>11103</v>
      </c>
      <c r="O1435" s="1">
        <v>50030955</v>
      </c>
      <c r="P1435" s="1" t="str">
        <f>"  تاراز پرشين لردگان"</f>
        <v xml:space="preserve">  تاراز پرشين لردگان</v>
      </c>
      <c r="Q1435" s="1">
        <v>62</v>
      </c>
      <c r="R1435" s="1" t="str">
        <f>"فروش داخلي - سازمان بنيادمسكن انقلاب اسلامي"</f>
        <v>فروش داخلي - سازمان بنيادمسكن انقلاب اسلامي</v>
      </c>
      <c r="S1435" s="1" t="str">
        <f t="shared" si="367"/>
        <v>قرارداد فروش</v>
      </c>
      <c r="T1435" s="1" t="str">
        <f t="shared" si="368"/>
        <v>ندارد</v>
      </c>
      <c r="U1435" s="1" t="str">
        <f>"قره باغي مجيد(1871065)"</f>
        <v>قره باغي مجيد(1871065)</v>
      </c>
      <c r="V1435" s="1">
        <v>956200022</v>
      </c>
      <c r="W1435" s="1">
        <v>956200022</v>
      </c>
      <c r="X1435" s="1" t="str">
        <f>"1395407389"</f>
        <v>1395407389</v>
      </c>
      <c r="Y1435" s="1" t="str">
        <f>"95/03/12"</f>
        <v>95/03/12</v>
      </c>
      <c r="Z1435" s="1" t="str">
        <f>"9714/د"</f>
        <v>9714/د</v>
      </c>
      <c r="AA1435" s="1" t="str">
        <f>"بنيادمسكن انقلاب اسلامي"</f>
        <v>بنيادمسكن انقلاب اسلامي</v>
      </c>
      <c r="AB1435" s="1" t="str">
        <f>"95/03/11"</f>
        <v>95/03/11</v>
      </c>
      <c r="AC1435" s="1" t="str">
        <f t="shared" si="377"/>
        <v>استان چهارمحال بختياري</v>
      </c>
      <c r="AD1435" s="1" t="str">
        <f>"95/03/12"</f>
        <v>95/03/12</v>
      </c>
      <c r="AE1435" s="1" t="str">
        <f t="shared" si="374"/>
        <v>اختتام</v>
      </c>
      <c r="AF1435" s="1" t="str">
        <f>""</f>
        <v/>
      </c>
      <c r="AG1435" s="1" t="str">
        <f>""</f>
        <v/>
      </c>
      <c r="AH1435" s="1" t="str">
        <f>""</f>
        <v/>
      </c>
      <c r="AI1435" s="1" t="str">
        <f>""</f>
        <v/>
      </c>
      <c r="AJ1435" s="1" t="str">
        <f>""</f>
        <v/>
      </c>
      <c r="AK1435" s="1" t="str">
        <f>""</f>
        <v/>
      </c>
    </row>
    <row r="1436" spans="1:37" x14ac:dyDescent="0.2">
      <c r="A1436" s="1">
        <v>99000</v>
      </c>
      <c r="B1436" s="1">
        <v>956200028</v>
      </c>
      <c r="C1436" s="1" t="str">
        <f>"تخليه-کارخانه آسفالت احمديه چليچه-فارسان-چليچه-کارخانه آسفالت احمديه چليچه"</f>
        <v>تخليه-کارخانه آسفالت احمديه چليچه-فارسان-چليچه-کارخانه آسفالت احمديه چليچه</v>
      </c>
      <c r="D1436" s="1">
        <v>5750</v>
      </c>
      <c r="E1436" s="1">
        <v>98360</v>
      </c>
      <c r="F1436" s="1">
        <v>95</v>
      </c>
      <c r="G1436" s="1">
        <v>640</v>
      </c>
      <c r="H1436" s="1" t="str">
        <f>"95/03/22"</f>
        <v>95/03/22</v>
      </c>
      <c r="I1436" s="1" t="str">
        <f t="shared" si="366"/>
        <v>كيلوگرم</v>
      </c>
      <c r="J1436" s="1" t="str">
        <f t="shared" si="375"/>
        <v>1000000002</v>
      </c>
      <c r="K1436" s="1" t="str">
        <f t="shared" si="376"/>
        <v>قير 85/100 - فله</v>
      </c>
      <c r="L1436" s="1">
        <v>100</v>
      </c>
      <c r="M1436" s="1" t="str">
        <f t="shared" si="371"/>
        <v>مخازن قير اصفهان</v>
      </c>
      <c r="N1436" s="1">
        <v>11111</v>
      </c>
      <c r="O1436" s="1">
        <v>50031021</v>
      </c>
      <c r="P1436" s="1" t="str">
        <f>"  شركت احمدترابر خوزستان"</f>
        <v xml:space="preserve">  شركت احمدترابر خوزستان</v>
      </c>
      <c r="Q1436" s="1">
        <v>62</v>
      </c>
      <c r="R1436" s="1" t="str">
        <f>"فروش داخلي - سازمان بنيادمسكن انقلاب اسلامي"</f>
        <v>فروش داخلي - سازمان بنيادمسكن انقلاب اسلامي</v>
      </c>
      <c r="S1436" s="1" t="str">
        <f t="shared" si="367"/>
        <v>قرارداد فروش</v>
      </c>
      <c r="T1436" s="1" t="str">
        <f t="shared" si="368"/>
        <v>ندارد</v>
      </c>
      <c r="U1436" s="1" t="str">
        <f>"قره باغي مجيد(1871065)"</f>
        <v>قره باغي مجيد(1871065)</v>
      </c>
      <c r="V1436" s="1">
        <v>956200028</v>
      </c>
      <c r="W1436" s="1">
        <v>956200028</v>
      </c>
      <c r="X1436" s="1" t="str">
        <f>"1395408773"</f>
        <v>1395408773</v>
      </c>
      <c r="Y1436" s="1" t="str">
        <f>"95/03/22"</f>
        <v>95/03/22</v>
      </c>
      <c r="Z1436" s="1" t="str">
        <f>"10929/د"</f>
        <v>10929/د</v>
      </c>
      <c r="AA1436" s="1" t="str">
        <f>"بنيادمسكن انقلاب اسلامي"</f>
        <v>بنيادمسكن انقلاب اسلامي</v>
      </c>
      <c r="AB1436" s="1" t="str">
        <f>"95/03/19"</f>
        <v>95/03/19</v>
      </c>
      <c r="AC1436" s="1" t="str">
        <f t="shared" si="377"/>
        <v>استان چهارمحال بختياري</v>
      </c>
      <c r="AD1436" s="1" t="str">
        <f>"95/03/22"</f>
        <v>95/03/22</v>
      </c>
      <c r="AE1436" s="1" t="str">
        <f t="shared" si="374"/>
        <v>اختتام</v>
      </c>
      <c r="AF1436" s="1" t="str">
        <f>""</f>
        <v/>
      </c>
      <c r="AG1436" s="1" t="str">
        <f>""</f>
        <v/>
      </c>
      <c r="AH1436" s="1" t="str">
        <f>""</f>
        <v/>
      </c>
      <c r="AI1436" s="1" t="str">
        <f>""</f>
        <v/>
      </c>
      <c r="AJ1436" s="1" t="str">
        <f>""</f>
        <v/>
      </c>
      <c r="AK1436" s="1" t="str">
        <f>""</f>
        <v/>
      </c>
    </row>
    <row r="1437" spans="1:37" x14ac:dyDescent="0.2">
      <c r="A1437" s="1">
        <v>25000</v>
      </c>
      <c r="B1437" s="1">
        <v>951100057</v>
      </c>
      <c r="C1437" s="1" t="str">
        <f>"يزد-تفت -كيلومتر5-شركت ناورود"</f>
        <v>يزد-تفت -كيلومتر5-شركت ناورود</v>
      </c>
      <c r="D1437" s="1">
        <v>9860</v>
      </c>
      <c r="E1437" s="1">
        <v>25000</v>
      </c>
      <c r="F1437" s="1">
        <v>95</v>
      </c>
      <c r="G1437" s="1">
        <v>0</v>
      </c>
      <c r="H1437" s="1" t="str">
        <f>"95/03/12"</f>
        <v>95/03/12</v>
      </c>
      <c r="I1437" s="1" t="str">
        <f t="shared" si="366"/>
        <v>كيلوگرم</v>
      </c>
      <c r="J1437" s="1" t="str">
        <f>"1000000003"</f>
        <v>1000000003</v>
      </c>
      <c r="K1437" s="1" t="str">
        <f>"قير MC250"</f>
        <v>قير MC250</v>
      </c>
      <c r="L1437" s="1">
        <v>100</v>
      </c>
      <c r="M1437" s="1" t="str">
        <f t="shared" si="371"/>
        <v>مخازن قير اصفهان</v>
      </c>
      <c r="N1437" s="1">
        <v>4062</v>
      </c>
      <c r="O1437" s="1">
        <v>50030937</v>
      </c>
      <c r="P1437" s="1" t="str">
        <f>"  ناورود"</f>
        <v xml:space="preserve">  ناورود</v>
      </c>
      <c r="Q1437" s="1">
        <v>11</v>
      </c>
      <c r="R1437" s="1" t="str">
        <f>"فروش داخلي تهران - بورس"</f>
        <v>فروش داخلي تهران - بورس</v>
      </c>
      <c r="S1437" s="1" t="str">
        <f t="shared" si="367"/>
        <v>قرارداد فروش</v>
      </c>
      <c r="T1437" s="1" t="str">
        <f t="shared" si="368"/>
        <v>ندارد</v>
      </c>
      <c r="U1437" s="1" t="str">
        <f>"فتاح زاده سيداحمد(3843011)"</f>
        <v>فتاح زاده سيداحمد(3843011)</v>
      </c>
      <c r="V1437" s="1">
        <v>951100057</v>
      </c>
      <c r="W1437" s="1">
        <v>951100057</v>
      </c>
      <c r="X1437" s="1" t="str">
        <f>"1395406641"</f>
        <v>1395406641</v>
      </c>
      <c r="Y1437" s="1" t="str">
        <f>"95/03/11"</f>
        <v>95/03/11</v>
      </c>
      <c r="Z1437" s="1" t="str">
        <f>"93-203-1149"</f>
        <v>93-203-1149</v>
      </c>
      <c r="AA1437" s="1" t="str">
        <f>"راه سازي"</f>
        <v>راه سازي</v>
      </c>
      <c r="AB1437" s="1" t="str">
        <f>"95/03/03"</f>
        <v>95/03/03</v>
      </c>
      <c r="AC1437" s="1" t="str">
        <f>"استان يزد"</f>
        <v>استان يزد</v>
      </c>
      <c r="AD1437" s="1" t="str">
        <f>"95/03/11"</f>
        <v>95/03/11</v>
      </c>
      <c r="AE1437" s="1" t="str">
        <f>"تاييدشده"</f>
        <v>تاييدشده</v>
      </c>
      <c r="AF1437" s="1" t="str">
        <f>""</f>
        <v/>
      </c>
      <c r="AG1437" s="1" t="str">
        <f>""</f>
        <v/>
      </c>
      <c r="AH1437" s="1" t="str">
        <f>""</f>
        <v/>
      </c>
      <c r="AI1437" s="1" t="str">
        <f>""</f>
        <v/>
      </c>
      <c r="AJ1437" s="1" t="str">
        <f>""</f>
        <v/>
      </c>
      <c r="AK1437" s="1" t="str">
        <f>""</f>
        <v/>
      </c>
    </row>
    <row r="1438" spans="1:37" x14ac:dyDescent="0.2">
      <c r="A1438" s="1">
        <v>77000</v>
      </c>
      <c r="B1438" s="1">
        <v>952000031</v>
      </c>
      <c r="C1438" s="1" t="str">
        <f>"تخليه چهارمحال وبختياري شهركردناغان نرسيده به تونل شركت اتحادوآسفالتكاران"</f>
        <v>تخليه چهارمحال وبختياري شهركردناغان نرسيده به تونل شركت اتحادوآسفالتكاران</v>
      </c>
      <c r="D1438" s="1">
        <v>6426</v>
      </c>
      <c r="E1438" s="1">
        <v>75840</v>
      </c>
      <c r="F1438" s="1">
        <v>95</v>
      </c>
      <c r="G1438" s="1">
        <v>1160</v>
      </c>
      <c r="H1438" s="1" t="str">
        <f>"95/05/27"</f>
        <v>95/05/27</v>
      </c>
      <c r="I1438" s="1" t="str">
        <f t="shared" si="366"/>
        <v>كيلوگرم</v>
      </c>
      <c r="J1438" s="1" t="str">
        <f>"1000000002"</f>
        <v>1000000002</v>
      </c>
      <c r="K1438" s="1" t="str">
        <f>"قير 85/100 - فله"</f>
        <v>قير 85/100 - فله</v>
      </c>
      <c r="L1438" s="1">
        <v>100</v>
      </c>
      <c r="M1438" s="1" t="str">
        <f t="shared" si="371"/>
        <v>مخازن قير اصفهان</v>
      </c>
      <c r="N1438" s="1">
        <v>11152</v>
      </c>
      <c r="O1438" s="1">
        <v>50031581</v>
      </c>
      <c r="P1438" s="1" t="str">
        <f>"  شهرداري ناغان"</f>
        <v xml:space="preserve">  شهرداري ناغان</v>
      </c>
      <c r="Q1438" s="1">
        <v>20</v>
      </c>
      <c r="R1438" s="1" t="str">
        <f>"فروش داخلي - سازمان شهرداري ها و دهياري هاي كشور"</f>
        <v>فروش داخلي - سازمان شهرداري ها و دهياري هاي كشور</v>
      </c>
      <c r="S1438" s="1" t="str">
        <f t="shared" si="367"/>
        <v>قرارداد فروش</v>
      </c>
      <c r="T1438" s="1" t="str">
        <f t="shared" si="368"/>
        <v>ندارد</v>
      </c>
      <c r="U1438" s="1" t="str">
        <f>"سيفي پور گودرز(1019ج89)"</f>
        <v>سيفي پور گودرز(1019ج89)</v>
      </c>
      <c r="V1438" s="1">
        <v>952000031</v>
      </c>
      <c r="W1438" s="1">
        <v>952000031</v>
      </c>
      <c r="X1438" s="1" t="str">
        <f>"1395423681"</f>
        <v>1395423681</v>
      </c>
      <c r="Y1438" s="1" t="str">
        <f>"95/05/25"</f>
        <v>95/05/25</v>
      </c>
      <c r="Z1438" s="1" t="str">
        <f>"19381"</f>
        <v>19381</v>
      </c>
      <c r="AA1438" s="1" t="str">
        <f>"شهرداريها"</f>
        <v>شهرداريها</v>
      </c>
      <c r="AB1438" s="1" t="str">
        <f>"95/05/05"</f>
        <v>95/05/05</v>
      </c>
      <c r="AC1438" s="1" t="str">
        <f>"استان چهارمحال بختياري"</f>
        <v>استان چهارمحال بختياري</v>
      </c>
      <c r="AD1438" s="1" t="str">
        <f>"95/05/24"</f>
        <v>95/05/24</v>
      </c>
      <c r="AE1438" s="1" t="str">
        <f t="shared" ref="AE1438:AE1461" si="378">"اختتام"</f>
        <v>اختتام</v>
      </c>
      <c r="AF1438" s="1" t="str">
        <f>""</f>
        <v/>
      </c>
      <c r="AG1438" s="1" t="str">
        <f>""</f>
        <v/>
      </c>
      <c r="AH1438" s="1" t="str">
        <f>""</f>
        <v/>
      </c>
      <c r="AI1438" s="1" t="str">
        <f>""</f>
        <v/>
      </c>
      <c r="AJ1438" s="1" t="str">
        <f>""</f>
        <v/>
      </c>
      <c r="AK1438" s="1" t="str">
        <f>""</f>
        <v/>
      </c>
    </row>
    <row r="1439" spans="1:37" x14ac:dyDescent="0.2">
      <c r="A1439" s="1">
        <v>71000</v>
      </c>
      <c r="B1439" s="1">
        <v>952000224</v>
      </c>
      <c r="C1439" s="1" t="str">
        <f>"تخليه چهارمحال وبختياري اردل شهرداري اردل"</f>
        <v>تخليه چهارمحال وبختياري اردل شهرداري اردل</v>
      </c>
      <c r="D1439" s="1">
        <v>8023</v>
      </c>
      <c r="E1439" s="1">
        <v>70500</v>
      </c>
      <c r="F1439" s="1">
        <v>95</v>
      </c>
      <c r="G1439" s="1">
        <v>500</v>
      </c>
      <c r="H1439" s="1" t="str">
        <f>"95/08/18"</f>
        <v>95/08/18</v>
      </c>
      <c r="I1439" s="1" t="str">
        <f t="shared" si="366"/>
        <v>كيلوگرم</v>
      </c>
      <c r="J1439" s="1" t="str">
        <f>"1000000002"</f>
        <v>1000000002</v>
      </c>
      <c r="K1439" s="1" t="str">
        <f>"قير 85/100 - فله"</f>
        <v>قير 85/100 - فله</v>
      </c>
      <c r="L1439" s="1">
        <v>100</v>
      </c>
      <c r="M1439" s="1" t="str">
        <f t="shared" si="371"/>
        <v>مخازن قير اصفهان</v>
      </c>
      <c r="N1439" s="1">
        <v>11155</v>
      </c>
      <c r="O1439" s="1">
        <v>50032553</v>
      </c>
      <c r="P1439" s="1" t="str">
        <f>"  شهرداري دشتك"</f>
        <v xml:space="preserve">  شهرداري دشتك</v>
      </c>
      <c r="Q1439" s="1">
        <v>20</v>
      </c>
      <c r="R1439" s="1" t="str">
        <f>"فروش داخلي - سازمان شهرداري ها و دهياري هاي كشور"</f>
        <v>فروش داخلي - سازمان شهرداري ها و دهياري هاي كشور</v>
      </c>
      <c r="S1439" s="1" t="str">
        <f t="shared" si="367"/>
        <v>قرارداد فروش</v>
      </c>
      <c r="T1439" s="1" t="str">
        <f t="shared" si="368"/>
        <v>ندارد</v>
      </c>
      <c r="U1439" s="1" t="str">
        <f>"قره باغي مجيد(1871065)"</f>
        <v>قره باغي مجيد(1871065)</v>
      </c>
      <c r="V1439" s="1">
        <v>952000224</v>
      </c>
      <c r="W1439" s="1">
        <v>952000224</v>
      </c>
      <c r="X1439" s="1" t="str">
        <f>"1395443388"</f>
        <v>1395443388</v>
      </c>
      <c r="Y1439" s="1" t="str">
        <f>"95/08/17"</f>
        <v>95/08/17</v>
      </c>
      <c r="Z1439" s="1" t="str">
        <f>"40348"</f>
        <v>40348</v>
      </c>
      <c r="AA1439" s="1" t="str">
        <f>"شهرداريها"</f>
        <v>شهرداريها</v>
      </c>
      <c r="AB1439" s="1" t="str">
        <f>"95/08/16"</f>
        <v>95/08/16</v>
      </c>
      <c r="AC1439" s="1" t="str">
        <f>"استان چهارمحال بختياري"</f>
        <v>استان چهارمحال بختياري</v>
      </c>
      <c r="AD1439" s="1" t="str">
        <f>"95/08/17"</f>
        <v>95/08/17</v>
      </c>
      <c r="AE1439" s="1" t="str">
        <f t="shared" si="378"/>
        <v>اختتام</v>
      </c>
      <c r="AF1439" s="1" t="str">
        <f>""</f>
        <v/>
      </c>
      <c r="AG1439" s="1" t="str">
        <f>""</f>
        <v/>
      </c>
      <c r="AH1439" s="1" t="str">
        <f>""</f>
        <v/>
      </c>
      <c r="AI1439" s="1" t="str">
        <f>""</f>
        <v/>
      </c>
      <c r="AJ1439" s="1" t="str">
        <f>""</f>
        <v/>
      </c>
      <c r="AK1439" s="1" t="str">
        <f>""</f>
        <v/>
      </c>
    </row>
    <row r="1440" spans="1:37" x14ac:dyDescent="0.2">
      <c r="A1440" s="1">
        <v>541000</v>
      </c>
      <c r="B1440" s="1">
        <v>956200093</v>
      </c>
      <c r="C1440" s="1" t="str">
        <f>"تخليه - چهارمحال و بختياري-بروجن-گندمان-پشت قطب صنعتي گندمان-کارخانه آسفالت احمدي"</f>
        <v>تخليه - چهارمحال و بختياري-بروجن-گندمان-پشت قطب صنعتي گندمان-کارخانه آسفالت احمدي</v>
      </c>
      <c r="D1440" s="1">
        <v>8023</v>
      </c>
      <c r="E1440" s="1">
        <v>540680</v>
      </c>
      <c r="F1440" s="1">
        <v>95</v>
      </c>
      <c r="G1440" s="1">
        <v>320</v>
      </c>
      <c r="H1440" s="1" t="str">
        <f>"95/08/05"</f>
        <v>95/08/05</v>
      </c>
      <c r="I1440" s="1" t="str">
        <f t="shared" si="366"/>
        <v>كيلوگرم</v>
      </c>
      <c r="J1440" s="1" t="str">
        <f>"1000000002"</f>
        <v>1000000002</v>
      </c>
      <c r="K1440" s="1" t="str">
        <f>"قير 85/100 - فله"</f>
        <v>قير 85/100 - فله</v>
      </c>
      <c r="L1440" s="1">
        <v>100</v>
      </c>
      <c r="M1440" s="1" t="str">
        <f t="shared" si="371"/>
        <v>مخازن قير اصفهان</v>
      </c>
      <c r="N1440" s="1">
        <v>11181</v>
      </c>
      <c r="O1440" s="1">
        <v>50032273</v>
      </c>
      <c r="P1440" s="1" t="str">
        <f>"   راه و ساختمان سحرخيزان پرتلاش سونک"</f>
        <v xml:space="preserve">   راه و ساختمان سحرخيزان پرتلاش سونک</v>
      </c>
      <c r="Q1440" s="1">
        <v>62</v>
      </c>
      <c r="R1440" s="1" t="str">
        <f>"فروش داخلي - سازمان بنيادمسكن انقلاب اسلامي"</f>
        <v>فروش داخلي - سازمان بنيادمسكن انقلاب اسلامي</v>
      </c>
      <c r="S1440" s="1" t="str">
        <f t="shared" si="367"/>
        <v>قرارداد فروش</v>
      </c>
      <c r="T1440" s="1" t="str">
        <f t="shared" si="368"/>
        <v>ندارد</v>
      </c>
      <c r="U1440" s="1" t="str">
        <f>"قره باغي مجيد(1871065)"</f>
        <v>قره باغي مجيد(1871065)</v>
      </c>
      <c r="V1440" s="1">
        <v>956200093</v>
      </c>
      <c r="W1440" s="1">
        <v>956200093</v>
      </c>
      <c r="X1440" s="1" t="str">
        <f>"1395441028"</f>
        <v>1395441028</v>
      </c>
      <c r="Y1440" s="1" t="str">
        <f>"95/08/05"</f>
        <v>95/08/05</v>
      </c>
      <c r="Z1440" s="1" t="str">
        <f>"31962/د"</f>
        <v>31962/د</v>
      </c>
      <c r="AA1440" s="1" t="str">
        <f>"بنيادمسكن انقلاب اسلامي"</f>
        <v>بنيادمسكن انقلاب اسلامي</v>
      </c>
      <c r="AB1440" s="1" t="str">
        <f>"95/08/02"</f>
        <v>95/08/02</v>
      </c>
      <c r="AC1440" s="1" t="str">
        <f>"استان چهارمحال بختياري"</f>
        <v>استان چهارمحال بختياري</v>
      </c>
      <c r="AD1440" s="1" t="str">
        <f>"95/08/05"</f>
        <v>95/08/05</v>
      </c>
      <c r="AE1440" s="1" t="str">
        <f t="shared" si="378"/>
        <v>اختتام</v>
      </c>
      <c r="AF1440" s="1" t="str">
        <f>""</f>
        <v/>
      </c>
      <c r="AG1440" s="1" t="str">
        <f>""</f>
        <v/>
      </c>
      <c r="AH1440" s="1" t="str">
        <f>""</f>
        <v/>
      </c>
      <c r="AI1440" s="1" t="str">
        <f>""</f>
        <v/>
      </c>
      <c r="AJ1440" s="1" t="str">
        <f>""</f>
        <v/>
      </c>
      <c r="AK1440" s="1" t="str">
        <f>""</f>
        <v/>
      </c>
    </row>
    <row r="1441" spans="1:37" x14ac:dyDescent="0.2">
      <c r="A1441" s="1">
        <v>280000</v>
      </c>
      <c r="B1441" s="1">
        <v>956200222</v>
      </c>
      <c r="C1441" s="1" t="str">
        <f>"تخليه اردبيل كيلومتر15جاده مشكين شهرسه راهي قره قيه كارخانه آسفالت عمراني ايل يولي"</f>
        <v>تخليه اردبيل كيلومتر15جاده مشكين شهرسه راهي قره قيه كارخانه آسفالت عمراني ايل يولي</v>
      </c>
      <c r="D1441" s="1">
        <v>9361</v>
      </c>
      <c r="E1441" s="1">
        <v>275140</v>
      </c>
      <c r="F1441" s="1">
        <v>95</v>
      </c>
      <c r="G1441" s="1">
        <v>4860</v>
      </c>
      <c r="H1441" s="1" t="str">
        <f>"95/11/24"</f>
        <v>95/11/24</v>
      </c>
      <c r="I1441" s="1" t="str">
        <f t="shared" si="366"/>
        <v>كيلوگرم</v>
      </c>
      <c r="J1441" s="1" t="str">
        <f>"1000000002"</f>
        <v>1000000002</v>
      </c>
      <c r="K1441" s="1" t="str">
        <f>"قير 85/100 - فله"</f>
        <v>قير 85/100 - فله</v>
      </c>
      <c r="L1441" s="1">
        <v>100</v>
      </c>
      <c r="M1441" s="1" t="str">
        <f t="shared" si="371"/>
        <v>مخازن قير اصفهان</v>
      </c>
      <c r="N1441" s="1">
        <v>11250</v>
      </c>
      <c r="O1441" s="1">
        <v>50033686</v>
      </c>
      <c r="P1441" s="1" t="str">
        <f>"  خدمات عمران ائل يولي اردبيل"</f>
        <v xml:space="preserve">  خدمات عمران ائل يولي اردبيل</v>
      </c>
      <c r="Q1441" s="1">
        <v>62</v>
      </c>
      <c r="R1441" s="1" t="str">
        <f>"فروش داخلي - سازمان بنيادمسكن انقلاب اسلامي"</f>
        <v>فروش داخلي - سازمان بنيادمسكن انقلاب اسلامي</v>
      </c>
      <c r="S1441" s="1" t="str">
        <f t="shared" si="367"/>
        <v>قرارداد فروش</v>
      </c>
      <c r="T1441" s="1" t="str">
        <f t="shared" si="368"/>
        <v>ندارد</v>
      </c>
      <c r="U1441" s="1" t="str">
        <f>"علافي اسكويي محمد تقي(3843004)"</f>
        <v>علافي اسكويي محمد تقي(3843004)</v>
      </c>
      <c r="V1441" s="1">
        <v>956200222</v>
      </c>
      <c r="W1441" s="1">
        <v>956200222</v>
      </c>
      <c r="X1441" s="1" t="str">
        <f>"1395464205"</f>
        <v>1395464205</v>
      </c>
      <c r="Y1441" s="1" t="str">
        <f>"95/11/24"</f>
        <v>95/11/24</v>
      </c>
      <c r="Z1441" s="1" t="str">
        <f>"50208/د"</f>
        <v>50208/د</v>
      </c>
      <c r="AA1441" s="1" t="str">
        <f>"بنيادمسكن انقلاب اسلامي"</f>
        <v>بنيادمسكن انقلاب اسلامي</v>
      </c>
      <c r="AB1441" s="1" t="str">
        <f>"95/11/19"</f>
        <v>95/11/19</v>
      </c>
      <c r="AC1441" s="1" t="str">
        <f>"استان اردبيل"</f>
        <v>استان اردبيل</v>
      </c>
      <c r="AD1441" s="1" t="str">
        <f>"95/11/20"</f>
        <v>95/11/20</v>
      </c>
      <c r="AE1441" s="1" t="str">
        <f t="shared" si="378"/>
        <v>اختتام</v>
      </c>
      <c r="AF1441" s="1" t="str">
        <f>""</f>
        <v/>
      </c>
      <c r="AG1441" s="1" t="str">
        <f>""</f>
        <v/>
      </c>
      <c r="AH1441" s="1" t="str">
        <f>""</f>
        <v/>
      </c>
      <c r="AI1441" s="1" t="str">
        <f>""</f>
        <v/>
      </c>
      <c r="AJ1441" s="1" t="str">
        <f>""</f>
        <v/>
      </c>
      <c r="AK1441" s="1" t="str">
        <f>""</f>
        <v/>
      </c>
    </row>
    <row r="1442" spans="1:37" x14ac:dyDescent="0.2">
      <c r="A1442" s="1">
        <v>125000</v>
      </c>
      <c r="B1442" s="1">
        <v>956200234</v>
      </c>
      <c r="C1442" s="1" t="str">
        <f>"تخليه - آذربايجان شرقي -جلفا - پشت اداره راهنمايي و رانندگي-کارخانه آسفالت احمدي"</f>
        <v>تخليه - آذربايجان شرقي -جلفا - پشت اداره راهنمايي و رانندگي-کارخانه آسفالت احمدي</v>
      </c>
      <c r="D1442" s="1">
        <v>9361</v>
      </c>
      <c r="E1442" s="1">
        <v>118460</v>
      </c>
      <c r="F1442" s="1">
        <v>95</v>
      </c>
      <c r="G1442" s="1">
        <v>6540</v>
      </c>
      <c r="H1442" s="1" t="str">
        <f>"95/11/25"</f>
        <v>95/11/25</v>
      </c>
      <c r="I1442" s="1" t="str">
        <f t="shared" si="366"/>
        <v>كيلوگرم</v>
      </c>
      <c r="J1442" s="1" t="str">
        <f>"1000000002"</f>
        <v>1000000002</v>
      </c>
      <c r="K1442" s="1" t="str">
        <f>"قير 85/100 - فله"</f>
        <v>قير 85/100 - فله</v>
      </c>
      <c r="L1442" s="1">
        <v>100</v>
      </c>
      <c r="M1442" s="1" t="str">
        <f t="shared" si="371"/>
        <v>مخازن قير اصفهان</v>
      </c>
      <c r="N1442" s="1">
        <v>11254</v>
      </c>
      <c r="O1442" s="1">
        <v>50033744</v>
      </c>
      <c r="P1442" s="1" t="str">
        <f>"  كيميا راه ثمين"</f>
        <v xml:space="preserve">  كيميا راه ثمين</v>
      </c>
      <c r="Q1442" s="1">
        <v>62</v>
      </c>
      <c r="R1442" s="1" t="str">
        <f>"فروش داخلي - سازمان بنيادمسكن انقلاب اسلامي"</f>
        <v>فروش داخلي - سازمان بنيادمسكن انقلاب اسلامي</v>
      </c>
      <c r="S1442" s="1" t="str">
        <f t="shared" si="367"/>
        <v>قرارداد فروش</v>
      </c>
      <c r="T1442" s="1" t="str">
        <f t="shared" si="368"/>
        <v>ندارد</v>
      </c>
      <c r="U1442" s="1" t="str">
        <f>". پيمانكاري قائمي (3903031)"</f>
        <v>. پيمانكاري قائمي (3903031)</v>
      </c>
      <c r="V1442" s="1">
        <v>956200234</v>
      </c>
      <c r="W1442" s="1">
        <v>956200234</v>
      </c>
      <c r="X1442" s="1" t="str">
        <f>"1395464671"</f>
        <v>1395464671</v>
      </c>
      <c r="Y1442" s="1" t="str">
        <f>"95/11/25"</f>
        <v>95/11/25</v>
      </c>
      <c r="Z1442" s="1" t="str">
        <f>"51021/د"</f>
        <v>51021/د</v>
      </c>
      <c r="AA1442" s="1" t="str">
        <f>"بنيادمسكن انقلاب اسلامي"</f>
        <v>بنيادمسكن انقلاب اسلامي</v>
      </c>
      <c r="AB1442" s="1" t="str">
        <f>"95/11/24"</f>
        <v>95/11/24</v>
      </c>
      <c r="AC1442" s="1" t="str">
        <f>"استان آذربايجان شرقي"</f>
        <v>استان آذربايجان شرقي</v>
      </c>
      <c r="AD1442" s="1" t="str">
        <f>"95/11/25"</f>
        <v>95/11/25</v>
      </c>
      <c r="AE1442" s="1" t="str">
        <f t="shared" si="378"/>
        <v>اختتام</v>
      </c>
      <c r="AF1442" s="1" t="str">
        <f>""</f>
        <v/>
      </c>
      <c r="AG1442" s="1" t="str">
        <f>""</f>
        <v/>
      </c>
      <c r="AH1442" s="1" t="str">
        <f>""</f>
        <v/>
      </c>
      <c r="AI1442" s="1" t="str">
        <f>""</f>
        <v/>
      </c>
      <c r="AJ1442" s="1" t="str">
        <f>""</f>
        <v/>
      </c>
      <c r="AK1442" s="1" t="str">
        <f>""</f>
        <v/>
      </c>
    </row>
    <row r="1443" spans="1:37" x14ac:dyDescent="0.2">
      <c r="A1443" s="1">
        <v>210000</v>
      </c>
      <c r="B1443" s="1">
        <v>951400038</v>
      </c>
      <c r="C1443" s="1" t="str">
        <f>"تخليه -خراسان جنوبي -فردوس اداره راه وشهرسازي فردوس"</f>
        <v>تخليه -خراسان جنوبي -فردوس اداره راه وشهرسازي فردوس</v>
      </c>
      <c r="D1443" s="1">
        <v>9980</v>
      </c>
      <c r="E1443" s="1">
        <v>191080</v>
      </c>
      <c r="F1443" s="1">
        <v>95</v>
      </c>
      <c r="G1443" s="1">
        <v>18920</v>
      </c>
      <c r="H1443" s="1" t="str">
        <f>"95/04/21"</f>
        <v>95/04/21</v>
      </c>
      <c r="I1443" s="1" t="str">
        <f t="shared" si="366"/>
        <v>كيلوگرم</v>
      </c>
      <c r="J1443" s="1" t="str">
        <f t="shared" ref="J1443:J1449" si="379">"1000000003"</f>
        <v>1000000003</v>
      </c>
      <c r="K1443" s="1" t="str">
        <f t="shared" ref="K1443:K1449" si="380">"قير MC250"</f>
        <v>قير MC250</v>
      </c>
      <c r="L1443" s="1">
        <v>100</v>
      </c>
      <c r="M1443" s="1" t="str">
        <f t="shared" si="371"/>
        <v>مخازن قير اصفهان</v>
      </c>
      <c r="N1443" s="1">
        <v>4012</v>
      </c>
      <c r="O1443" s="1">
        <v>50031266</v>
      </c>
      <c r="P1443" s="1" t="str">
        <f>"  اداره كل راه و شهرسازي خراسان جنوبي"</f>
        <v xml:space="preserve">  اداره كل راه و شهرسازي خراسان جنوبي</v>
      </c>
      <c r="Q1443" s="1">
        <v>14</v>
      </c>
      <c r="R1443" s="1" t="str">
        <f t="shared" ref="R1443:R1449" si="381">"فروش داخلي - وزارت راه - حوزه راه روستايي ساخت"</f>
        <v>فروش داخلي - وزارت راه - حوزه راه روستايي ساخت</v>
      </c>
      <c r="S1443" s="1" t="str">
        <f t="shared" si="367"/>
        <v>قرارداد فروش</v>
      </c>
      <c r="T1443" s="1" t="str">
        <f t="shared" si="368"/>
        <v>ندارد</v>
      </c>
      <c r="U1443" s="1" t="str">
        <f>"مظفري مرتضي(4844023)"</f>
        <v>مظفري مرتضي(4844023)</v>
      </c>
      <c r="V1443" s="1">
        <v>951400038</v>
      </c>
      <c r="W1443" s="1">
        <v>951400038</v>
      </c>
      <c r="X1443" s="1" t="str">
        <f>"1395414103"</f>
        <v>1395414103</v>
      </c>
      <c r="Y1443" s="1" t="str">
        <f>"95/04/21"</f>
        <v>95/04/21</v>
      </c>
      <c r="Z1443" s="1" t="str">
        <f>"15995/510"</f>
        <v>15995/510</v>
      </c>
      <c r="AA1443" s="1" t="str">
        <f t="shared" ref="AA1443:AA1449" si="382">"راه وروستايي -ساخت"</f>
        <v>راه وروستايي -ساخت</v>
      </c>
      <c r="AB1443" s="1" t="str">
        <f>"95/04/14"</f>
        <v>95/04/14</v>
      </c>
      <c r="AC1443" s="1" t="str">
        <f>"خراسان جنوبي"</f>
        <v>خراسان جنوبي</v>
      </c>
      <c r="AD1443" s="1" t="str">
        <f>"95/04/19"</f>
        <v>95/04/19</v>
      </c>
      <c r="AE1443" s="1" t="str">
        <f t="shared" si="378"/>
        <v>اختتام</v>
      </c>
      <c r="AF1443" s="1" t="str">
        <f>""</f>
        <v/>
      </c>
      <c r="AG1443" s="1" t="str">
        <f>""</f>
        <v/>
      </c>
      <c r="AH1443" s="1" t="str">
        <f>""</f>
        <v/>
      </c>
      <c r="AI1443" s="1" t="str">
        <f>""</f>
        <v/>
      </c>
      <c r="AJ1443" s="1" t="str">
        <f>""</f>
        <v/>
      </c>
      <c r="AK1443" s="1" t="str">
        <f>""</f>
        <v/>
      </c>
    </row>
    <row r="1444" spans="1:37" x14ac:dyDescent="0.2">
      <c r="A1444" s="1">
        <v>90000</v>
      </c>
      <c r="B1444" s="1">
        <v>951400042</v>
      </c>
      <c r="C1444" s="1" t="str">
        <f>"تخليه-خراسان جنوبي-اداره راه وشهرسازي شهرستان درميان"</f>
        <v>تخليه-خراسان جنوبي-اداره راه وشهرسازي شهرستان درميان</v>
      </c>
      <c r="D1444" s="1">
        <v>9980</v>
      </c>
      <c r="E1444" s="1">
        <v>73920</v>
      </c>
      <c r="F1444" s="1">
        <v>95</v>
      </c>
      <c r="G1444" s="1">
        <v>16080</v>
      </c>
      <c r="H1444" s="1" t="str">
        <f>"95/04/28"</f>
        <v>95/04/28</v>
      </c>
      <c r="I1444" s="1" t="str">
        <f t="shared" si="366"/>
        <v>كيلوگرم</v>
      </c>
      <c r="J1444" s="1" t="str">
        <f t="shared" si="379"/>
        <v>1000000003</v>
      </c>
      <c r="K1444" s="1" t="str">
        <f t="shared" si="380"/>
        <v>قير MC250</v>
      </c>
      <c r="L1444" s="1">
        <v>100</v>
      </c>
      <c r="M1444" s="1" t="str">
        <f t="shared" si="371"/>
        <v>مخازن قير اصفهان</v>
      </c>
      <c r="N1444" s="1">
        <v>4012</v>
      </c>
      <c r="O1444" s="1">
        <v>50031308</v>
      </c>
      <c r="P1444" s="1" t="str">
        <f>"  اداره كل راه و شهرسازي خراسان جنوبي"</f>
        <v xml:space="preserve">  اداره كل راه و شهرسازي خراسان جنوبي</v>
      </c>
      <c r="Q1444" s="1">
        <v>14</v>
      </c>
      <c r="R1444" s="1" t="str">
        <f t="shared" si="381"/>
        <v>فروش داخلي - وزارت راه - حوزه راه روستايي ساخت</v>
      </c>
      <c r="S1444" s="1" t="str">
        <f t="shared" si="367"/>
        <v>قرارداد فروش</v>
      </c>
      <c r="T1444" s="1" t="str">
        <f t="shared" si="368"/>
        <v>ندارد</v>
      </c>
      <c r="U1444" s="1" t="str">
        <f>"مظفري مرتضي(4844023)"</f>
        <v>مظفري مرتضي(4844023)</v>
      </c>
      <c r="V1444" s="1">
        <v>951400042</v>
      </c>
      <c r="W1444" s="1">
        <v>951400042</v>
      </c>
      <c r="X1444" s="1" t="str">
        <f>"1395416200"</f>
        <v>1395416200</v>
      </c>
      <c r="Y1444" s="1" t="str">
        <f>"95/04/28"</f>
        <v>95/04/28</v>
      </c>
      <c r="Z1444" s="1" t="str">
        <f>"17854/510"</f>
        <v>17854/510</v>
      </c>
      <c r="AA1444" s="1" t="str">
        <f t="shared" si="382"/>
        <v>راه وروستايي -ساخت</v>
      </c>
      <c r="AB1444" s="1" t="str">
        <f>"95/04/26"</f>
        <v>95/04/26</v>
      </c>
      <c r="AC1444" s="1" t="str">
        <f>"خراسان جنوبي"</f>
        <v>خراسان جنوبي</v>
      </c>
      <c r="AD1444" s="1" t="str">
        <f>"95/04/28"</f>
        <v>95/04/28</v>
      </c>
      <c r="AE1444" s="1" t="str">
        <f t="shared" si="378"/>
        <v>اختتام</v>
      </c>
      <c r="AF1444" s="1" t="str">
        <f>""</f>
        <v/>
      </c>
      <c r="AG1444" s="1" t="str">
        <f>""</f>
        <v/>
      </c>
      <c r="AH1444" s="1" t="str">
        <f>""</f>
        <v/>
      </c>
      <c r="AI1444" s="1" t="str">
        <f>""</f>
        <v/>
      </c>
      <c r="AJ1444" s="1" t="str">
        <f>""</f>
        <v/>
      </c>
      <c r="AK1444" s="1" t="str">
        <f>""</f>
        <v/>
      </c>
    </row>
    <row r="1445" spans="1:37" x14ac:dyDescent="0.2">
      <c r="A1445" s="1">
        <v>60000</v>
      </c>
      <c r="B1445" s="1">
        <v>951400043</v>
      </c>
      <c r="C1445" s="1" t="str">
        <f>"تخليه-خراسان جنوبي-اداره راه وشهرسازي شهرستان قاين"</f>
        <v>تخليه-خراسان جنوبي-اداره راه وشهرسازي شهرستان قاين</v>
      </c>
      <c r="D1445" s="1">
        <v>9980</v>
      </c>
      <c r="E1445" s="1">
        <v>43920</v>
      </c>
      <c r="F1445" s="1">
        <v>95</v>
      </c>
      <c r="G1445" s="1">
        <v>16080</v>
      </c>
      <c r="H1445" s="1" t="str">
        <f>"95/04/28"</f>
        <v>95/04/28</v>
      </c>
      <c r="I1445" s="1" t="str">
        <f t="shared" si="366"/>
        <v>كيلوگرم</v>
      </c>
      <c r="J1445" s="1" t="str">
        <f t="shared" si="379"/>
        <v>1000000003</v>
      </c>
      <c r="K1445" s="1" t="str">
        <f t="shared" si="380"/>
        <v>قير MC250</v>
      </c>
      <c r="L1445" s="1">
        <v>100</v>
      </c>
      <c r="M1445" s="1" t="str">
        <f t="shared" si="371"/>
        <v>مخازن قير اصفهان</v>
      </c>
      <c r="N1445" s="1">
        <v>4012</v>
      </c>
      <c r="O1445" s="1">
        <v>50031309</v>
      </c>
      <c r="P1445" s="1" t="str">
        <f>"  اداره كل راه و شهرسازي خراسان جنوبي"</f>
        <v xml:space="preserve">  اداره كل راه و شهرسازي خراسان جنوبي</v>
      </c>
      <c r="Q1445" s="1">
        <v>14</v>
      </c>
      <c r="R1445" s="1" t="str">
        <f t="shared" si="381"/>
        <v>فروش داخلي - وزارت راه - حوزه راه روستايي ساخت</v>
      </c>
      <c r="S1445" s="1" t="str">
        <f t="shared" si="367"/>
        <v>قرارداد فروش</v>
      </c>
      <c r="T1445" s="1" t="str">
        <f t="shared" si="368"/>
        <v>ندارد</v>
      </c>
      <c r="U1445" s="1" t="str">
        <f>"مظفري مرتضي(4844023)"</f>
        <v>مظفري مرتضي(4844023)</v>
      </c>
      <c r="V1445" s="1">
        <v>951400043</v>
      </c>
      <c r="W1445" s="1">
        <v>951400043</v>
      </c>
      <c r="X1445" s="1" t="str">
        <f>"1395416200"</f>
        <v>1395416200</v>
      </c>
      <c r="Y1445" s="1" t="str">
        <f>"95/04/28"</f>
        <v>95/04/28</v>
      </c>
      <c r="Z1445" s="1" t="str">
        <f>"17854/510"</f>
        <v>17854/510</v>
      </c>
      <c r="AA1445" s="1" t="str">
        <f t="shared" si="382"/>
        <v>راه وروستايي -ساخت</v>
      </c>
      <c r="AB1445" s="1" t="str">
        <f>"95/04/26"</f>
        <v>95/04/26</v>
      </c>
      <c r="AC1445" s="1" t="str">
        <f>"خراسان جنوبي"</f>
        <v>خراسان جنوبي</v>
      </c>
      <c r="AD1445" s="1" t="str">
        <f>"95/04/28"</f>
        <v>95/04/28</v>
      </c>
      <c r="AE1445" s="1" t="str">
        <f t="shared" si="378"/>
        <v>اختتام</v>
      </c>
      <c r="AF1445" s="1" t="str">
        <f>""</f>
        <v/>
      </c>
      <c r="AG1445" s="1" t="str">
        <f>""</f>
        <v/>
      </c>
      <c r="AH1445" s="1" t="str">
        <f>""</f>
        <v/>
      </c>
      <c r="AI1445" s="1" t="str">
        <f>""</f>
        <v/>
      </c>
      <c r="AJ1445" s="1" t="str">
        <f>""</f>
        <v/>
      </c>
      <c r="AK1445" s="1" t="str">
        <f>""</f>
        <v/>
      </c>
    </row>
    <row r="1446" spans="1:37" x14ac:dyDescent="0.2">
      <c r="A1446" s="1">
        <v>330000</v>
      </c>
      <c r="B1446" s="1">
        <v>951400001</v>
      </c>
      <c r="C1446" s="1" t="str">
        <f>"تخليه سيستان وبلوچستان اداره راه وشهرسازي شهرستان مهرستان"</f>
        <v>تخليه سيستان وبلوچستان اداره راه وشهرسازي شهرستان مهرستان</v>
      </c>
      <c r="D1446" s="1">
        <v>9324</v>
      </c>
      <c r="E1446" s="1">
        <v>315480</v>
      </c>
      <c r="F1446" s="1">
        <v>95</v>
      </c>
      <c r="G1446" s="1">
        <v>14520</v>
      </c>
      <c r="H1446" s="1" t="str">
        <f>"95/02/11"</f>
        <v>95/02/11</v>
      </c>
      <c r="I1446" s="1" t="str">
        <f t="shared" si="366"/>
        <v>كيلوگرم</v>
      </c>
      <c r="J1446" s="1" t="str">
        <f t="shared" si="379"/>
        <v>1000000003</v>
      </c>
      <c r="K1446" s="1" t="str">
        <f t="shared" si="380"/>
        <v>قير MC250</v>
      </c>
      <c r="L1446" s="1">
        <v>100</v>
      </c>
      <c r="M1446" s="1" t="str">
        <f t="shared" si="371"/>
        <v>مخازن قير اصفهان</v>
      </c>
      <c r="N1446" s="1">
        <v>4095</v>
      </c>
      <c r="O1446" s="1">
        <v>50030668</v>
      </c>
      <c r="P1446" s="1" t="str">
        <f>"  اداره كل راه وشهرسازي سيستان وبلوچستان"</f>
        <v xml:space="preserve">  اداره كل راه وشهرسازي سيستان وبلوچستان</v>
      </c>
      <c r="Q1446" s="1">
        <v>14</v>
      </c>
      <c r="R1446" s="1" t="str">
        <f t="shared" si="381"/>
        <v>فروش داخلي - وزارت راه - حوزه راه روستايي ساخت</v>
      </c>
      <c r="S1446" s="1" t="str">
        <f t="shared" si="367"/>
        <v>قرارداد فروش</v>
      </c>
      <c r="T1446" s="1" t="str">
        <f t="shared" si="368"/>
        <v>ندارد</v>
      </c>
      <c r="U1446" s="1" t="str">
        <f>"ميرحسيني چاپارحقيقت كرمان(4844008)"</f>
        <v>ميرحسيني چاپارحقيقت كرمان(4844008)</v>
      </c>
      <c r="V1446" s="1">
        <v>951400001</v>
      </c>
      <c r="W1446" s="1">
        <v>951400001</v>
      </c>
      <c r="X1446" s="1" t="str">
        <f>"1395401942"</f>
        <v>1395401942</v>
      </c>
      <c r="Y1446" s="1" t="str">
        <f>"95/02/11"</f>
        <v>95/02/11</v>
      </c>
      <c r="Z1446" s="1" t="str">
        <f>"65713/510"</f>
        <v>65713/510</v>
      </c>
      <c r="AA1446" s="1" t="str">
        <f t="shared" si="382"/>
        <v>راه وروستايي -ساخت</v>
      </c>
      <c r="AB1446" s="1" t="str">
        <f>"94/11/28"</f>
        <v>94/11/28</v>
      </c>
      <c r="AC1446" s="1" t="str">
        <f>"استان سيستان بلوچستان"</f>
        <v>استان سيستان بلوچستان</v>
      </c>
      <c r="AD1446" s="1" t="str">
        <f>"95/02/11"</f>
        <v>95/02/11</v>
      </c>
      <c r="AE1446" s="1" t="str">
        <f t="shared" si="378"/>
        <v>اختتام</v>
      </c>
      <c r="AF1446" s="1" t="str">
        <f>""</f>
        <v/>
      </c>
      <c r="AG1446" s="1" t="str">
        <f>""</f>
        <v/>
      </c>
      <c r="AH1446" s="1" t="str">
        <f>""</f>
        <v/>
      </c>
      <c r="AI1446" s="1" t="str">
        <f>""</f>
        <v/>
      </c>
      <c r="AJ1446" s="1" t="str">
        <f>""</f>
        <v/>
      </c>
      <c r="AK1446" s="1" t="str">
        <f>""</f>
        <v/>
      </c>
    </row>
    <row r="1447" spans="1:37" x14ac:dyDescent="0.2">
      <c r="A1447" s="1">
        <v>220000</v>
      </c>
      <c r="B1447" s="1">
        <v>951400003</v>
      </c>
      <c r="C1447" s="1" t="str">
        <f>"تخليه -سيستان وبلوچستان اداره راه وشهرسازي شهرستان خاش"</f>
        <v>تخليه -سيستان وبلوچستان اداره راه وشهرسازي شهرستان خاش</v>
      </c>
      <c r="D1447" s="1">
        <v>9324</v>
      </c>
      <c r="E1447" s="1">
        <v>75000</v>
      </c>
      <c r="F1447" s="1">
        <v>95</v>
      </c>
      <c r="G1447" s="1">
        <v>145000</v>
      </c>
      <c r="H1447" s="1" t="str">
        <f>"95/02/11"</f>
        <v>95/02/11</v>
      </c>
      <c r="I1447" s="1" t="str">
        <f t="shared" si="366"/>
        <v>كيلوگرم</v>
      </c>
      <c r="J1447" s="1" t="str">
        <f t="shared" si="379"/>
        <v>1000000003</v>
      </c>
      <c r="K1447" s="1" t="str">
        <f t="shared" si="380"/>
        <v>قير MC250</v>
      </c>
      <c r="L1447" s="1">
        <v>100</v>
      </c>
      <c r="M1447" s="1" t="str">
        <f t="shared" si="371"/>
        <v>مخازن قير اصفهان</v>
      </c>
      <c r="N1447" s="1">
        <v>4095</v>
      </c>
      <c r="O1447" s="1">
        <v>50030670</v>
      </c>
      <c r="P1447" s="1" t="str">
        <f>"  اداره كل راه وشهرسازي سيستان وبلوچستان"</f>
        <v xml:space="preserve">  اداره كل راه وشهرسازي سيستان وبلوچستان</v>
      </c>
      <c r="Q1447" s="1">
        <v>14</v>
      </c>
      <c r="R1447" s="1" t="str">
        <f t="shared" si="381"/>
        <v>فروش داخلي - وزارت راه - حوزه راه روستايي ساخت</v>
      </c>
      <c r="S1447" s="1" t="str">
        <f t="shared" si="367"/>
        <v>قرارداد فروش</v>
      </c>
      <c r="T1447" s="1" t="str">
        <f t="shared" si="368"/>
        <v>ندارد</v>
      </c>
      <c r="U1447" s="1" t="str">
        <f>"ميرحسيني چاپارحقيقت كرمان(4844008)"</f>
        <v>ميرحسيني چاپارحقيقت كرمان(4844008)</v>
      </c>
      <c r="V1447" s="1">
        <v>951400003</v>
      </c>
      <c r="W1447" s="1">
        <v>951400003</v>
      </c>
      <c r="X1447" s="1" t="str">
        <f>"1395401942"</f>
        <v>1395401942</v>
      </c>
      <c r="Y1447" s="1" t="str">
        <f>"95/02/11"</f>
        <v>95/02/11</v>
      </c>
      <c r="Z1447" s="1" t="str">
        <f>"65713/510"</f>
        <v>65713/510</v>
      </c>
      <c r="AA1447" s="1" t="str">
        <f t="shared" si="382"/>
        <v>راه وروستايي -ساخت</v>
      </c>
      <c r="AB1447" s="1" t="str">
        <f>"94/11/28"</f>
        <v>94/11/28</v>
      </c>
      <c r="AC1447" s="1" t="str">
        <f>"استان سيستان بلوچستان"</f>
        <v>استان سيستان بلوچستان</v>
      </c>
      <c r="AD1447" s="1" t="str">
        <f>"95/02/11"</f>
        <v>95/02/11</v>
      </c>
      <c r="AE1447" s="1" t="str">
        <f t="shared" si="378"/>
        <v>اختتام</v>
      </c>
      <c r="AF1447" s="1" t="str">
        <f>""</f>
        <v/>
      </c>
      <c r="AG1447" s="1" t="str">
        <f>""</f>
        <v/>
      </c>
      <c r="AH1447" s="1" t="str">
        <f>""</f>
        <v/>
      </c>
      <c r="AI1447" s="1" t="str">
        <f>""</f>
        <v/>
      </c>
      <c r="AJ1447" s="1" t="str">
        <f>""</f>
        <v/>
      </c>
      <c r="AK1447" s="1" t="str">
        <f>""</f>
        <v/>
      </c>
    </row>
    <row r="1448" spans="1:37" x14ac:dyDescent="0.2">
      <c r="A1448" s="1">
        <v>620000</v>
      </c>
      <c r="B1448" s="1">
        <v>951400004</v>
      </c>
      <c r="C1448" s="1" t="str">
        <f>"تخليه -سيستان وبلوچستان اداره راه وشهرسازي شهرستان نوك آباد"</f>
        <v>تخليه -سيستان وبلوچستان اداره راه وشهرسازي شهرستان نوك آباد</v>
      </c>
      <c r="D1448" s="1">
        <v>9324</v>
      </c>
      <c r="E1448" s="1">
        <v>337140</v>
      </c>
      <c r="F1448" s="1">
        <v>95</v>
      </c>
      <c r="G1448" s="1">
        <v>282860</v>
      </c>
      <c r="H1448" s="1" t="str">
        <f>"95/02/11"</f>
        <v>95/02/11</v>
      </c>
      <c r="I1448" s="1" t="str">
        <f t="shared" si="366"/>
        <v>كيلوگرم</v>
      </c>
      <c r="J1448" s="1" t="str">
        <f t="shared" si="379"/>
        <v>1000000003</v>
      </c>
      <c r="K1448" s="1" t="str">
        <f t="shared" si="380"/>
        <v>قير MC250</v>
      </c>
      <c r="L1448" s="1">
        <v>100</v>
      </c>
      <c r="M1448" s="1" t="str">
        <f t="shared" si="371"/>
        <v>مخازن قير اصفهان</v>
      </c>
      <c r="N1448" s="1">
        <v>4095</v>
      </c>
      <c r="O1448" s="1">
        <v>50030671</v>
      </c>
      <c r="P1448" s="1" t="str">
        <f>"  اداره كل راه وشهرسازي سيستان وبلوچستان"</f>
        <v xml:space="preserve">  اداره كل راه وشهرسازي سيستان وبلوچستان</v>
      </c>
      <c r="Q1448" s="1">
        <v>14</v>
      </c>
      <c r="R1448" s="1" t="str">
        <f t="shared" si="381"/>
        <v>فروش داخلي - وزارت راه - حوزه راه روستايي ساخت</v>
      </c>
      <c r="S1448" s="1" t="str">
        <f t="shared" si="367"/>
        <v>قرارداد فروش</v>
      </c>
      <c r="T1448" s="1" t="str">
        <f t="shared" si="368"/>
        <v>ندارد</v>
      </c>
      <c r="U1448" s="1" t="str">
        <f>"ميرحسيني چاپارحقيقت كرمان(4844008)"</f>
        <v>ميرحسيني چاپارحقيقت كرمان(4844008)</v>
      </c>
      <c r="V1448" s="1">
        <v>951400004</v>
      </c>
      <c r="W1448" s="1">
        <v>951400004</v>
      </c>
      <c r="X1448" s="1" t="str">
        <f>"1395401942"</f>
        <v>1395401942</v>
      </c>
      <c r="Y1448" s="1" t="str">
        <f>"95/02/11"</f>
        <v>95/02/11</v>
      </c>
      <c r="Z1448" s="1" t="str">
        <f>"65713/510"</f>
        <v>65713/510</v>
      </c>
      <c r="AA1448" s="1" t="str">
        <f t="shared" si="382"/>
        <v>راه وروستايي -ساخت</v>
      </c>
      <c r="AB1448" s="1" t="str">
        <f>"94/11/28"</f>
        <v>94/11/28</v>
      </c>
      <c r="AC1448" s="1" t="str">
        <f>"استان سيستان بلوچستان"</f>
        <v>استان سيستان بلوچستان</v>
      </c>
      <c r="AD1448" s="1" t="str">
        <f>"95/02/11"</f>
        <v>95/02/11</v>
      </c>
      <c r="AE1448" s="1" t="str">
        <f t="shared" si="378"/>
        <v>اختتام</v>
      </c>
      <c r="AF1448" s="1" t="str">
        <f>""</f>
        <v/>
      </c>
      <c r="AG1448" s="1" t="str">
        <f>""</f>
        <v/>
      </c>
      <c r="AH1448" s="1" t="str">
        <f>""</f>
        <v/>
      </c>
      <c r="AI1448" s="1" t="str">
        <f>""</f>
        <v/>
      </c>
      <c r="AJ1448" s="1" t="str">
        <f>""</f>
        <v/>
      </c>
      <c r="AK1448" s="1" t="str">
        <f>""</f>
        <v/>
      </c>
    </row>
    <row r="1449" spans="1:37" x14ac:dyDescent="0.2">
      <c r="A1449" s="1">
        <v>691600</v>
      </c>
      <c r="B1449" s="1">
        <v>951400080</v>
      </c>
      <c r="C1449" s="1" t="str">
        <f>"تخليه -شهرهاي وشرکتهاي طرف قراردادبااداره کل راه وشهرساز سيستان وبلوچستان"</f>
        <v>تخليه -شهرهاي وشرکتهاي طرف قراردادبااداره کل راه وشهرساز سيستان وبلوچستان</v>
      </c>
      <c r="D1449" s="1">
        <v>10906</v>
      </c>
      <c r="E1449" s="1">
        <v>659160</v>
      </c>
      <c r="F1449" s="1">
        <v>95</v>
      </c>
      <c r="G1449" s="1">
        <v>32440</v>
      </c>
      <c r="H1449" s="1" t="str">
        <f>"95/08/05"</f>
        <v>95/08/05</v>
      </c>
      <c r="I1449" s="1" t="str">
        <f t="shared" si="366"/>
        <v>كيلوگرم</v>
      </c>
      <c r="J1449" s="1" t="str">
        <f t="shared" si="379"/>
        <v>1000000003</v>
      </c>
      <c r="K1449" s="1" t="str">
        <f t="shared" si="380"/>
        <v>قير MC250</v>
      </c>
      <c r="L1449" s="1">
        <v>100</v>
      </c>
      <c r="M1449" s="1" t="str">
        <f t="shared" si="371"/>
        <v>مخازن قير اصفهان</v>
      </c>
      <c r="N1449" s="1">
        <v>4095</v>
      </c>
      <c r="O1449" s="1">
        <v>50032275</v>
      </c>
      <c r="P1449" s="1" t="str">
        <f>"  اداره كل راه وشهرسازي سيستان وبلوچستان"</f>
        <v xml:space="preserve">  اداره كل راه وشهرسازي سيستان وبلوچستان</v>
      </c>
      <c r="Q1449" s="1">
        <v>14</v>
      </c>
      <c r="R1449" s="1" t="str">
        <f t="shared" si="381"/>
        <v>فروش داخلي - وزارت راه - حوزه راه روستايي ساخت</v>
      </c>
      <c r="S1449" s="1" t="str">
        <f t="shared" si="367"/>
        <v>قرارداد فروش</v>
      </c>
      <c r="T1449" s="1" t="str">
        <f t="shared" si="368"/>
        <v>ندارد</v>
      </c>
      <c r="U1449" s="1" t="str">
        <f>"ميرحسيني چاپارحقيقت كرمان(4844008)"</f>
        <v>ميرحسيني چاپارحقيقت كرمان(4844008)</v>
      </c>
      <c r="V1449" s="1">
        <v>951400080</v>
      </c>
      <c r="W1449" s="1">
        <v>951400080</v>
      </c>
      <c r="X1449" s="1" t="str">
        <f>"1395411196"</f>
        <v>1395411196</v>
      </c>
      <c r="Y1449" s="1" t="str">
        <f>"95/08/05"</f>
        <v>95/08/05</v>
      </c>
      <c r="Z1449" s="1" t="str">
        <f>"12458/510"</f>
        <v>12458/510</v>
      </c>
      <c r="AA1449" s="1" t="str">
        <f t="shared" si="382"/>
        <v>راه وروستايي -ساخت</v>
      </c>
      <c r="AB1449" s="1" t="str">
        <f>"95/03/26"</f>
        <v>95/03/26</v>
      </c>
      <c r="AC1449" s="1" t="str">
        <f>"استان سيستان بلوچستان"</f>
        <v>استان سيستان بلوچستان</v>
      </c>
      <c r="AD1449" s="1" t="str">
        <f>"95/04/05"</f>
        <v>95/04/05</v>
      </c>
      <c r="AE1449" s="1" t="str">
        <f t="shared" si="378"/>
        <v>اختتام</v>
      </c>
      <c r="AF1449" s="1" t="str">
        <f>""</f>
        <v/>
      </c>
      <c r="AG1449" s="1" t="str">
        <f>""</f>
        <v/>
      </c>
      <c r="AH1449" s="1" t="str">
        <f>""</f>
        <v/>
      </c>
      <c r="AI1449" s="1" t="str">
        <f>""</f>
        <v/>
      </c>
      <c r="AJ1449" s="1" t="str">
        <f>""</f>
        <v/>
      </c>
      <c r="AK1449" s="1" t="str">
        <f>""</f>
        <v/>
      </c>
    </row>
    <row r="1450" spans="1:37" x14ac:dyDescent="0.2">
      <c r="A1450" s="1">
        <v>500000</v>
      </c>
      <c r="B1450" s="1">
        <v>951800046</v>
      </c>
      <c r="C1450" s="1" t="str">
        <f>"تخليه -زرين شهر-تنگ بيدگان كارخانه آسفالت زرين استحكام"</f>
        <v>تخليه -زرين شهر-تنگ بيدگان كارخانه آسفالت زرين استحكام</v>
      </c>
      <c r="D1450" s="1">
        <v>6726</v>
      </c>
      <c r="E1450" s="1">
        <v>500000</v>
      </c>
      <c r="F1450" s="1">
        <v>95</v>
      </c>
      <c r="G1450" s="1">
        <v>0</v>
      </c>
      <c r="H1450" s="1" t="str">
        <f>"95/05/18"</f>
        <v>95/05/18</v>
      </c>
      <c r="I1450" s="1" t="str">
        <f t="shared" si="366"/>
        <v>كيلوگرم</v>
      </c>
      <c r="J1450" s="1" t="str">
        <f>"0000000088"</f>
        <v>0000000088</v>
      </c>
      <c r="K1450" s="1" t="str">
        <f>"قير  PG58-22"</f>
        <v>قير  PG58-22</v>
      </c>
      <c r="L1450" s="1">
        <v>100</v>
      </c>
      <c r="M1450" s="1" t="str">
        <f t="shared" si="371"/>
        <v>مخازن قير اصفهان</v>
      </c>
      <c r="N1450" s="1">
        <v>1351</v>
      </c>
      <c r="O1450" s="1">
        <v>50031481</v>
      </c>
      <c r="P1450" s="1" t="str">
        <f>"  زرين استحكام"</f>
        <v xml:space="preserve">  زرين استحكام</v>
      </c>
      <c r="Q1450" s="1">
        <v>18</v>
      </c>
      <c r="R1450" s="1" t="str">
        <f>"فروش داخلي تهران - وزارت راه - شرکت ساخت و توسعه راهها"</f>
        <v>فروش داخلي تهران - وزارت راه - شرکت ساخت و توسعه راهها</v>
      </c>
      <c r="S1450" s="1" t="str">
        <f t="shared" si="367"/>
        <v>قرارداد فروش</v>
      </c>
      <c r="T1450" s="1" t="str">
        <f t="shared" si="368"/>
        <v>ندارد</v>
      </c>
      <c r="U1450" s="1" t="str">
        <f>"مظلوم فريبرز(1008ج89)"</f>
        <v>مظلوم فريبرز(1008ج89)</v>
      </c>
      <c r="V1450" s="1">
        <v>951800046</v>
      </c>
      <c r="W1450" s="1">
        <v>951800046</v>
      </c>
      <c r="X1450" s="1" t="str">
        <f>"1395421994"</f>
        <v>1395421994</v>
      </c>
      <c r="Y1450" s="1" t="str">
        <f>"95/05/18"</f>
        <v>95/05/18</v>
      </c>
      <c r="Z1450" s="1" t="str">
        <f>"21672/510"</f>
        <v>21672/510</v>
      </c>
      <c r="AA1450" s="1" t="str">
        <f>"شركت  ساخت وتوسعه راهها"</f>
        <v>شركت  ساخت وتوسعه راهها</v>
      </c>
      <c r="AB1450" s="1" t="str">
        <f>"95/05/16"</f>
        <v>95/05/16</v>
      </c>
      <c r="AC1450" s="1" t="str">
        <f>"استان چهارمحال بختياري"</f>
        <v>استان چهارمحال بختياري</v>
      </c>
      <c r="AD1450" s="1" t="str">
        <f>"95/05/18"</f>
        <v>95/05/18</v>
      </c>
      <c r="AE1450" s="1" t="str">
        <f t="shared" si="378"/>
        <v>اختتام</v>
      </c>
      <c r="AF1450" s="1" t="str">
        <f>""</f>
        <v/>
      </c>
      <c r="AG1450" s="1" t="str">
        <f>""</f>
        <v/>
      </c>
      <c r="AH1450" s="1" t="str">
        <f>""</f>
        <v/>
      </c>
      <c r="AI1450" s="1" t="str">
        <f>""</f>
        <v/>
      </c>
      <c r="AJ1450" s="1" t="str">
        <f>""</f>
        <v/>
      </c>
      <c r="AK1450" s="1" t="str">
        <f>""</f>
        <v/>
      </c>
    </row>
    <row r="1451" spans="1:37" x14ac:dyDescent="0.2">
      <c r="A1451" s="1">
        <v>1000000</v>
      </c>
      <c r="B1451" s="1">
        <v>951800117</v>
      </c>
      <c r="C1451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1451" s="1">
        <v>9061</v>
      </c>
      <c r="E1451" s="1">
        <v>846980</v>
      </c>
      <c r="F1451" s="1">
        <v>95</v>
      </c>
      <c r="G1451" s="1">
        <v>153020</v>
      </c>
      <c r="H1451" s="1" t="str">
        <f>"95/10/12"</f>
        <v>95/10/12</v>
      </c>
      <c r="I1451" s="1" t="str">
        <f t="shared" si="366"/>
        <v>كيلوگرم</v>
      </c>
      <c r="J1451" s="1" t="str">
        <f>"0000000088"</f>
        <v>0000000088</v>
      </c>
      <c r="K1451" s="1" t="str">
        <f>"قير  PG58-22"</f>
        <v>قير  PG58-22</v>
      </c>
      <c r="L1451" s="1">
        <v>100</v>
      </c>
      <c r="M1451" s="1" t="str">
        <f t="shared" si="371"/>
        <v>مخازن قير اصفهان</v>
      </c>
      <c r="N1451" s="1">
        <v>1351</v>
      </c>
      <c r="O1451" s="1">
        <v>50033247</v>
      </c>
      <c r="P1451" s="1" t="str">
        <f>"  زرين استحكام"</f>
        <v xml:space="preserve">  زرين استحكام</v>
      </c>
      <c r="Q1451" s="1">
        <v>18</v>
      </c>
      <c r="R1451" s="1" t="str">
        <f>"فروش داخلي تهران - وزارت راه - شرکت ساخت و توسعه راهها"</f>
        <v>فروش داخلي تهران - وزارت راه - شرکت ساخت و توسعه راهها</v>
      </c>
      <c r="S1451" s="1" t="str">
        <f t="shared" si="367"/>
        <v>قرارداد فروش</v>
      </c>
      <c r="T1451" s="1" t="str">
        <f t="shared" si="368"/>
        <v>ندارد</v>
      </c>
      <c r="U1451" s="1" t="str">
        <f>"مظلوم فريبرز(1008ج89)"</f>
        <v>مظلوم فريبرز(1008ج89)</v>
      </c>
      <c r="V1451" s="1">
        <v>951800117</v>
      </c>
      <c r="W1451" s="1">
        <v>951800117</v>
      </c>
      <c r="X1451" s="1" t="str">
        <f>"1395456221"</f>
        <v>1395456221</v>
      </c>
      <c r="Y1451" s="1" t="str">
        <f>"95/10/12"</f>
        <v>95/10/12</v>
      </c>
      <c r="Z1451" s="1" t="str">
        <f>"49275/710"</f>
        <v>49275/710</v>
      </c>
      <c r="AA1451" s="1" t="str">
        <f>"شركت  ساخت وتوسعه راهها"</f>
        <v>شركت  ساخت وتوسعه راهها</v>
      </c>
      <c r="AB1451" s="1" t="str">
        <f>"95/10/07"</f>
        <v>95/10/07</v>
      </c>
      <c r="AC1451" s="1" t="str">
        <f>"استان چهارمحال بختياري"</f>
        <v>استان چهارمحال بختياري</v>
      </c>
      <c r="AD1451" s="1" t="str">
        <f>"95/10/12"</f>
        <v>95/10/12</v>
      </c>
      <c r="AE1451" s="1" t="str">
        <f t="shared" si="378"/>
        <v>اختتام</v>
      </c>
      <c r="AF1451" s="1" t="str">
        <f>""</f>
        <v/>
      </c>
      <c r="AG1451" s="1" t="str">
        <f>""</f>
        <v/>
      </c>
      <c r="AH1451" s="1" t="str">
        <f>""</f>
        <v/>
      </c>
      <c r="AI1451" s="1" t="str">
        <f>""</f>
        <v/>
      </c>
      <c r="AJ1451" s="1" t="str">
        <f>""</f>
        <v/>
      </c>
      <c r="AK1451" s="1" t="str">
        <f>""</f>
        <v/>
      </c>
    </row>
    <row r="1452" spans="1:37" x14ac:dyDescent="0.2">
      <c r="A1452" s="1">
        <v>50000</v>
      </c>
      <c r="B1452" s="1">
        <v>951100107</v>
      </c>
      <c r="C1452" s="1" t="str">
        <f>"تخليه -خراسان رضوي -كيلومتر12جاده سرخ-مشهد-كارگاه شركت مسكن وعمران قدس رضوي"</f>
        <v>تخليه -خراسان رضوي -كيلومتر12جاده سرخ-مشهد-كارگاه شركت مسكن وعمران قدس رضوي</v>
      </c>
      <c r="D1452" s="1">
        <v>10200</v>
      </c>
      <c r="E1452" s="1">
        <v>49100</v>
      </c>
      <c r="F1452" s="1">
        <v>95</v>
      </c>
      <c r="G1452" s="1">
        <v>900</v>
      </c>
      <c r="H1452" s="1" t="str">
        <f>"95/06/09"</f>
        <v>95/06/09</v>
      </c>
      <c r="I1452" s="1" t="str">
        <f t="shared" si="366"/>
        <v>كيلوگرم</v>
      </c>
      <c r="J1452" s="1" t="str">
        <f>"1000000003"</f>
        <v>1000000003</v>
      </c>
      <c r="K1452" s="1" t="str">
        <f>"قير MC250"</f>
        <v>قير MC250</v>
      </c>
      <c r="L1452" s="1">
        <v>100</v>
      </c>
      <c r="M1452" s="1" t="str">
        <f t="shared" si="371"/>
        <v>مخازن قير اصفهان</v>
      </c>
      <c r="N1452" s="1">
        <v>7091</v>
      </c>
      <c r="O1452" s="1">
        <v>50031726</v>
      </c>
      <c r="P1452" s="1" t="str">
        <f>"  مسكن وعمران قدس رضوي"</f>
        <v xml:space="preserve">  مسكن وعمران قدس رضوي</v>
      </c>
      <c r="Q1452" s="1">
        <v>11</v>
      </c>
      <c r="R1452" s="1" t="str">
        <f>"فروش داخلي تهران - بورس"</f>
        <v>فروش داخلي تهران - بورس</v>
      </c>
      <c r="S1452" s="1" t="str">
        <f t="shared" si="367"/>
        <v>قرارداد فروش</v>
      </c>
      <c r="T1452" s="1" t="str">
        <f t="shared" si="368"/>
        <v>ندارد</v>
      </c>
      <c r="U1452" s="1" t="str">
        <f>"عابدي محمود(1018ج89)"</f>
        <v>عابدي محمود(1018ج89)</v>
      </c>
      <c r="V1452" s="1">
        <v>951100107</v>
      </c>
      <c r="W1452" s="1">
        <v>951100107</v>
      </c>
      <c r="X1452" s="1" t="str">
        <f>"1395427797"</f>
        <v>1395427797</v>
      </c>
      <c r="Y1452" s="1" t="str">
        <f>"95/06/09"</f>
        <v>95/06/09</v>
      </c>
      <c r="Z1452" s="1" t="str">
        <f>"720/5734"</f>
        <v>720/5734</v>
      </c>
      <c r="AA1452" s="1" t="str">
        <f>"راه سازي"</f>
        <v>راه سازي</v>
      </c>
      <c r="AB1452" s="1" t="str">
        <f>"95/05/04"</f>
        <v>95/05/04</v>
      </c>
      <c r="AC1452" s="1" t="str">
        <f>"خراسان رضوي"</f>
        <v>خراسان رضوي</v>
      </c>
      <c r="AD1452" s="1" t="str">
        <f>"95/06/09"</f>
        <v>95/06/09</v>
      </c>
      <c r="AE1452" s="1" t="str">
        <f t="shared" si="378"/>
        <v>اختتام</v>
      </c>
      <c r="AF1452" s="1" t="str">
        <f>""</f>
        <v/>
      </c>
      <c r="AG1452" s="1" t="str">
        <f>""</f>
        <v/>
      </c>
      <c r="AH1452" s="1" t="str">
        <f>""</f>
        <v/>
      </c>
      <c r="AI1452" s="1" t="str">
        <f>""</f>
        <v/>
      </c>
      <c r="AJ1452" s="1" t="str">
        <f>""</f>
        <v/>
      </c>
      <c r="AK1452" s="1" t="str">
        <f>""</f>
        <v/>
      </c>
    </row>
    <row r="1453" spans="1:37" x14ac:dyDescent="0.2">
      <c r="A1453" s="1">
        <v>450000</v>
      </c>
      <c r="B1453" s="1">
        <v>951700004</v>
      </c>
      <c r="C1453" s="1" t="str">
        <f>"تخليه -چهارمحال وبختياري -شهرستان بروجن -شركت قيرآب سفيددشت"</f>
        <v>تخليه -چهارمحال وبختياري -شهرستان بروجن -شركت قيرآب سفيددشت</v>
      </c>
      <c r="D1453" s="1">
        <v>5650</v>
      </c>
      <c r="E1453" s="1">
        <v>448360</v>
      </c>
      <c r="F1453" s="1">
        <v>95</v>
      </c>
      <c r="G1453" s="1">
        <v>1640</v>
      </c>
      <c r="H1453" s="1" t="str">
        <f>"95/02/14"</f>
        <v>95/02/14</v>
      </c>
      <c r="I1453" s="1" t="str">
        <f t="shared" si="366"/>
        <v>كيلوگرم</v>
      </c>
      <c r="J1453" s="1" t="str">
        <f t="shared" ref="J1453:J1460" si="383">"0000000088"</f>
        <v>0000000088</v>
      </c>
      <c r="K1453" s="1" t="str">
        <f t="shared" ref="K1453:K1460" si="384">"قير  PG58-22"</f>
        <v>قير  PG58-22</v>
      </c>
      <c r="L1453" s="1">
        <v>100</v>
      </c>
      <c r="M1453" s="1" t="str">
        <f t="shared" si="371"/>
        <v>مخازن قير اصفهان</v>
      </c>
      <c r="N1453" s="1">
        <v>7190</v>
      </c>
      <c r="O1453" s="1">
        <v>50030734</v>
      </c>
      <c r="P1453" s="1" t="str">
        <f t="shared" ref="P1453:P1460" si="385">"  اداره كل راه و شهرسازي چهارمحال وبختياري"</f>
        <v xml:space="preserve">  اداره كل راه و شهرسازي چهارمحال وبختياري</v>
      </c>
      <c r="Q1453" s="1">
        <v>17</v>
      </c>
      <c r="R1453" s="1" t="str">
        <f t="shared" ref="R1453:R1459" si="386">"فروش داخلي تهران - وزارت راه - راه روستايي - روکش"</f>
        <v>فروش داخلي تهران - وزارت راه - راه روستايي - روکش</v>
      </c>
      <c r="S1453" s="1" t="str">
        <f t="shared" si="367"/>
        <v>قرارداد فروش</v>
      </c>
      <c r="T1453" s="1" t="str">
        <f t="shared" si="368"/>
        <v>ندارد</v>
      </c>
      <c r="U1453" s="1" t="str">
        <f>"بريانيان ايمان (1027ج89)"</f>
        <v>بريانيان ايمان (1027ج89)</v>
      </c>
      <c r="V1453" s="1">
        <v>951700004</v>
      </c>
      <c r="W1453" s="1">
        <v>951700004</v>
      </c>
      <c r="X1453" s="1" t="str">
        <f>"1395401965"</f>
        <v>1395401965</v>
      </c>
      <c r="Y1453" s="1" t="str">
        <f>"95/02/14"</f>
        <v>95/02/14</v>
      </c>
      <c r="Z1453" s="1" t="str">
        <f>"66255/510"</f>
        <v>66255/510</v>
      </c>
      <c r="AA1453" s="1" t="str">
        <f t="shared" ref="AA1453:AA1459" si="387">"راه روستائي -روكش"</f>
        <v>راه روستائي -روكش</v>
      </c>
      <c r="AB1453" s="1" t="str">
        <f>"94/12/02"</f>
        <v>94/12/02</v>
      </c>
      <c r="AC1453" s="1" t="str">
        <f t="shared" ref="AC1453:AC1460" si="388">"استان چهارمحال بختياري"</f>
        <v>استان چهارمحال بختياري</v>
      </c>
      <c r="AD1453" s="1" t="str">
        <f>"95/02/11"</f>
        <v>95/02/11</v>
      </c>
      <c r="AE1453" s="1" t="str">
        <f t="shared" si="378"/>
        <v>اختتام</v>
      </c>
      <c r="AF1453" s="1" t="str">
        <f>""</f>
        <v/>
      </c>
      <c r="AG1453" s="1" t="str">
        <f>""</f>
        <v/>
      </c>
      <c r="AH1453" s="1" t="str">
        <f>""</f>
        <v/>
      </c>
      <c r="AI1453" s="1" t="str">
        <f>""</f>
        <v/>
      </c>
      <c r="AJ1453" s="1" t="str">
        <f>""</f>
        <v/>
      </c>
      <c r="AK1453" s="1" t="str">
        <f>""</f>
        <v/>
      </c>
    </row>
    <row r="1454" spans="1:37" x14ac:dyDescent="0.2">
      <c r="A1454" s="1">
        <v>46000</v>
      </c>
      <c r="B1454" s="1">
        <v>951700055</v>
      </c>
      <c r="C1454" s="1" t="str">
        <f>"تخليه -اردل شركت دشتاونددزپارت"</f>
        <v>تخليه -اردل شركت دشتاونددزپارت</v>
      </c>
      <c r="D1454" s="1">
        <v>6250</v>
      </c>
      <c r="E1454" s="1">
        <v>46000</v>
      </c>
      <c r="F1454" s="1">
        <v>95</v>
      </c>
      <c r="G1454" s="1">
        <v>0</v>
      </c>
      <c r="H1454" s="1" t="str">
        <f>"95/04/06"</f>
        <v>95/04/06</v>
      </c>
      <c r="I1454" s="1" t="str">
        <f t="shared" si="366"/>
        <v>كيلوگرم</v>
      </c>
      <c r="J1454" s="1" t="str">
        <f t="shared" si="383"/>
        <v>0000000088</v>
      </c>
      <c r="K1454" s="1" t="str">
        <f t="shared" si="384"/>
        <v>قير  PG58-22</v>
      </c>
      <c r="L1454" s="1">
        <v>100</v>
      </c>
      <c r="M1454" s="1" t="str">
        <f t="shared" si="371"/>
        <v>مخازن قير اصفهان</v>
      </c>
      <c r="N1454" s="1">
        <v>7190</v>
      </c>
      <c r="O1454" s="1">
        <v>50031121</v>
      </c>
      <c r="P1454" s="1" t="str">
        <f t="shared" si="385"/>
        <v xml:space="preserve">  اداره كل راه و شهرسازي چهارمحال وبختياري</v>
      </c>
      <c r="Q1454" s="1">
        <v>17</v>
      </c>
      <c r="R1454" s="1" t="str">
        <f t="shared" si="386"/>
        <v>فروش داخلي تهران - وزارت راه - راه روستايي - روکش</v>
      </c>
      <c r="S1454" s="1" t="str">
        <f t="shared" si="367"/>
        <v>قرارداد فروش</v>
      </c>
      <c r="T1454" s="1" t="str">
        <f t="shared" si="368"/>
        <v>ندارد</v>
      </c>
      <c r="U1454" s="1" t="str">
        <f>"قره باغي مجيد(1871065)"</f>
        <v>قره باغي مجيد(1871065)</v>
      </c>
      <c r="V1454" s="1">
        <v>951700055</v>
      </c>
      <c r="W1454" s="1">
        <v>951700055</v>
      </c>
      <c r="X1454" s="1" t="str">
        <f>"1395411204"</f>
        <v>1395411204</v>
      </c>
      <c r="Y1454" s="1" t="str">
        <f>"95/04/06"</f>
        <v>95/04/06</v>
      </c>
      <c r="Z1454" s="1" t="str">
        <f>"13376/510"</f>
        <v>13376/510</v>
      </c>
      <c r="AA1454" s="1" t="str">
        <f t="shared" si="387"/>
        <v>راه روستائي -روكش</v>
      </c>
      <c r="AB1454" s="1" t="str">
        <f>"95/03/31"</f>
        <v>95/03/31</v>
      </c>
      <c r="AC1454" s="1" t="str">
        <f t="shared" si="388"/>
        <v>استان چهارمحال بختياري</v>
      </c>
      <c r="AD1454" s="1" t="str">
        <f>"95/04/05"</f>
        <v>95/04/05</v>
      </c>
      <c r="AE1454" s="1" t="str">
        <f t="shared" si="378"/>
        <v>اختتام</v>
      </c>
      <c r="AF1454" s="1" t="str">
        <f>""</f>
        <v/>
      </c>
      <c r="AG1454" s="1" t="str">
        <f>""</f>
        <v/>
      </c>
      <c r="AH1454" s="1" t="str">
        <f>""</f>
        <v/>
      </c>
      <c r="AI1454" s="1" t="str">
        <f>""</f>
        <v/>
      </c>
      <c r="AJ1454" s="1" t="str">
        <f>""</f>
        <v/>
      </c>
      <c r="AK1454" s="1" t="str">
        <f>""</f>
        <v/>
      </c>
    </row>
    <row r="1455" spans="1:37" x14ac:dyDescent="0.2">
      <c r="A1455" s="1">
        <v>470000</v>
      </c>
      <c r="B1455" s="1">
        <v>951700057</v>
      </c>
      <c r="C1455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455" s="1">
        <v>6250</v>
      </c>
      <c r="E1455" s="1">
        <v>468500</v>
      </c>
      <c r="F1455" s="1">
        <v>95</v>
      </c>
      <c r="G1455" s="1">
        <v>1500</v>
      </c>
      <c r="H1455" s="1" t="str">
        <f>"95/04/06"</f>
        <v>95/04/06</v>
      </c>
      <c r="I1455" s="1" t="str">
        <f t="shared" si="366"/>
        <v>كيلوگرم</v>
      </c>
      <c r="J1455" s="1" t="str">
        <f t="shared" si="383"/>
        <v>0000000088</v>
      </c>
      <c r="K1455" s="1" t="str">
        <f t="shared" si="384"/>
        <v>قير  PG58-22</v>
      </c>
      <c r="L1455" s="1">
        <v>100</v>
      </c>
      <c r="M1455" s="1" t="str">
        <f t="shared" si="371"/>
        <v>مخازن قير اصفهان</v>
      </c>
      <c r="N1455" s="1">
        <v>7190</v>
      </c>
      <c r="O1455" s="1">
        <v>50031123</v>
      </c>
      <c r="P1455" s="1" t="str">
        <f t="shared" si="385"/>
        <v xml:space="preserve">  اداره كل راه و شهرسازي چهارمحال وبختياري</v>
      </c>
      <c r="Q1455" s="1">
        <v>17</v>
      </c>
      <c r="R1455" s="1" t="str">
        <f t="shared" si="386"/>
        <v>فروش داخلي تهران - وزارت راه - راه روستايي - روکش</v>
      </c>
      <c r="S1455" s="1" t="str">
        <f t="shared" si="367"/>
        <v>قرارداد فروش</v>
      </c>
      <c r="T1455" s="1" t="str">
        <f t="shared" si="368"/>
        <v>ندارد</v>
      </c>
      <c r="U1455" s="1" t="str">
        <f>"قره باغي مجيد(1871065)"</f>
        <v>قره باغي مجيد(1871065)</v>
      </c>
      <c r="V1455" s="1">
        <v>951700057</v>
      </c>
      <c r="W1455" s="1">
        <v>951700057</v>
      </c>
      <c r="X1455" s="1" t="str">
        <f>"1395411204"</f>
        <v>1395411204</v>
      </c>
      <c r="Y1455" s="1" t="str">
        <f>"95/04/06"</f>
        <v>95/04/06</v>
      </c>
      <c r="Z1455" s="1" t="str">
        <f>"13376/510"</f>
        <v>13376/510</v>
      </c>
      <c r="AA1455" s="1" t="str">
        <f t="shared" si="387"/>
        <v>راه روستائي -روكش</v>
      </c>
      <c r="AB1455" s="1" t="str">
        <f>"95/03/31"</f>
        <v>95/03/31</v>
      </c>
      <c r="AC1455" s="1" t="str">
        <f t="shared" si="388"/>
        <v>استان چهارمحال بختياري</v>
      </c>
      <c r="AD1455" s="1" t="str">
        <f>"95/04/05"</f>
        <v>95/04/05</v>
      </c>
      <c r="AE1455" s="1" t="str">
        <f t="shared" si="378"/>
        <v>اختتام</v>
      </c>
      <c r="AF1455" s="1" t="str">
        <f>""</f>
        <v/>
      </c>
      <c r="AG1455" s="1" t="str">
        <f>""</f>
        <v/>
      </c>
      <c r="AH1455" s="1" t="str">
        <f>""</f>
        <v/>
      </c>
      <c r="AI1455" s="1" t="str">
        <f>""</f>
        <v/>
      </c>
      <c r="AJ1455" s="1" t="str">
        <f>""</f>
        <v/>
      </c>
      <c r="AK1455" s="1" t="str">
        <f>""</f>
        <v/>
      </c>
    </row>
    <row r="1456" spans="1:37" x14ac:dyDescent="0.2">
      <c r="A1456" s="1">
        <v>150000</v>
      </c>
      <c r="B1456" s="1">
        <v>951700303</v>
      </c>
      <c r="C1456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456" s="1">
        <v>9061</v>
      </c>
      <c r="E1456" s="1">
        <v>140520</v>
      </c>
      <c r="F1456" s="1">
        <v>95</v>
      </c>
      <c r="G1456" s="1">
        <v>9480</v>
      </c>
      <c r="H1456" s="1" t="str">
        <f>"95/10/22"</f>
        <v>95/10/22</v>
      </c>
      <c r="I1456" s="1" t="str">
        <f t="shared" si="366"/>
        <v>كيلوگرم</v>
      </c>
      <c r="J1456" s="1" t="str">
        <f t="shared" si="383"/>
        <v>0000000088</v>
      </c>
      <c r="K1456" s="1" t="str">
        <f t="shared" si="384"/>
        <v>قير  PG58-22</v>
      </c>
      <c r="L1456" s="1">
        <v>100</v>
      </c>
      <c r="M1456" s="1" t="str">
        <f t="shared" si="371"/>
        <v>مخازن قير اصفهان</v>
      </c>
      <c r="N1456" s="1">
        <v>7190</v>
      </c>
      <c r="O1456" s="1">
        <v>50033364</v>
      </c>
      <c r="P1456" s="1" t="str">
        <f t="shared" si="385"/>
        <v xml:space="preserve">  اداره كل راه و شهرسازي چهارمحال وبختياري</v>
      </c>
      <c r="Q1456" s="1">
        <v>17</v>
      </c>
      <c r="R1456" s="1" t="str">
        <f t="shared" si="386"/>
        <v>فروش داخلي تهران - وزارت راه - راه روستايي - روکش</v>
      </c>
      <c r="S1456" s="1" t="str">
        <f t="shared" si="367"/>
        <v>قرارداد فروش</v>
      </c>
      <c r="T1456" s="1" t="str">
        <f t="shared" si="368"/>
        <v>ندارد</v>
      </c>
      <c r="U1456" s="1" t="str">
        <f>"قره باغي مجيد(1871065)"</f>
        <v>قره باغي مجيد(1871065)</v>
      </c>
      <c r="V1456" s="1">
        <v>951700303</v>
      </c>
      <c r="W1456" s="1">
        <v>951700303</v>
      </c>
      <c r="X1456" s="1" t="str">
        <f>"1395457936"</f>
        <v>1395457936</v>
      </c>
      <c r="Y1456" s="1" t="str">
        <f>"95/10/22"</f>
        <v>95/10/22</v>
      </c>
      <c r="Z1456" s="1" t="str">
        <f>"51839/710"</f>
        <v>51839/710</v>
      </c>
      <c r="AA1456" s="1" t="str">
        <f t="shared" si="387"/>
        <v>راه روستائي -روكش</v>
      </c>
      <c r="AB1456" s="1" t="str">
        <f>"95/10/20"</f>
        <v>95/10/20</v>
      </c>
      <c r="AC1456" s="1" t="str">
        <f t="shared" si="388"/>
        <v>استان چهارمحال بختياري</v>
      </c>
      <c r="AD1456" s="1" t="str">
        <f>"95/10/22"</f>
        <v>95/10/22</v>
      </c>
      <c r="AE1456" s="1" t="str">
        <f t="shared" si="378"/>
        <v>اختتام</v>
      </c>
      <c r="AF1456" s="1" t="str">
        <f>""</f>
        <v/>
      </c>
      <c r="AG1456" s="1" t="str">
        <f>""</f>
        <v/>
      </c>
      <c r="AH1456" s="1" t="str">
        <f>""</f>
        <v/>
      </c>
      <c r="AI1456" s="1" t="str">
        <f>""</f>
        <v/>
      </c>
      <c r="AJ1456" s="1" t="str">
        <f>""</f>
        <v/>
      </c>
      <c r="AK1456" s="1" t="str">
        <f>""</f>
        <v/>
      </c>
    </row>
    <row r="1457" spans="1:37" x14ac:dyDescent="0.2">
      <c r="A1457" s="1">
        <v>150000</v>
      </c>
      <c r="B1457" s="1">
        <v>951700315</v>
      </c>
      <c r="C1457" s="1" t="str">
        <f>"تخليه چهارمحال وبختياري پردنجان شركت احمديه چليچه"</f>
        <v>تخليه چهارمحال وبختياري پردنجان شركت احمديه چليچه</v>
      </c>
      <c r="D1457" s="1">
        <v>9511</v>
      </c>
      <c r="E1457" s="1">
        <v>150000</v>
      </c>
      <c r="F1457" s="1">
        <v>95</v>
      </c>
      <c r="G1457" s="1">
        <v>0</v>
      </c>
      <c r="H1457" s="1" t="str">
        <f>"95/11/03"</f>
        <v>95/11/03</v>
      </c>
      <c r="I1457" s="1" t="str">
        <f t="shared" si="366"/>
        <v>كيلوگرم</v>
      </c>
      <c r="J1457" s="1" t="str">
        <f t="shared" si="383"/>
        <v>0000000088</v>
      </c>
      <c r="K1457" s="1" t="str">
        <f t="shared" si="384"/>
        <v>قير  PG58-22</v>
      </c>
      <c r="L1457" s="1">
        <v>100</v>
      </c>
      <c r="M1457" s="1" t="str">
        <f t="shared" si="371"/>
        <v>مخازن قير اصفهان</v>
      </c>
      <c r="N1457" s="1">
        <v>7190</v>
      </c>
      <c r="O1457" s="1">
        <v>50033434</v>
      </c>
      <c r="P1457" s="1" t="str">
        <f t="shared" si="385"/>
        <v xml:space="preserve">  اداره كل راه و شهرسازي چهارمحال وبختياري</v>
      </c>
      <c r="Q1457" s="1">
        <v>17</v>
      </c>
      <c r="R1457" s="1" t="str">
        <f t="shared" si="386"/>
        <v>فروش داخلي تهران - وزارت راه - راه روستايي - روکش</v>
      </c>
      <c r="S1457" s="1" t="str">
        <f t="shared" si="367"/>
        <v>قرارداد فروش</v>
      </c>
      <c r="T1457" s="1" t="str">
        <f t="shared" si="368"/>
        <v>ندارد</v>
      </c>
      <c r="U1457" s="1" t="str">
        <f>"مظلوم فريبرز(1008ج89)"</f>
        <v>مظلوم فريبرز(1008ج89)</v>
      </c>
      <c r="V1457" s="1">
        <v>951700315</v>
      </c>
      <c r="W1457" s="1">
        <v>951700315</v>
      </c>
      <c r="X1457" s="1" t="str">
        <f>"1395457936"</f>
        <v>1395457936</v>
      </c>
      <c r="Y1457" s="1" t="str">
        <f>"95/11/03"</f>
        <v>95/11/03</v>
      </c>
      <c r="Z1457" s="1" t="str">
        <f>"51837/710"</f>
        <v>51837/710</v>
      </c>
      <c r="AA1457" s="1" t="str">
        <f t="shared" si="387"/>
        <v>راه روستائي -روكش</v>
      </c>
      <c r="AB1457" s="1" t="str">
        <f>"95/10/20"</f>
        <v>95/10/20</v>
      </c>
      <c r="AC1457" s="1" t="str">
        <f t="shared" si="388"/>
        <v>استان چهارمحال بختياري</v>
      </c>
      <c r="AD1457" s="1" t="str">
        <f>"95/10/22"</f>
        <v>95/10/22</v>
      </c>
      <c r="AE1457" s="1" t="str">
        <f t="shared" si="378"/>
        <v>اختتام</v>
      </c>
      <c r="AF1457" s="1" t="str">
        <f>""</f>
        <v/>
      </c>
      <c r="AG1457" s="1" t="str">
        <f>""</f>
        <v/>
      </c>
      <c r="AH1457" s="1" t="str">
        <f>""</f>
        <v/>
      </c>
      <c r="AI1457" s="1" t="str">
        <f>""</f>
        <v/>
      </c>
      <c r="AJ1457" s="1" t="str">
        <f>""</f>
        <v/>
      </c>
      <c r="AK1457" s="1" t="str">
        <f>""</f>
        <v/>
      </c>
    </row>
    <row r="1458" spans="1:37" x14ac:dyDescent="0.2">
      <c r="A1458" s="1">
        <v>200000</v>
      </c>
      <c r="B1458" s="1">
        <v>951700332</v>
      </c>
      <c r="C1458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1458" s="1">
        <v>8998</v>
      </c>
      <c r="E1458" s="1">
        <v>15540</v>
      </c>
      <c r="F1458" s="1">
        <v>95</v>
      </c>
      <c r="G1458" s="1">
        <v>184460</v>
      </c>
      <c r="H1458" s="1" t="str">
        <f>"95/11/05"</f>
        <v>95/11/05</v>
      </c>
      <c r="I1458" s="1" t="str">
        <f t="shared" si="366"/>
        <v>كيلوگرم</v>
      </c>
      <c r="J1458" s="1" t="str">
        <f t="shared" si="383"/>
        <v>0000000088</v>
      </c>
      <c r="K1458" s="1" t="str">
        <f t="shared" si="384"/>
        <v>قير  PG58-22</v>
      </c>
      <c r="L1458" s="1">
        <v>100</v>
      </c>
      <c r="M1458" s="1" t="str">
        <f t="shared" si="371"/>
        <v>مخازن قير اصفهان</v>
      </c>
      <c r="N1458" s="1">
        <v>7190</v>
      </c>
      <c r="O1458" s="1">
        <v>50033531</v>
      </c>
      <c r="P1458" s="1" t="str">
        <f t="shared" si="385"/>
        <v xml:space="preserve">  اداره كل راه و شهرسازي چهارمحال وبختياري</v>
      </c>
      <c r="Q1458" s="1">
        <v>17</v>
      </c>
      <c r="R1458" s="1" t="str">
        <f t="shared" si="386"/>
        <v>فروش داخلي تهران - وزارت راه - راه روستايي - روکش</v>
      </c>
      <c r="S1458" s="1" t="str">
        <f t="shared" si="367"/>
        <v>قرارداد فروش</v>
      </c>
      <c r="T1458" s="1" t="str">
        <f t="shared" si="368"/>
        <v>ندارد</v>
      </c>
      <c r="U1458" s="1" t="str">
        <f>"مظلوم فريبرز(1008ج89)"</f>
        <v>مظلوم فريبرز(1008ج89)</v>
      </c>
      <c r="V1458" s="1">
        <v>951700332</v>
      </c>
      <c r="W1458" s="1">
        <v>951700332</v>
      </c>
      <c r="X1458" s="1" t="str">
        <f>"1395460247"</f>
        <v>1395460247</v>
      </c>
      <c r="Y1458" s="1" t="str">
        <f>"95/11/04"</f>
        <v>95/11/04</v>
      </c>
      <c r="Z1458" s="1" t="str">
        <f>"52029/710"</f>
        <v>52029/710</v>
      </c>
      <c r="AA1458" s="1" t="str">
        <f t="shared" si="387"/>
        <v>راه روستائي -روكش</v>
      </c>
      <c r="AB1458" s="1" t="str">
        <f>"95/10/20"</f>
        <v>95/10/20</v>
      </c>
      <c r="AC1458" s="1" t="str">
        <f t="shared" si="388"/>
        <v>استان چهارمحال بختياري</v>
      </c>
      <c r="AD1458" s="1" t="str">
        <f>"95/11/04"</f>
        <v>95/11/04</v>
      </c>
      <c r="AE1458" s="1" t="str">
        <f t="shared" si="378"/>
        <v>اختتام</v>
      </c>
      <c r="AF1458" s="1" t="str">
        <f>""</f>
        <v/>
      </c>
      <c r="AG1458" s="1" t="str">
        <f>""</f>
        <v/>
      </c>
      <c r="AH1458" s="1" t="str">
        <f>""</f>
        <v/>
      </c>
      <c r="AI1458" s="1" t="str">
        <f>""</f>
        <v/>
      </c>
      <c r="AJ1458" s="1" t="str">
        <f>""</f>
        <v/>
      </c>
      <c r="AK1458" s="1" t="str">
        <f>""</f>
        <v/>
      </c>
    </row>
    <row r="1459" spans="1:37" x14ac:dyDescent="0.2">
      <c r="A1459" s="1">
        <v>100000</v>
      </c>
      <c r="B1459" s="1">
        <v>951700333</v>
      </c>
      <c r="C1459" s="1" t="str">
        <f>"تخليه چهارمحال وبختياري پروژه دورك قنبري كارخانه آسفالت ميانكوه"</f>
        <v>تخليه چهارمحال وبختياري پروژه دورك قنبري كارخانه آسفالت ميانكوه</v>
      </c>
      <c r="D1459" s="1">
        <v>9511</v>
      </c>
      <c r="E1459" s="1">
        <v>99440</v>
      </c>
      <c r="F1459" s="1">
        <v>95</v>
      </c>
      <c r="G1459" s="1">
        <v>560</v>
      </c>
      <c r="H1459" s="1" t="str">
        <f>"95/11/05"</f>
        <v>95/11/05</v>
      </c>
      <c r="I1459" s="1" t="str">
        <f t="shared" si="366"/>
        <v>كيلوگرم</v>
      </c>
      <c r="J1459" s="1" t="str">
        <f t="shared" si="383"/>
        <v>0000000088</v>
      </c>
      <c r="K1459" s="1" t="str">
        <f t="shared" si="384"/>
        <v>قير  PG58-22</v>
      </c>
      <c r="L1459" s="1">
        <v>100</v>
      </c>
      <c r="M1459" s="1" t="str">
        <f t="shared" si="371"/>
        <v>مخازن قير اصفهان</v>
      </c>
      <c r="N1459" s="1">
        <v>7190</v>
      </c>
      <c r="O1459" s="1">
        <v>50033534</v>
      </c>
      <c r="P1459" s="1" t="str">
        <f t="shared" si="385"/>
        <v xml:space="preserve">  اداره كل راه و شهرسازي چهارمحال وبختياري</v>
      </c>
      <c r="Q1459" s="1">
        <v>17</v>
      </c>
      <c r="R1459" s="1" t="str">
        <f t="shared" si="386"/>
        <v>فروش داخلي تهران - وزارت راه - راه روستايي - روکش</v>
      </c>
      <c r="S1459" s="1" t="str">
        <f t="shared" si="367"/>
        <v>قرارداد فروش</v>
      </c>
      <c r="T1459" s="1" t="str">
        <f t="shared" si="368"/>
        <v>ندارد</v>
      </c>
      <c r="U1459" s="1" t="str">
        <f>"مظلوم فريبرز(1008ج89)"</f>
        <v>مظلوم فريبرز(1008ج89)</v>
      </c>
      <c r="V1459" s="1">
        <v>951700333</v>
      </c>
      <c r="W1459" s="1">
        <v>951700333</v>
      </c>
      <c r="X1459" s="1" t="str">
        <f>"1395460247"</f>
        <v>1395460247</v>
      </c>
      <c r="Y1459" s="1" t="str">
        <f>"95/11/04"</f>
        <v>95/11/04</v>
      </c>
      <c r="Z1459" s="1" t="str">
        <f>"52031/710"</f>
        <v>52031/710</v>
      </c>
      <c r="AA1459" s="1" t="str">
        <f t="shared" si="387"/>
        <v>راه روستائي -روكش</v>
      </c>
      <c r="AB1459" s="1" t="str">
        <f>"95/10/20"</f>
        <v>95/10/20</v>
      </c>
      <c r="AC1459" s="1" t="str">
        <f t="shared" si="388"/>
        <v>استان چهارمحال بختياري</v>
      </c>
      <c r="AD1459" s="1" t="str">
        <f>"95/11/04"</f>
        <v>95/11/04</v>
      </c>
      <c r="AE1459" s="1" t="str">
        <f t="shared" si="378"/>
        <v>اختتام</v>
      </c>
      <c r="AF1459" s="1" t="str">
        <f>""</f>
        <v/>
      </c>
      <c r="AG1459" s="1" t="str">
        <f>""</f>
        <v/>
      </c>
      <c r="AH1459" s="1" t="str">
        <f>""</f>
        <v/>
      </c>
      <c r="AI1459" s="1" t="str">
        <f>""</f>
        <v/>
      </c>
      <c r="AJ1459" s="1" t="str">
        <f>""</f>
        <v/>
      </c>
      <c r="AK1459" s="1" t="str">
        <f>""</f>
        <v/>
      </c>
    </row>
    <row r="1460" spans="1:37" x14ac:dyDescent="0.2">
      <c r="A1460" s="1">
        <v>100000</v>
      </c>
      <c r="B1460" s="1">
        <v>951400146</v>
      </c>
      <c r="C1460" s="1" t="str">
        <f>"تخليه چهارمحال وبختياري پروژه دورك قنبري كارخانه آسفالت ميانكوه"</f>
        <v>تخليه چهارمحال وبختياري پروژه دورك قنبري كارخانه آسفالت ميانكوه</v>
      </c>
      <c r="D1460" s="1">
        <v>9511</v>
      </c>
      <c r="E1460" s="1">
        <v>100000</v>
      </c>
      <c r="F1460" s="1">
        <v>95</v>
      </c>
      <c r="G1460" s="1">
        <v>0</v>
      </c>
      <c r="H1460" s="1" t="str">
        <f>"95/11/16"</f>
        <v>95/11/16</v>
      </c>
      <c r="I1460" s="1" t="str">
        <f t="shared" si="366"/>
        <v>كيلوگرم</v>
      </c>
      <c r="J1460" s="1" t="str">
        <f t="shared" si="383"/>
        <v>0000000088</v>
      </c>
      <c r="K1460" s="1" t="str">
        <f t="shared" si="384"/>
        <v>قير  PG58-22</v>
      </c>
      <c r="L1460" s="1">
        <v>100</v>
      </c>
      <c r="M1460" s="1" t="str">
        <f t="shared" si="371"/>
        <v>مخازن قير اصفهان</v>
      </c>
      <c r="N1460" s="1">
        <v>7190</v>
      </c>
      <c r="O1460" s="1">
        <v>50033593</v>
      </c>
      <c r="P1460" s="1" t="str">
        <f t="shared" si="385"/>
        <v xml:space="preserve">  اداره كل راه و شهرسازي چهارمحال وبختياري</v>
      </c>
      <c r="Q1460" s="1">
        <v>14</v>
      </c>
      <c r="R1460" s="1" t="str">
        <f>"فروش داخلي - وزارت راه - حوزه راه روستايي ساخت"</f>
        <v>فروش داخلي - وزارت راه - حوزه راه روستايي ساخت</v>
      </c>
      <c r="S1460" s="1" t="str">
        <f t="shared" si="367"/>
        <v>قرارداد فروش</v>
      </c>
      <c r="T1460" s="1" t="str">
        <f t="shared" si="368"/>
        <v>ندارد</v>
      </c>
      <c r="U1460" s="1" t="str">
        <f>"مظلوم فريبرز(1008ج89)"</f>
        <v>مظلوم فريبرز(1008ج89)</v>
      </c>
      <c r="V1460" s="1">
        <v>951400146</v>
      </c>
      <c r="W1460" s="1">
        <v>951400146</v>
      </c>
      <c r="X1460" s="1" t="str">
        <f>"1395462682"</f>
        <v>1395462682</v>
      </c>
      <c r="Y1460" s="1" t="str">
        <f>"95/11/16"</f>
        <v>95/11/16</v>
      </c>
      <c r="Z1460" s="1" t="str">
        <f>"55876/710"</f>
        <v>55876/710</v>
      </c>
      <c r="AA1460" s="1" t="str">
        <f>"راه وروستايي -ساخت"</f>
        <v>راه وروستايي -ساخت</v>
      </c>
      <c r="AB1460" s="1" t="str">
        <f>"95/11/10"</f>
        <v>95/11/10</v>
      </c>
      <c r="AC1460" s="1" t="str">
        <f t="shared" si="388"/>
        <v>استان چهارمحال بختياري</v>
      </c>
      <c r="AD1460" s="1" t="str">
        <f>"95/11/13"</f>
        <v>95/11/13</v>
      </c>
      <c r="AE1460" s="1" t="str">
        <f t="shared" si="378"/>
        <v>اختتام</v>
      </c>
      <c r="AF1460" s="1" t="str">
        <f>""</f>
        <v/>
      </c>
      <c r="AG1460" s="1" t="str">
        <f>""</f>
        <v/>
      </c>
      <c r="AH1460" s="1" t="str">
        <f>""</f>
        <v/>
      </c>
      <c r="AI1460" s="1" t="str">
        <f>""</f>
        <v/>
      </c>
      <c r="AJ1460" s="1" t="str">
        <f>""</f>
        <v/>
      </c>
      <c r="AK1460" s="1" t="str">
        <f>""</f>
        <v/>
      </c>
    </row>
    <row r="1461" spans="1:37" x14ac:dyDescent="0.2">
      <c r="A1461" s="1">
        <v>48000</v>
      </c>
      <c r="B1461" s="1">
        <v>952000123</v>
      </c>
      <c r="C1461" s="1" t="str">
        <f>"تخليه اصفهان كيلومتر5سه راهي پليس راه جندق به طرف خور"</f>
        <v>تخليه اصفهان كيلومتر5سه راهي پليس راه جندق به طرف خور</v>
      </c>
      <c r="D1461" s="1">
        <v>11000</v>
      </c>
      <c r="E1461" s="1">
        <v>46280</v>
      </c>
      <c r="F1461" s="1">
        <v>95</v>
      </c>
      <c r="G1461" s="1">
        <v>1720</v>
      </c>
      <c r="H1461" s="1" t="str">
        <f>"95/07/10"</f>
        <v>95/07/10</v>
      </c>
      <c r="I1461" s="1" t="str">
        <f t="shared" si="366"/>
        <v>كيلوگرم</v>
      </c>
      <c r="J1461" s="1" t="str">
        <f>"1000000003"</f>
        <v>1000000003</v>
      </c>
      <c r="K1461" s="1" t="str">
        <f>"قير MC250"</f>
        <v>قير MC250</v>
      </c>
      <c r="L1461" s="1">
        <v>100</v>
      </c>
      <c r="M1461" s="1" t="str">
        <f t="shared" si="371"/>
        <v>مخازن قير اصفهان</v>
      </c>
      <c r="N1461" s="1">
        <v>7137</v>
      </c>
      <c r="O1461" s="1">
        <v>50032039</v>
      </c>
      <c r="P1461" s="1" t="str">
        <f>"  شهرداري جندق"</f>
        <v xml:space="preserve">  شهرداري جندق</v>
      </c>
      <c r="Q1461" s="1">
        <v>20</v>
      </c>
      <c r="R1461" s="1" t="str">
        <f>"فروش داخلي - سازمان شهرداري ها و دهياري هاي كشور"</f>
        <v>فروش داخلي - سازمان شهرداري ها و دهياري هاي كشور</v>
      </c>
      <c r="S1461" s="1" t="str">
        <f t="shared" si="367"/>
        <v>قرارداد فروش</v>
      </c>
      <c r="T1461" s="1" t="str">
        <f t="shared" si="368"/>
        <v>ندارد</v>
      </c>
      <c r="U1461" s="1" t="str">
        <f>"مرادي نجاتعلي(1020ج89)"</f>
        <v>مرادي نجاتعلي(1020ج89)</v>
      </c>
      <c r="V1461" s="1">
        <v>952000123</v>
      </c>
      <c r="W1461" s="1">
        <v>952000123</v>
      </c>
      <c r="X1461" s="1" t="str">
        <f>"1395435094"</f>
        <v>1395435094</v>
      </c>
      <c r="Y1461" s="1" t="str">
        <f>"95/07/10"</f>
        <v>95/07/10</v>
      </c>
      <c r="Z1461" s="1" t="str">
        <f>"27788"</f>
        <v>27788</v>
      </c>
      <c r="AA1461" s="1" t="str">
        <f>"شهرداريها"</f>
        <v>شهرداريها</v>
      </c>
      <c r="AB1461" s="1" t="str">
        <f>"95/06/10"</f>
        <v>95/06/10</v>
      </c>
      <c r="AC1461" s="1" t="str">
        <f>"استان اصفهان"</f>
        <v>استان اصفهان</v>
      </c>
      <c r="AD1461" s="1" t="str">
        <f>"95/07/10"</f>
        <v>95/07/10</v>
      </c>
      <c r="AE1461" s="1" t="str">
        <f t="shared" si="378"/>
        <v>اختتام</v>
      </c>
      <c r="AF1461" s="1" t="str">
        <f>""</f>
        <v/>
      </c>
      <c r="AG1461" s="1" t="str">
        <f>""</f>
        <v/>
      </c>
      <c r="AH1461" s="1" t="str">
        <f>""</f>
        <v/>
      </c>
      <c r="AI1461" s="1" t="str">
        <f>""</f>
        <v/>
      </c>
      <c r="AJ1461" s="1" t="str">
        <f>""</f>
        <v/>
      </c>
      <c r="AK1461" s="1" t="str">
        <f>""</f>
        <v/>
      </c>
    </row>
    <row r="1462" spans="1:37" x14ac:dyDescent="0.2">
      <c r="A1462" s="1">
        <v>63000</v>
      </c>
      <c r="B1462" s="1">
        <v>951100022</v>
      </c>
      <c r="C1462" s="1" t="str">
        <f>"تخليه -رفسنجان كارخانه احمدآباد20كيلومتري جاده رفسنجان يزد"</f>
        <v>تخليه -رفسنجان كارخانه احمدآباد20كيلومتري جاده رفسنجان يزد</v>
      </c>
      <c r="D1462" s="1">
        <v>8100</v>
      </c>
      <c r="E1462" s="1">
        <v>63000</v>
      </c>
      <c r="F1462" s="1">
        <v>95</v>
      </c>
      <c r="G1462" s="1">
        <v>0</v>
      </c>
      <c r="H1462" s="1" t="str">
        <f>"95/02/01"</f>
        <v>95/02/01</v>
      </c>
      <c r="I1462" s="1" t="str">
        <f t="shared" si="366"/>
        <v>كيلوگرم</v>
      </c>
      <c r="J1462" s="1" t="str">
        <f>"1000000003"</f>
        <v>1000000003</v>
      </c>
      <c r="K1462" s="1" t="str">
        <f>"قير MC250"</f>
        <v>قير MC250</v>
      </c>
      <c r="L1462" s="1">
        <v>100</v>
      </c>
      <c r="M1462" s="1" t="str">
        <f t="shared" si="371"/>
        <v>مخازن قير اصفهان</v>
      </c>
      <c r="N1462" s="1">
        <v>4059</v>
      </c>
      <c r="O1462" s="1">
        <v>50030609</v>
      </c>
      <c r="P1462" s="1" t="str">
        <f>"  شهرداري رفسنجان(00113)"</f>
        <v xml:space="preserve">  شهرداري رفسنجان(00113)</v>
      </c>
      <c r="Q1462" s="1">
        <v>11</v>
      </c>
      <c r="R1462" s="1" t="str">
        <f>"فروش داخلي تهران - بورس"</f>
        <v>فروش داخلي تهران - بورس</v>
      </c>
      <c r="S1462" s="1" t="str">
        <f t="shared" si="367"/>
        <v>قرارداد فروش</v>
      </c>
      <c r="T1462" s="1" t="str">
        <f t="shared" si="368"/>
        <v>ندارد</v>
      </c>
      <c r="U1462" s="1" t="str">
        <f>"خضرائي فريدون(4844003)"</f>
        <v>خضرائي فريدون(4844003)</v>
      </c>
      <c r="V1462" s="1">
        <v>951100022</v>
      </c>
      <c r="W1462" s="1">
        <v>951100022</v>
      </c>
      <c r="X1462" s="1" t="str">
        <f>"1395400132"</f>
        <v>1395400132</v>
      </c>
      <c r="Y1462" s="1" t="str">
        <f>"95/02/01"</f>
        <v>95/02/01</v>
      </c>
      <c r="Z1462" s="1" t="str">
        <f>"95-34234"</f>
        <v>95-34234</v>
      </c>
      <c r="AA1462" s="1" t="str">
        <f>"شهرداريها"</f>
        <v>شهرداريها</v>
      </c>
      <c r="AB1462" s="1" t="str">
        <f>"95/01/31"</f>
        <v>95/01/31</v>
      </c>
      <c r="AC1462" s="1" t="str">
        <f>"استان كرمان"</f>
        <v>استان كرمان</v>
      </c>
      <c r="AD1462" s="1" t="str">
        <f>"95/01/30"</f>
        <v>95/01/30</v>
      </c>
      <c r="AE1462" s="1" t="str">
        <f>"تاييدشده"</f>
        <v>تاييدشده</v>
      </c>
      <c r="AF1462" s="1" t="str">
        <f>""</f>
        <v/>
      </c>
      <c r="AG1462" s="1" t="str">
        <f>""</f>
        <v/>
      </c>
      <c r="AH1462" s="1" t="str">
        <f>""</f>
        <v/>
      </c>
      <c r="AI1462" s="1" t="str">
        <f>""</f>
        <v/>
      </c>
      <c r="AJ1462" s="1" t="str">
        <f>""</f>
        <v/>
      </c>
      <c r="AK1462" s="1" t="str">
        <f>""</f>
        <v/>
      </c>
    </row>
    <row r="1463" spans="1:37" x14ac:dyDescent="0.2">
      <c r="A1463" s="1">
        <v>87000</v>
      </c>
      <c r="B1463" s="1">
        <v>951100172</v>
      </c>
      <c r="C1463" s="1" t="str">
        <f>"تخليه -رفسنجان كارخانه احمدآباد20كيلومتري جاده رفسنجان يزد"</f>
        <v>تخليه -رفسنجان كارخانه احمدآباد20كيلومتري جاده رفسنجان يزد</v>
      </c>
      <c r="D1463" s="1">
        <v>12507</v>
      </c>
      <c r="E1463" s="1">
        <v>86260</v>
      </c>
      <c r="F1463" s="1">
        <v>95</v>
      </c>
      <c r="G1463" s="1">
        <v>740</v>
      </c>
      <c r="H1463" s="1" t="str">
        <f>"95/10/12"</f>
        <v>95/10/12</v>
      </c>
      <c r="I1463" s="1" t="str">
        <f t="shared" si="366"/>
        <v>كيلوگرم</v>
      </c>
      <c r="J1463" s="1" t="str">
        <f>"1000000003"</f>
        <v>1000000003</v>
      </c>
      <c r="K1463" s="1" t="str">
        <f>"قير MC250"</f>
        <v>قير MC250</v>
      </c>
      <c r="L1463" s="1">
        <v>100</v>
      </c>
      <c r="M1463" s="1" t="str">
        <f t="shared" si="371"/>
        <v>مخازن قير اصفهان</v>
      </c>
      <c r="N1463" s="1">
        <v>4059</v>
      </c>
      <c r="O1463" s="1">
        <v>50033236</v>
      </c>
      <c r="P1463" s="1" t="str">
        <f>"  شهرداري رفسنجان(00113)"</f>
        <v xml:space="preserve">  شهرداري رفسنجان(00113)</v>
      </c>
      <c r="Q1463" s="1">
        <v>11</v>
      </c>
      <c r="R1463" s="1" t="str">
        <f>"فروش داخلي تهران - بورس"</f>
        <v>فروش داخلي تهران - بورس</v>
      </c>
      <c r="S1463" s="1" t="str">
        <f t="shared" si="367"/>
        <v>قرارداد فروش</v>
      </c>
      <c r="T1463" s="1" t="str">
        <f t="shared" si="368"/>
        <v>ندارد</v>
      </c>
      <c r="U1463" s="1" t="str">
        <f>"خضرائي فريدون(4844003)"</f>
        <v>خضرائي فريدون(4844003)</v>
      </c>
      <c r="V1463" s="1">
        <v>951100172</v>
      </c>
      <c r="W1463" s="1">
        <v>951100172</v>
      </c>
      <c r="X1463" s="1" t="str">
        <f>"1395454584"</f>
        <v>1395454584</v>
      </c>
      <c r="Y1463" s="1" t="str">
        <f>"95/10/11"</f>
        <v>95/10/11</v>
      </c>
      <c r="Z1463" s="1" t="str">
        <f>"95-35030"</f>
        <v>95-35030</v>
      </c>
      <c r="AA1463" s="1" t="str">
        <f>"شهرداريها"</f>
        <v>شهرداريها</v>
      </c>
      <c r="AB1463" s="1" t="str">
        <f>"95/10/11"</f>
        <v>95/10/11</v>
      </c>
      <c r="AC1463" s="1" t="str">
        <f>"استان كرمان"</f>
        <v>استان كرمان</v>
      </c>
      <c r="AD1463" s="1" t="str">
        <f>"95/10/06"</f>
        <v>95/10/06</v>
      </c>
      <c r="AE1463" s="1" t="str">
        <f t="shared" ref="AE1463:AE1494" si="389">"اختتام"</f>
        <v>اختتام</v>
      </c>
      <c r="AF1463" s="1" t="str">
        <f>""</f>
        <v/>
      </c>
      <c r="AG1463" s="1" t="str">
        <f>""</f>
        <v/>
      </c>
      <c r="AH1463" s="1" t="str">
        <f>""</f>
        <v/>
      </c>
      <c r="AI1463" s="1" t="str">
        <f>""</f>
        <v/>
      </c>
      <c r="AJ1463" s="1" t="str">
        <f>""</f>
        <v/>
      </c>
      <c r="AK1463" s="1" t="str">
        <f>""</f>
        <v/>
      </c>
    </row>
    <row r="1464" spans="1:37" x14ac:dyDescent="0.2">
      <c r="A1464" s="1">
        <v>200000</v>
      </c>
      <c r="B1464" s="1">
        <v>951800145</v>
      </c>
      <c r="C1464" s="1" t="str">
        <f>"تخليه -مازندران -كارگاه گدوك -پل سفيد"</f>
        <v>تخليه -مازندران -كارگاه گدوك -پل سفيد</v>
      </c>
      <c r="D1464" s="1">
        <v>8998</v>
      </c>
      <c r="E1464" s="1">
        <v>200000</v>
      </c>
      <c r="F1464" s="1">
        <v>95</v>
      </c>
      <c r="G1464" s="1">
        <v>0</v>
      </c>
      <c r="H1464" s="1" t="str">
        <f>"95/12/10"</f>
        <v>95/12/10</v>
      </c>
      <c r="I1464" s="1" t="str">
        <f t="shared" si="366"/>
        <v>كيلوگرم</v>
      </c>
      <c r="J1464" s="1" t="str">
        <f>"0000000088"</f>
        <v>0000000088</v>
      </c>
      <c r="K1464" s="1" t="str">
        <f>"قير  PG58-22"</f>
        <v>قير  PG58-22</v>
      </c>
      <c r="L1464" s="1">
        <v>100</v>
      </c>
      <c r="M1464" s="1" t="str">
        <f t="shared" si="371"/>
        <v>مخازن قير اصفهان</v>
      </c>
      <c r="N1464" s="1">
        <v>8003</v>
      </c>
      <c r="O1464" s="1">
        <v>50033947</v>
      </c>
      <c r="P1464" s="1" t="str">
        <f>"  سداد"</f>
        <v xml:space="preserve">  سداد</v>
      </c>
      <c r="Q1464" s="1">
        <v>18</v>
      </c>
      <c r="R1464" s="1" t="str">
        <f>"فروش داخلي تهران - وزارت راه - شرکت ساخت و توسعه راهها"</f>
        <v>فروش داخلي تهران - وزارت راه - شرکت ساخت و توسعه راهها</v>
      </c>
      <c r="S1464" s="1" t="str">
        <f t="shared" si="367"/>
        <v>قرارداد فروش</v>
      </c>
      <c r="T1464" s="1" t="str">
        <f t="shared" si="368"/>
        <v>ندارد</v>
      </c>
      <c r="U1464" s="1" t="str">
        <f>"فتاح زاده سيداحمد(3843011)"</f>
        <v>فتاح زاده سيداحمد(3843011)</v>
      </c>
      <c r="V1464" s="1">
        <v>951800145</v>
      </c>
      <c r="W1464" s="1">
        <v>951800145</v>
      </c>
      <c r="X1464" s="1" t="str">
        <f>"1395468356"</f>
        <v>1395468356</v>
      </c>
      <c r="Y1464" s="1" t="str">
        <f>"95/12/10"</f>
        <v>95/12/10</v>
      </c>
      <c r="Z1464" s="1" t="str">
        <f>"61949/710"</f>
        <v>61949/710</v>
      </c>
      <c r="AA1464" s="1" t="str">
        <f>"شركت  ساخت وتوسعه راهها"</f>
        <v>شركت  ساخت وتوسعه راهها</v>
      </c>
      <c r="AB1464" s="1" t="str">
        <f>"95/12/08"</f>
        <v>95/12/08</v>
      </c>
      <c r="AC1464" s="1" t="str">
        <f>"استان مازندران"</f>
        <v>استان مازندران</v>
      </c>
      <c r="AD1464" s="1" t="str">
        <f>"95/12/10"</f>
        <v>95/12/10</v>
      </c>
      <c r="AE1464" s="1" t="str">
        <f t="shared" si="389"/>
        <v>اختتام</v>
      </c>
      <c r="AF1464" s="1" t="str">
        <f>""</f>
        <v/>
      </c>
      <c r="AG1464" s="1" t="str">
        <f>""</f>
        <v/>
      </c>
      <c r="AH1464" s="1" t="str">
        <f>""</f>
        <v/>
      </c>
      <c r="AI1464" s="1" t="str">
        <f>""</f>
        <v/>
      </c>
      <c r="AJ1464" s="1" t="str">
        <f>""</f>
        <v/>
      </c>
      <c r="AK1464" s="1" t="str">
        <f>""</f>
        <v/>
      </c>
    </row>
    <row r="1465" spans="1:37" x14ac:dyDescent="0.2">
      <c r="A1465" s="1">
        <v>595000</v>
      </c>
      <c r="B1465" s="1">
        <v>951400069</v>
      </c>
      <c r="C1465" s="1" t="str">
        <f>"تخليه - کردستان- سقز جاده سقز مريوان روستاي شيپانجو کارخانه جهد نصر مرکزي"</f>
        <v>تخليه - کردستان- سقز جاده سقز مريوان روستاي شيپانجو کارخانه جهد نصر مرکزي</v>
      </c>
      <c r="D1465" s="1">
        <v>7276</v>
      </c>
      <c r="E1465" s="1">
        <v>544640</v>
      </c>
      <c r="F1465" s="1">
        <v>95</v>
      </c>
      <c r="G1465" s="1">
        <v>50360</v>
      </c>
      <c r="H1465" s="1" t="str">
        <f>"95/07/04"</f>
        <v>95/07/04</v>
      </c>
      <c r="I1465" s="1" t="str">
        <f t="shared" si="366"/>
        <v>كيلوگرم</v>
      </c>
      <c r="J1465" s="1" t="str">
        <f>"0000000088"</f>
        <v>0000000088</v>
      </c>
      <c r="K1465" s="1" t="str">
        <f>"قير  PG58-22"</f>
        <v>قير  PG58-22</v>
      </c>
      <c r="L1465" s="1">
        <v>100</v>
      </c>
      <c r="M1465" s="1" t="str">
        <f t="shared" si="371"/>
        <v>مخازن قير اصفهان</v>
      </c>
      <c r="N1465" s="1">
        <v>8078</v>
      </c>
      <c r="O1465" s="1">
        <v>50031919</v>
      </c>
      <c r="P1465" s="1" t="str">
        <f>"  جهاد نصر استان مركزي"</f>
        <v xml:space="preserve">  جهاد نصر استان مركزي</v>
      </c>
      <c r="Q1465" s="1">
        <v>14</v>
      </c>
      <c r="R1465" s="1" t="str">
        <f>"فروش داخلي - وزارت راه - حوزه راه روستايي ساخت"</f>
        <v>فروش داخلي - وزارت راه - حوزه راه روستايي ساخت</v>
      </c>
      <c r="S1465" s="1" t="str">
        <f t="shared" si="367"/>
        <v>قرارداد فروش</v>
      </c>
      <c r="T1465" s="1" t="str">
        <f t="shared" si="368"/>
        <v>ندارد</v>
      </c>
      <c r="U1465" s="1" t="str">
        <f>"عظيمي محمد(2842015)"</f>
        <v>عظيمي محمد(2842015)</v>
      </c>
      <c r="V1465" s="1">
        <v>951400069</v>
      </c>
      <c r="W1465" s="1">
        <v>951400069</v>
      </c>
      <c r="X1465" s="1" t="str">
        <f>"1395433670"</f>
        <v>1395433670</v>
      </c>
      <c r="Y1465" s="1" t="str">
        <f>"95/07/04"</f>
        <v>95/07/04</v>
      </c>
      <c r="Z1465" s="1" t="str">
        <f>"31246/510"</f>
        <v>31246/510</v>
      </c>
      <c r="AA1465" s="1" t="str">
        <f>"راه وروستايي -ساخت"</f>
        <v>راه وروستايي -ساخت</v>
      </c>
      <c r="AB1465" s="1" t="str">
        <f>"95/06/31"</f>
        <v>95/06/31</v>
      </c>
      <c r="AC1465" s="1" t="str">
        <f>"استان كردستان"</f>
        <v>استان كردستان</v>
      </c>
      <c r="AD1465" s="1" t="str">
        <f>"95/07/04"</f>
        <v>95/07/04</v>
      </c>
      <c r="AE1465" s="1" t="str">
        <f t="shared" si="389"/>
        <v>اختتام</v>
      </c>
      <c r="AF1465" s="1" t="str">
        <f>""</f>
        <v/>
      </c>
      <c r="AG1465" s="1" t="str">
        <f>""</f>
        <v/>
      </c>
      <c r="AH1465" s="1" t="str">
        <f>""</f>
        <v/>
      </c>
      <c r="AI1465" s="1" t="str">
        <f>""</f>
        <v/>
      </c>
      <c r="AJ1465" s="1" t="str">
        <f>""</f>
        <v/>
      </c>
      <c r="AK1465" s="1" t="str">
        <f>""</f>
        <v/>
      </c>
    </row>
    <row r="1466" spans="1:37" x14ac:dyDescent="0.2">
      <c r="A1466" s="1">
        <v>428000</v>
      </c>
      <c r="B1466" s="1">
        <v>956200237</v>
      </c>
      <c r="C1466" s="1" t="str">
        <f>"تخليه - آذربايجان غربي - کيلومتر 12 جاده سلماس - اروميه -کارخانه آسفالت اداره راه و شهرسازي"</f>
        <v>تخليه - آذربايجان غربي - کيلومتر 12 جاده سلماس - اروميه -کارخانه آسفالت اداره راه و شهرسازي</v>
      </c>
      <c r="D1466" s="1">
        <v>9511</v>
      </c>
      <c r="E1466" s="1">
        <v>418880</v>
      </c>
      <c r="F1466" s="1">
        <v>95</v>
      </c>
      <c r="G1466" s="1">
        <v>9120</v>
      </c>
      <c r="H1466" s="1" t="str">
        <f>"95/11/26"</f>
        <v>95/11/26</v>
      </c>
      <c r="I1466" s="1" t="str">
        <f t="shared" si="366"/>
        <v>كيلوگرم</v>
      </c>
      <c r="J1466" s="1" t="str">
        <f>"0000000088"</f>
        <v>0000000088</v>
      </c>
      <c r="K1466" s="1" t="str">
        <f>"قير  PG58-22"</f>
        <v>قير  PG58-22</v>
      </c>
      <c r="L1466" s="1">
        <v>100</v>
      </c>
      <c r="M1466" s="1" t="str">
        <f t="shared" si="371"/>
        <v>مخازن قير اصفهان</v>
      </c>
      <c r="N1466" s="1">
        <v>8625</v>
      </c>
      <c r="O1466" s="1">
        <v>50033747</v>
      </c>
      <c r="P1466" s="1" t="str">
        <f>"  شهرچاي"</f>
        <v xml:space="preserve">  شهرچاي</v>
      </c>
      <c r="Q1466" s="1">
        <v>62</v>
      </c>
      <c r="R1466" s="1" t="str">
        <f>"فروش داخلي - سازمان بنيادمسكن انقلاب اسلامي"</f>
        <v>فروش داخلي - سازمان بنيادمسكن انقلاب اسلامي</v>
      </c>
      <c r="S1466" s="1" t="str">
        <f t="shared" si="367"/>
        <v>قرارداد فروش</v>
      </c>
      <c r="T1466" s="1" t="str">
        <f t="shared" si="368"/>
        <v>ندارد</v>
      </c>
      <c r="U1466" s="1" t="str">
        <f>"فتاح زاده سيداحمد(3843011)"</f>
        <v>فتاح زاده سيداحمد(3843011)</v>
      </c>
      <c r="V1466" s="1">
        <v>956200237</v>
      </c>
      <c r="W1466" s="1">
        <v>956200237</v>
      </c>
      <c r="X1466" s="1" t="str">
        <f>"1395464673"</f>
        <v>1395464673</v>
      </c>
      <c r="Y1466" s="1" t="str">
        <f>"95/11/26"</f>
        <v>95/11/26</v>
      </c>
      <c r="Z1466" s="1" t="str">
        <f>"51019/د"</f>
        <v>51019/د</v>
      </c>
      <c r="AA1466" s="1" t="str">
        <f>"بنيادمسكن انقلاب اسلامي"</f>
        <v>بنيادمسكن انقلاب اسلامي</v>
      </c>
      <c r="AB1466" s="1" t="str">
        <f>"95/11/24"</f>
        <v>95/11/24</v>
      </c>
      <c r="AC1466" s="1" t="str">
        <f>"استان آذربايجان غربي"</f>
        <v>استان آذربايجان غربي</v>
      </c>
      <c r="AD1466" s="1" t="str">
        <f>"95/11/25"</f>
        <v>95/11/25</v>
      </c>
      <c r="AE1466" s="1" t="str">
        <f t="shared" si="389"/>
        <v>اختتام</v>
      </c>
      <c r="AF1466" s="1" t="str">
        <f>""</f>
        <v/>
      </c>
      <c r="AG1466" s="1" t="str">
        <f>""</f>
        <v/>
      </c>
      <c r="AH1466" s="1" t="str">
        <f>""</f>
        <v/>
      </c>
      <c r="AI1466" s="1" t="str">
        <f>""</f>
        <v/>
      </c>
      <c r="AJ1466" s="1" t="str">
        <f>""</f>
        <v/>
      </c>
      <c r="AK1466" s="1" t="str">
        <f>""</f>
        <v/>
      </c>
    </row>
    <row r="1467" spans="1:37" x14ac:dyDescent="0.2">
      <c r="A1467" s="1">
        <v>400000</v>
      </c>
      <c r="B1467" s="1">
        <v>956100012</v>
      </c>
      <c r="C1467" s="1" t="str">
        <f>"تخليه كردستان كيلومتر20جاده سنندج كامياران كارخانه آسفالت كاراتعاوني 163"</f>
        <v>تخليه كردستان كيلومتر20جاده سنندج كامياران كارخانه آسفالت كاراتعاوني 163</v>
      </c>
      <c r="D1467" s="1">
        <v>7176</v>
      </c>
      <c r="E1467" s="1">
        <v>397540</v>
      </c>
      <c r="F1467" s="1">
        <v>95</v>
      </c>
      <c r="G1467" s="1">
        <v>2460</v>
      </c>
      <c r="H1467" s="1" t="str">
        <f>"95/06/15"</f>
        <v>95/06/15</v>
      </c>
      <c r="I1467" s="1" t="str">
        <f t="shared" si="366"/>
        <v>كيلوگرم</v>
      </c>
      <c r="J1467" s="1" t="str">
        <f>"0000000088"</f>
        <v>0000000088</v>
      </c>
      <c r="K1467" s="1" t="str">
        <f>"قير  PG58-22"</f>
        <v>قير  PG58-22</v>
      </c>
      <c r="L1467" s="1">
        <v>100</v>
      </c>
      <c r="M1467" s="1" t="str">
        <f t="shared" si="371"/>
        <v>مخازن قير اصفهان</v>
      </c>
      <c r="N1467" s="1">
        <v>8678</v>
      </c>
      <c r="O1467" s="1">
        <v>50031809</v>
      </c>
      <c r="P1467" s="1" t="str">
        <f>"  نيماسازه گسترسنندج"</f>
        <v xml:space="preserve">  نيماسازه گسترسنندج</v>
      </c>
      <c r="Q1467" s="1">
        <v>61</v>
      </c>
      <c r="R1467" s="1" t="str">
        <f>"فروش داخلي - وزارت راه - مسكن مهر"</f>
        <v>فروش داخلي - وزارت راه - مسكن مهر</v>
      </c>
      <c r="S1467" s="1" t="str">
        <f t="shared" si="367"/>
        <v>قرارداد فروش</v>
      </c>
      <c r="T1467" s="1" t="str">
        <f t="shared" si="368"/>
        <v>ندارد</v>
      </c>
      <c r="U1467" s="1" t="str">
        <f>"ميهن دوست عبداله(2842010)"</f>
        <v>ميهن دوست عبداله(2842010)</v>
      </c>
      <c r="V1467" s="1">
        <v>956100012</v>
      </c>
      <c r="W1467" s="1">
        <v>956100012</v>
      </c>
      <c r="X1467" s="1" t="str">
        <f>"1395429125"</f>
        <v>1395429125</v>
      </c>
      <c r="Y1467" s="1" t="str">
        <f>"95/06/15"</f>
        <v>95/06/15</v>
      </c>
      <c r="Z1467" s="1" t="str">
        <f>"27338/510"</f>
        <v>27338/510</v>
      </c>
      <c r="AA1467" s="1" t="str">
        <f>"مسكن مهر-وزارت راه"</f>
        <v>مسكن مهر-وزارت راه</v>
      </c>
      <c r="AB1467" s="1" t="str">
        <f>"95/06/10"</f>
        <v>95/06/10</v>
      </c>
      <c r="AC1467" s="1" t="str">
        <f>"استان كردستان"</f>
        <v>استان كردستان</v>
      </c>
      <c r="AD1467" s="1" t="str">
        <f>"95/06/15"</f>
        <v>95/06/15</v>
      </c>
      <c r="AE1467" s="1" t="str">
        <f t="shared" si="389"/>
        <v>اختتام</v>
      </c>
      <c r="AF1467" s="1" t="str">
        <f>""</f>
        <v/>
      </c>
      <c r="AG1467" s="1" t="str">
        <f>""</f>
        <v/>
      </c>
      <c r="AH1467" s="1" t="str">
        <f>""</f>
        <v/>
      </c>
      <c r="AI1467" s="1" t="str">
        <f>""</f>
        <v/>
      </c>
      <c r="AJ1467" s="1" t="str">
        <f>""</f>
        <v/>
      </c>
      <c r="AK1467" s="1" t="str">
        <f>""</f>
        <v/>
      </c>
    </row>
    <row r="1468" spans="1:37" x14ac:dyDescent="0.2">
      <c r="A1468" s="1">
        <v>340000</v>
      </c>
      <c r="B1468" s="1">
        <v>951600020</v>
      </c>
      <c r="C1468" s="1" t="str">
        <f>"تخليه كردستان كيلومتر4جاده قروه -سريش آباد-باروسازان قروه"</f>
        <v>تخليه كردستان كيلومتر4جاده قروه -سريش آباد-باروسازان قروه</v>
      </c>
      <c r="D1468" s="1">
        <v>7176</v>
      </c>
      <c r="E1468" s="1">
        <v>338100</v>
      </c>
      <c r="F1468" s="1">
        <v>95</v>
      </c>
      <c r="G1468" s="1">
        <v>1900</v>
      </c>
      <c r="H1468" s="1" t="str">
        <f>"95/06/04"</f>
        <v>95/06/04</v>
      </c>
      <c r="I1468" s="1" t="str">
        <f t="shared" si="366"/>
        <v>كيلوگرم</v>
      </c>
      <c r="J1468" s="1" t="str">
        <f>"0000000088"</f>
        <v>0000000088</v>
      </c>
      <c r="K1468" s="1" t="str">
        <f>"قير  PG58-22"</f>
        <v>قير  PG58-22</v>
      </c>
      <c r="L1468" s="1">
        <v>100</v>
      </c>
      <c r="M1468" s="1" t="str">
        <f t="shared" si="371"/>
        <v>مخازن قير اصفهان</v>
      </c>
      <c r="N1468" s="1">
        <v>8837</v>
      </c>
      <c r="O1468" s="1">
        <v>50031641</v>
      </c>
      <c r="P1468" s="1" t="str">
        <f>"  عمراني باروسازان قروه"</f>
        <v xml:space="preserve">  عمراني باروسازان قروه</v>
      </c>
      <c r="Q1468" s="1">
        <v>16</v>
      </c>
      <c r="R1468" s="1" t="str">
        <f>"فروش داخلي تهران - وزارت راه - معاونت اقتصاد"</f>
        <v>فروش داخلي تهران - وزارت راه - معاونت اقتصاد</v>
      </c>
      <c r="S1468" s="1" t="str">
        <f t="shared" si="367"/>
        <v>قرارداد فروش</v>
      </c>
      <c r="T1468" s="1" t="str">
        <f t="shared" si="368"/>
        <v>ندارد</v>
      </c>
      <c r="U1468" s="1" t="str">
        <f>"ميهن دوست عبداله(2842010)"</f>
        <v>ميهن دوست عبداله(2842010)</v>
      </c>
      <c r="V1468" s="1">
        <v>951600020</v>
      </c>
      <c r="W1468" s="1">
        <v>951600020</v>
      </c>
      <c r="X1468" s="1" t="str">
        <f>"1395426745"</f>
        <v>1395426745</v>
      </c>
      <c r="Y1468" s="1" t="str">
        <f>"95/06/04"</f>
        <v>95/06/04</v>
      </c>
      <c r="Z1468" s="1" t="str">
        <f>"23379/510"</f>
        <v>23379/510</v>
      </c>
      <c r="AA1468" s="1" t="str">
        <f>"راه وروستايي -ساخت"</f>
        <v>راه وروستايي -ساخت</v>
      </c>
      <c r="AB1468" s="1" t="str">
        <f>"95/05/24"</f>
        <v>95/05/24</v>
      </c>
      <c r="AC1468" s="1" t="str">
        <f>"استان كردستان"</f>
        <v>استان كردستان</v>
      </c>
      <c r="AD1468" s="1" t="str">
        <f>"95/06/03"</f>
        <v>95/06/03</v>
      </c>
      <c r="AE1468" s="1" t="str">
        <f t="shared" si="389"/>
        <v>اختتام</v>
      </c>
      <c r="AF1468" s="1" t="str">
        <f>""</f>
        <v/>
      </c>
      <c r="AG1468" s="1" t="str">
        <f>""</f>
        <v/>
      </c>
      <c r="AH1468" s="1" t="str">
        <f>""</f>
        <v/>
      </c>
      <c r="AI1468" s="1" t="str">
        <f>""</f>
        <v/>
      </c>
      <c r="AJ1468" s="1" t="str">
        <f>""</f>
        <v/>
      </c>
      <c r="AK1468" s="1" t="str">
        <f>""</f>
        <v/>
      </c>
    </row>
    <row r="1469" spans="1:37" x14ac:dyDescent="0.2">
      <c r="A1469" s="1">
        <v>73000</v>
      </c>
      <c r="B1469" s="1">
        <v>952000215</v>
      </c>
      <c r="C1469" s="1" t="str">
        <f>"تخليه-چهارمحال بختياري -شهركرد-چلگرد-سازمان همياري شهرداريهاي استان"</f>
        <v>تخليه-چهارمحال بختياري -شهركرد-چلگرد-سازمان همياري شهرداريهاي استان</v>
      </c>
      <c r="D1469" s="1">
        <v>8023</v>
      </c>
      <c r="E1469" s="1">
        <v>72160</v>
      </c>
      <c r="F1469" s="1">
        <v>95</v>
      </c>
      <c r="G1469" s="1">
        <v>840</v>
      </c>
      <c r="H1469" s="1" t="str">
        <f>"95/08/17"</f>
        <v>95/08/17</v>
      </c>
      <c r="I1469" s="1" t="str">
        <f t="shared" si="366"/>
        <v>كيلوگرم</v>
      </c>
      <c r="J1469" s="1" t="str">
        <f>"1000000002"</f>
        <v>1000000002</v>
      </c>
      <c r="K1469" s="1" t="str">
        <f>"قير 85/100 - فله"</f>
        <v>قير 85/100 - فله</v>
      </c>
      <c r="L1469" s="1">
        <v>100</v>
      </c>
      <c r="M1469" s="1" t="str">
        <f t="shared" si="371"/>
        <v>مخازن قير اصفهان</v>
      </c>
      <c r="N1469" s="1">
        <v>9364</v>
      </c>
      <c r="O1469" s="1">
        <v>50032540</v>
      </c>
      <c r="P1469" s="1" t="str">
        <f>"  شهرداري چلگرد"</f>
        <v xml:space="preserve">  شهرداري چلگرد</v>
      </c>
      <c r="Q1469" s="1">
        <v>20</v>
      </c>
      <c r="R1469" s="1" t="str">
        <f>"فروش داخلي - سازمان شهرداري ها و دهياري هاي كشور"</f>
        <v>فروش داخلي - سازمان شهرداري ها و دهياري هاي كشور</v>
      </c>
      <c r="S1469" s="1" t="str">
        <f t="shared" si="367"/>
        <v>قرارداد فروش</v>
      </c>
      <c r="T1469" s="1" t="str">
        <f t="shared" si="368"/>
        <v>ندارد</v>
      </c>
      <c r="U1469" s="1" t="str">
        <f>"قره باغي مجيد(1871065)"</f>
        <v>قره باغي مجيد(1871065)</v>
      </c>
      <c r="V1469" s="1">
        <v>952000215</v>
      </c>
      <c r="W1469" s="1">
        <v>952000215</v>
      </c>
      <c r="X1469" s="1" t="str">
        <f>"1395443388"</f>
        <v>1395443388</v>
      </c>
      <c r="Y1469" s="1" t="str">
        <f>"95/08/17"</f>
        <v>95/08/17</v>
      </c>
      <c r="Z1469" s="1" t="str">
        <f>"40474"</f>
        <v>40474</v>
      </c>
      <c r="AA1469" s="1" t="str">
        <f>"شهرداريها"</f>
        <v>شهرداريها</v>
      </c>
      <c r="AB1469" s="1" t="str">
        <f>"95/08/16"</f>
        <v>95/08/16</v>
      </c>
      <c r="AC1469" s="1" t="str">
        <f>"استان چهارمحال بختياري"</f>
        <v>استان چهارمحال بختياري</v>
      </c>
      <c r="AD1469" s="1" t="str">
        <f>"95/08/17"</f>
        <v>95/08/17</v>
      </c>
      <c r="AE1469" s="1" t="str">
        <f t="shared" si="389"/>
        <v>اختتام</v>
      </c>
      <c r="AF1469" s="1" t="str">
        <f>""</f>
        <v/>
      </c>
      <c r="AG1469" s="1" t="str">
        <f>""</f>
        <v/>
      </c>
      <c r="AH1469" s="1" t="str">
        <f>""</f>
        <v/>
      </c>
      <c r="AI1469" s="1" t="str">
        <f>""</f>
        <v/>
      </c>
      <c r="AJ1469" s="1" t="str">
        <f>""</f>
        <v/>
      </c>
      <c r="AK1469" s="1" t="str">
        <f>""</f>
        <v/>
      </c>
    </row>
    <row r="1470" spans="1:37" x14ac:dyDescent="0.2">
      <c r="A1470" s="1">
        <v>32440</v>
      </c>
      <c r="B1470" s="1">
        <v>951400099</v>
      </c>
      <c r="C1470" s="1" t="str">
        <f>"تخليه -شهرهاي وشرکتهاي طرف قراردادبااداره کل راه وشهرساز سيستان وبلوچستان"</f>
        <v>تخليه -شهرهاي وشرکتهاي طرف قراردادبااداره کل راه وشهرساز سيستان وبلوچستان</v>
      </c>
      <c r="D1470" s="1">
        <v>12507</v>
      </c>
      <c r="E1470" s="1">
        <v>32440</v>
      </c>
      <c r="F1470" s="1">
        <v>95</v>
      </c>
      <c r="G1470" s="1">
        <v>0</v>
      </c>
      <c r="H1470" s="1" t="str">
        <f>"95/10/01"</f>
        <v>95/10/01</v>
      </c>
      <c r="I1470" s="1" t="str">
        <f t="shared" si="366"/>
        <v>كيلوگرم</v>
      </c>
      <c r="J1470" s="1" t="str">
        <f>"1000000003"</f>
        <v>1000000003</v>
      </c>
      <c r="K1470" s="1" t="str">
        <f>"قير MC250"</f>
        <v>قير MC250</v>
      </c>
      <c r="L1470" s="1">
        <v>100</v>
      </c>
      <c r="M1470" s="1" t="str">
        <f t="shared" si="371"/>
        <v>مخازن قير اصفهان</v>
      </c>
      <c r="N1470" s="1">
        <v>4095</v>
      </c>
      <c r="O1470" s="1">
        <v>50033105</v>
      </c>
      <c r="P1470" s="1" t="str">
        <f>"  اداره كل راه وشهرسازي سيستان وبلوچستان"</f>
        <v xml:space="preserve">  اداره كل راه وشهرسازي سيستان وبلوچستان</v>
      </c>
      <c r="Q1470" s="1">
        <v>14</v>
      </c>
      <c r="R1470" s="1" t="str">
        <f>"فروش داخلي - وزارت راه - حوزه راه روستايي ساخت"</f>
        <v>فروش داخلي - وزارت راه - حوزه راه روستايي ساخت</v>
      </c>
      <c r="S1470" s="1" t="str">
        <f t="shared" si="367"/>
        <v>قرارداد فروش</v>
      </c>
      <c r="T1470" s="1" t="str">
        <f t="shared" si="368"/>
        <v>ندارد</v>
      </c>
      <c r="U1470" s="1" t="str">
        <f>"ميرحسيني چاپارحقيقت كرمان(4844008)"</f>
        <v>ميرحسيني چاپارحقيقت كرمان(4844008)</v>
      </c>
      <c r="V1470" s="1">
        <v>951400099</v>
      </c>
      <c r="W1470" s="1">
        <v>951400099</v>
      </c>
      <c r="X1470" s="1" t="str">
        <f>"1395411196"</f>
        <v>1395411196</v>
      </c>
      <c r="Y1470" s="1" t="str">
        <f>"95/10/01"</f>
        <v>95/10/01</v>
      </c>
      <c r="Z1470" s="1" t="str">
        <f>"12458/510"</f>
        <v>12458/510</v>
      </c>
      <c r="AA1470" s="1" t="str">
        <f>"راه وروستايي -ساخت"</f>
        <v>راه وروستايي -ساخت</v>
      </c>
      <c r="AB1470" s="1" t="str">
        <f>"95/03/26"</f>
        <v>95/03/26</v>
      </c>
      <c r="AC1470" s="1" t="str">
        <f>"استان سيستان بلوچستان"</f>
        <v>استان سيستان بلوچستان</v>
      </c>
      <c r="AD1470" s="1" t="str">
        <f>"95/04/05"</f>
        <v>95/04/05</v>
      </c>
      <c r="AE1470" s="1" t="str">
        <f t="shared" si="389"/>
        <v>اختتام</v>
      </c>
      <c r="AF1470" s="1" t="str">
        <f>""</f>
        <v/>
      </c>
      <c r="AG1470" s="1" t="str">
        <f>""</f>
        <v/>
      </c>
      <c r="AH1470" s="1" t="str">
        <f>""</f>
        <v/>
      </c>
      <c r="AI1470" s="1" t="str">
        <f>""</f>
        <v/>
      </c>
      <c r="AJ1470" s="1" t="str">
        <f>""</f>
        <v/>
      </c>
      <c r="AK1470" s="1" t="str">
        <f>""</f>
        <v/>
      </c>
    </row>
    <row r="1471" spans="1:37" x14ac:dyDescent="0.2">
      <c r="A1471" s="1">
        <v>30000</v>
      </c>
      <c r="B1471" s="1">
        <v>956200156</v>
      </c>
      <c r="C1471" s="1" t="str">
        <f>"تخليه اصفهان كيلومتر5جاده خور-طبس"</f>
        <v>تخليه اصفهان كيلومتر5جاده خور-طبس</v>
      </c>
      <c r="D1471" s="1">
        <v>12507</v>
      </c>
      <c r="E1471" s="1">
        <v>29120</v>
      </c>
      <c r="F1471" s="1">
        <v>95</v>
      </c>
      <c r="G1471" s="1">
        <v>880</v>
      </c>
      <c r="H1471" s="1" t="str">
        <f>"95/10/23"</f>
        <v>95/10/23</v>
      </c>
      <c r="I1471" s="1" t="str">
        <f t="shared" si="366"/>
        <v>كيلوگرم</v>
      </c>
      <c r="J1471" s="1" t="str">
        <f>"1000000003"</f>
        <v>1000000003</v>
      </c>
      <c r="K1471" s="1" t="str">
        <f>"قير MC250"</f>
        <v>قير MC250</v>
      </c>
      <c r="L1471" s="1">
        <v>100</v>
      </c>
      <c r="M1471" s="1" t="str">
        <f t="shared" si="371"/>
        <v>مخازن قير اصفهان</v>
      </c>
      <c r="N1471" s="1">
        <v>7140</v>
      </c>
      <c r="O1471" s="1">
        <v>50033375</v>
      </c>
      <c r="P1471" s="1" t="str">
        <f>"  زرين سپاهان"</f>
        <v xml:space="preserve">  زرين سپاهان</v>
      </c>
      <c r="Q1471" s="1">
        <v>62</v>
      </c>
      <c r="R1471" s="1" t="str">
        <f>"فروش داخلي - سازمان بنيادمسكن انقلاب اسلامي"</f>
        <v>فروش داخلي - سازمان بنيادمسكن انقلاب اسلامي</v>
      </c>
      <c r="S1471" s="1" t="str">
        <f t="shared" si="367"/>
        <v>قرارداد فروش</v>
      </c>
      <c r="T1471" s="1" t="str">
        <f t="shared" si="368"/>
        <v>ندارد</v>
      </c>
      <c r="U1471" s="1" t="str">
        <f>"مرادي نجاتعلي(1020ج89)"</f>
        <v>مرادي نجاتعلي(1020ج89)</v>
      </c>
      <c r="V1471" s="1">
        <v>956200156</v>
      </c>
      <c r="W1471" s="1">
        <v>956200156</v>
      </c>
      <c r="X1471" s="1" t="str">
        <f>"1395457939"</f>
        <v>1395457939</v>
      </c>
      <c r="Y1471" s="1" t="str">
        <f>"95/10/23"</f>
        <v>95/10/23</v>
      </c>
      <c r="Z1471" s="1" t="str">
        <f>"44839/د"</f>
        <v>44839/د</v>
      </c>
      <c r="AA1471" s="1" t="str">
        <f>"بنيادمسكن انقلاب اسلامي"</f>
        <v>بنيادمسكن انقلاب اسلامي</v>
      </c>
      <c r="AB1471" s="1" t="str">
        <f>"95/10/20"</f>
        <v>95/10/20</v>
      </c>
      <c r="AC1471" s="1" t="str">
        <f>"استان اصفهان"</f>
        <v>استان اصفهان</v>
      </c>
      <c r="AD1471" s="1" t="str">
        <f>"95/10/22"</f>
        <v>95/10/22</v>
      </c>
      <c r="AE1471" s="1" t="str">
        <f t="shared" si="389"/>
        <v>اختتام</v>
      </c>
      <c r="AF1471" s="1" t="str">
        <f>""</f>
        <v/>
      </c>
      <c r="AG1471" s="1" t="str">
        <f>""</f>
        <v/>
      </c>
      <c r="AH1471" s="1" t="str">
        <f>""</f>
        <v/>
      </c>
      <c r="AI1471" s="1" t="str">
        <f>""</f>
        <v/>
      </c>
      <c r="AJ1471" s="1" t="str">
        <f>""</f>
        <v/>
      </c>
      <c r="AK1471" s="1" t="str">
        <f>""</f>
        <v/>
      </c>
    </row>
    <row r="1472" spans="1:37" x14ac:dyDescent="0.2">
      <c r="A1472" s="1">
        <v>104000</v>
      </c>
      <c r="B1472" s="1">
        <v>952000013</v>
      </c>
      <c r="C1472" s="1" t="str">
        <f>"تخليه - کارخانه آسفالت شهرکرد"</f>
        <v>تخليه - کارخانه آسفالت شهرکرد</v>
      </c>
      <c r="D1472" s="1">
        <v>6426</v>
      </c>
      <c r="E1472" s="1">
        <v>103280</v>
      </c>
      <c r="F1472" s="1">
        <v>95</v>
      </c>
      <c r="G1472" s="1">
        <v>720</v>
      </c>
      <c r="H1472" s="1" t="str">
        <f>"95/05/25"</f>
        <v>95/05/25</v>
      </c>
      <c r="I1472" s="1" t="str">
        <f t="shared" si="366"/>
        <v>كيلوگرم</v>
      </c>
      <c r="J1472" s="1" t="str">
        <f>"1000000002"</f>
        <v>1000000002</v>
      </c>
      <c r="K1472" s="1" t="str">
        <f>"قير 85/100 - فله"</f>
        <v>قير 85/100 - فله</v>
      </c>
      <c r="L1472" s="1">
        <v>100</v>
      </c>
      <c r="M1472" s="1" t="str">
        <f t="shared" si="371"/>
        <v>مخازن قير اصفهان</v>
      </c>
      <c r="N1472" s="1">
        <v>9666</v>
      </c>
      <c r="O1472" s="1">
        <v>50031550</v>
      </c>
      <c r="P1472" s="1" t="str">
        <f>"  شهرداري كيان"</f>
        <v xml:space="preserve">  شهرداري كيان</v>
      </c>
      <c r="Q1472" s="1">
        <v>20</v>
      </c>
      <c r="R1472" s="1" t="str">
        <f>"فروش داخلي - سازمان شهرداري ها و دهياري هاي كشور"</f>
        <v>فروش داخلي - سازمان شهرداري ها و دهياري هاي كشور</v>
      </c>
      <c r="S1472" s="1" t="str">
        <f t="shared" si="367"/>
        <v>قرارداد فروش</v>
      </c>
      <c r="T1472" s="1" t="str">
        <f t="shared" si="368"/>
        <v>ندارد</v>
      </c>
      <c r="U1472" s="1" t="str">
        <f>"مظلوم فريبرز(1008ج89)"</f>
        <v>مظلوم فريبرز(1008ج89)</v>
      </c>
      <c r="V1472" s="1">
        <v>952000013</v>
      </c>
      <c r="W1472" s="1">
        <v>952000013</v>
      </c>
      <c r="X1472" s="1" t="str">
        <f>"1395423681"</f>
        <v>1395423681</v>
      </c>
      <c r="Y1472" s="1" t="str">
        <f>"95/05/25"</f>
        <v>95/05/25</v>
      </c>
      <c r="Z1472" s="1" t="str">
        <f>"18577"</f>
        <v>18577</v>
      </c>
      <c r="AA1472" s="1" t="str">
        <f>"شهرداريها"</f>
        <v>شهرداريها</v>
      </c>
      <c r="AB1472" s="1" t="str">
        <f>"95/05/02"</f>
        <v>95/05/02</v>
      </c>
      <c r="AC1472" s="1" t="str">
        <f>"استان چهارمحال بختياري"</f>
        <v>استان چهارمحال بختياري</v>
      </c>
      <c r="AD1472" s="1" t="str">
        <f>"95/05/24"</f>
        <v>95/05/24</v>
      </c>
      <c r="AE1472" s="1" t="str">
        <f t="shared" si="389"/>
        <v>اختتام</v>
      </c>
      <c r="AF1472" s="1" t="str">
        <f>""</f>
        <v/>
      </c>
      <c r="AG1472" s="1" t="str">
        <f>""</f>
        <v/>
      </c>
      <c r="AH1472" s="1" t="str">
        <f>""</f>
        <v/>
      </c>
      <c r="AI1472" s="1" t="str">
        <f>""</f>
        <v/>
      </c>
      <c r="AJ1472" s="1" t="str">
        <f>""</f>
        <v/>
      </c>
      <c r="AK1472" s="1" t="str">
        <f>""</f>
        <v/>
      </c>
    </row>
    <row r="1473" spans="1:37" x14ac:dyDescent="0.2">
      <c r="A1473" s="1">
        <v>599000</v>
      </c>
      <c r="B1473" s="1">
        <v>956200020</v>
      </c>
      <c r="C1473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473" s="1">
        <v>5750</v>
      </c>
      <c r="E1473" s="1">
        <v>598840</v>
      </c>
      <c r="F1473" s="1">
        <v>95</v>
      </c>
      <c r="G1473" s="1">
        <v>160</v>
      </c>
      <c r="H1473" s="1" t="str">
        <f>"95/03/12"</f>
        <v>95/03/12</v>
      </c>
      <c r="I1473" s="1" t="str">
        <f t="shared" si="366"/>
        <v>كيلوگرم</v>
      </c>
      <c r="J1473" s="1" t="str">
        <f>"1000000002"</f>
        <v>1000000002</v>
      </c>
      <c r="K1473" s="1" t="str">
        <f>"قير 85/100 - فله"</f>
        <v>قير 85/100 - فله</v>
      </c>
      <c r="L1473" s="1">
        <v>100</v>
      </c>
      <c r="M1473" s="1" t="str">
        <f t="shared" si="371"/>
        <v>مخازن قير اصفهان</v>
      </c>
      <c r="N1473" s="1">
        <v>9777</v>
      </c>
      <c r="O1473" s="1">
        <v>50030950</v>
      </c>
      <c r="P1473" s="1" t="str">
        <f>"  كاويان سازان كوهستان"</f>
        <v xml:space="preserve">  كاويان سازان كوهستان</v>
      </c>
      <c r="Q1473" s="1">
        <v>62</v>
      </c>
      <c r="R1473" s="1" t="str">
        <f>"فروش داخلي - سازمان بنيادمسكن انقلاب اسلامي"</f>
        <v>فروش داخلي - سازمان بنيادمسكن انقلاب اسلامي</v>
      </c>
      <c r="S1473" s="1" t="str">
        <f t="shared" si="367"/>
        <v>قرارداد فروش</v>
      </c>
      <c r="T1473" s="1" t="str">
        <f t="shared" si="368"/>
        <v>ندارد</v>
      </c>
      <c r="U1473" s="1" t="str">
        <f>"قره باغي مجيد(1871065)"</f>
        <v>قره باغي مجيد(1871065)</v>
      </c>
      <c r="V1473" s="1">
        <v>956200020</v>
      </c>
      <c r="W1473" s="1">
        <v>956200020</v>
      </c>
      <c r="X1473" s="1" t="str">
        <f>"1395407389"</f>
        <v>1395407389</v>
      </c>
      <c r="Y1473" s="1" t="str">
        <f>"95/03/12"</f>
        <v>95/03/12</v>
      </c>
      <c r="Z1473" s="1" t="str">
        <f>"9796/د"</f>
        <v>9796/د</v>
      </c>
      <c r="AA1473" s="1" t="str">
        <f>"بنيادمسكن انقلاب اسلامي"</f>
        <v>بنيادمسكن انقلاب اسلامي</v>
      </c>
      <c r="AB1473" s="1" t="str">
        <f>"95/03/11"</f>
        <v>95/03/11</v>
      </c>
      <c r="AC1473" s="1" t="str">
        <f>"استان چهارمحال بختياري"</f>
        <v>استان چهارمحال بختياري</v>
      </c>
      <c r="AD1473" s="1" t="str">
        <f>"95/03/12"</f>
        <v>95/03/12</v>
      </c>
      <c r="AE1473" s="1" t="str">
        <f t="shared" si="389"/>
        <v>اختتام</v>
      </c>
      <c r="AF1473" s="1" t="str">
        <f>""</f>
        <v/>
      </c>
      <c r="AG1473" s="1" t="str">
        <f>""</f>
        <v/>
      </c>
      <c r="AH1473" s="1" t="str">
        <f>""</f>
        <v/>
      </c>
      <c r="AI1473" s="1" t="str">
        <f>""</f>
        <v/>
      </c>
      <c r="AJ1473" s="1" t="str">
        <f>""</f>
        <v/>
      </c>
      <c r="AK1473" s="1" t="str">
        <f>""</f>
        <v/>
      </c>
    </row>
    <row r="1474" spans="1:37" x14ac:dyDescent="0.2">
      <c r="A1474" s="1">
        <v>300000</v>
      </c>
      <c r="B1474" s="1">
        <v>956200037</v>
      </c>
      <c r="C1474" s="1" t="str">
        <f>"تخليه-لردگان-فلارد-روستاي گنج-کارخانه آسفالت جانباز لردگان"</f>
        <v>تخليه-لردگان-فلارد-روستاي گنج-کارخانه آسفالت جانباز لردگان</v>
      </c>
      <c r="D1474" s="1">
        <v>5750</v>
      </c>
      <c r="E1474" s="1">
        <v>299820</v>
      </c>
      <c r="F1474" s="1">
        <v>95</v>
      </c>
      <c r="G1474" s="1">
        <v>180</v>
      </c>
      <c r="H1474" s="1" t="str">
        <f>"95/03/26"</f>
        <v>95/03/26</v>
      </c>
      <c r="I1474" s="1" t="str">
        <f t="shared" ref="I1474:I1537" si="390">"كيلوگرم"</f>
        <v>كيلوگرم</v>
      </c>
      <c r="J1474" s="1" t="str">
        <f>"1000000002"</f>
        <v>1000000002</v>
      </c>
      <c r="K1474" s="1" t="str">
        <f>"قير 85/100 - فله"</f>
        <v>قير 85/100 - فله</v>
      </c>
      <c r="L1474" s="1">
        <v>100</v>
      </c>
      <c r="M1474" s="1" t="str">
        <f t="shared" si="371"/>
        <v>مخازن قير اصفهان</v>
      </c>
      <c r="N1474" s="1">
        <v>9939</v>
      </c>
      <c r="O1474" s="1">
        <v>50031059</v>
      </c>
      <c r="P1474" s="1" t="str">
        <f>"  بهسازان ميلاس"</f>
        <v xml:space="preserve">  بهسازان ميلاس</v>
      </c>
      <c r="Q1474" s="1">
        <v>62</v>
      </c>
      <c r="R1474" s="1" t="str">
        <f>"فروش داخلي - سازمان بنيادمسكن انقلاب اسلامي"</f>
        <v>فروش داخلي - سازمان بنيادمسكن انقلاب اسلامي</v>
      </c>
      <c r="S1474" s="1" t="str">
        <f t="shared" ref="S1474:S1537" si="391">"قرارداد فروش"</f>
        <v>قرارداد فروش</v>
      </c>
      <c r="T1474" s="1" t="str">
        <f t="shared" ref="T1474:T1537" si="392">"ندارد"</f>
        <v>ندارد</v>
      </c>
      <c r="U1474" s="1" t="str">
        <f>"قره باغي مجيد(1871065)"</f>
        <v>قره باغي مجيد(1871065)</v>
      </c>
      <c r="V1474" s="1">
        <v>956200037</v>
      </c>
      <c r="W1474" s="1">
        <v>956200037</v>
      </c>
      <c r="X1474" s="1" t="str">
        <f>"1395409798"</f>
        <v>1395409798</v>
      </c>
      <c r="Y1474" s="1" t="str">
        <f>"95/03/26"</f>
        <v>95/03/26</v>
      </c>
      <c r="Z1474" s="1" t="str">
        <f>"11782/د"</f>
        <v>11782/د</v>
      </c>
      <c r="AA1474" s="1" t="str">
        <f>"بنيادمسكن انقلاب اسلامي"</f>
        <v>بنيادمسكن انقلاب اسلامي</v>
      </c>
      <c r="AB1474" s="1" t="str">
        <f>"95/03/25"</f>
        <v>95/03/25</v>
      </c>
      <c r="AC1474" s="1" t="str">
        <f>"استان چهارمحال بختياري"</f>
        <v>استان چهارمحال بختياري</v>
      </c>
      <c r="AD1474" s="1" t="str">
        <f>"95/03/26"</f>
        <v>95/03/26</v>
      </c>
      <c r="AE1474" s="1" t="str">
        <f t="shared" si="389"/>
        <v>اختتام</v>
      </c>
      <c r="AF1474" s="1" t="str">
        <f>""</f>
        <v/>
      </c>
      <c r="AG1474" s="1" t="str">
        <f>""</f>
        <v/>
      </c>
      <c r="AH1474" s="1" t="str">
        <f>""</f>
        <v/>
      </c>
      <c r="AI1474" s="1" t="str">
        <f>""</f>
        <v/>
      </c>
      <c r="AJ1474" s="1" t="str">
        <f>""</f>
        <v/>
      </c>
      <c r="AK1474" s="1" t="str">
        <f>""</f>
        <v/>
      </c>
    </row>
    <row r="1475" spans="1:37" x14ac:dyDescent="0.2">
      <c r="A1475" s="1">
        <v>600000</v>
      </c>
      <c r="B1475" s="1">
        <v>951700352</v>
      </c>
      <c r="C1475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1475" s="1">
        <v>9354</v>
      </c>
      <c r="E1475" s="1">
        <v>599580</v>
      </c>
      <c r="F1475" s="1">
        <v>95</v>
      </c>
      <c r="G1475" s="1">
        <v>420</v>
      </c>
      <c r="H1475" s="1" t="str">
        <f>"95/12/22"</f>
        <v>95/12/22</v>
      </c>
      <c r="I1475" s="1" t="str">
        <f t="shared" si="390"/>
        <v>كيلوگرم</v>
      </c>
      <c r="J1475" s="1" t="str">
        <f t="shared" ref="J1475:J1486" si="393">"0000000088"</f>
        <v>0000000088</v>
      </c>
      <c r="K1475" s="1" t="str">
        <f t="shared" ref="K1475:K1486" si="394">"قير  PG58-22"</f>
        <v>قير  PG58-22</v>
      </c>
      <c r="L1475" s="1">
        <v>100</v>
      </c>
      <c r="M1475" s="1" t="str">
        <f t="shared" si="371"/>
        <v>مخازن قير اصفهان</v>
      </c>
      <c r="N1475" s="1">
        <v>9809</v>
      </c>
      <c r="O1475" s="1">
        <v>50034111</v>
      </c>
      <c r="P1475" s="1" t="str">
        <f>"  راه و ساختمان احمديه چليچه"</f>
        <v xml:space="preserve">  راه و ساختمان احمديه چليچه</v>
      </c>
      <c r="Q1475" s="1">
        <v>17</v>
      </c>
      <c r="R1475" s="1" t="str">
        <f>"فروش داخلي تهران - وزارت راه - راه روستايي - روکش"</f>
        <v>فروش داخلي تهران - وزارت راه - راه روستايي - روکش</v>
      </c>
      <c r="S1475" s="1" t="str">
        <f t="shared" si="391"/>
        <v>قرارداد فروش</v>
      </c>
      <c r="T1475" s="1" t="str">
        <f t="shared" si="392"/>
        <v>ندارد</v>
      </c>
      <c r="U1475" s="1" t="str">
        <f>"قره باغي مجيد(1871065)"</f>
        <v>قره باغي مجيد(1871065)</v>
      </c>
      <c r="V1475" s="1">
        <v>951700352</v>
      </c>
      <c r="W1475" s="1">
        <v>951700352</v>
      </c>
      <c r="X1475" s="1" t="str">
        <f>"1395470438"</f>
        <v>1395470438</v>
      </c>
      <c r="Y1475" s="1" t="str">
        <f>"95/12/22"</f>
        <v>95/12/22</v>
      </c>
      <c r="Z1475" s="1" t="str">
        <f>"65162/710"</f>
        <v>65162/710</v>
      </c>
      <c r="AA1475" s="1" t="str">
        <f>"راه روستائي -روكش"</f>
        <v>راه روستائي -روكش</v>
      </c>
      <c r="AB1475" s="1" t="str">
        <f>"95/12/18"</f>
        <v>95/12/18</v>
      </c>
      <c r="AC1475" s="1" t="str">
        <f>"استان چهارمحال بختياري"</f>
        <v>استان چهارمحال بختياري</v>
      </c>
      <c r="AD1475" s="1" t="str">
        <f>"95/12/22"</f>
        <v>95/12/22</v>
      </c>
      <c r="AE1475" s="1" t="str">
        <f t="shared" si="389"/>
        <v>اختتام</v>
      </c>
      <c r="AF1475" s="1" t="str">
        <f>""</f>
        <v/>
      </c>
      <c r="AG1475" s="1" t="str">
        <f>""</f>
        <v/>
      </c>
      <c r="AH1475" s="1" t="str">
        <f>""</f>
        <v/>
      </c>
      <c r="AI1475" s="1" t="str">
        <f>""</f>
        <v/>
      </c>
      <c r="AJ1475" s="1" t="str">
        <f>""</f>
        <v/>
      </c>
      <c r="AK1475" s="1" t="str">
        <f>""</f>
        <v/>
      </c>
    </row>
    <row r="1476" spans="1:37" x14ac:dyDescent="0.2">
      <c r="A1476" s="1">
        <v>200000</v>
      </c>
      <c r="B1476" s="1">
        <v>951400106</v>
      </c>
      <c r="C1476" s="1" t="str">
        <f>"تخليه كردستان پروژه بهسازي وآسفالت راه روستايي گومه اي ومران وقوچاق كارخانه آسفالت شركت سرچنارراه"</f>
        <v>تخليه كردستان پروژه بهسازي وآسفالت راه روستايي گومه اي ومران وقوچاق كارخانه آسفالت شركت سرچنارراه</v>
      </c>
      <c r="D1476" s="1">
        <v>9061</v>
      </c>
      <c r="E1476" s="1">
        <v>199580</v>
      </c>
      <c r="F1476" s="1">
        <v>95</v>
      </c>
      <c r="G1476" s="1">
        <v>420</v>
      </c>
      <c r="H1476" s="1" t="str">
        <f>"95/10/08"</f>
        <v>95/10/08</v>
      </c>
      <c r="I1476" s="1" t="str">
        <f t="shared" si="390"/>
        <v>كيلوگرم</v>
      </c>
      <c r="J1476" s="1" t="str">
        <f t="shared" si="393"/>
        <v>0000000088</v>
      </c>
      <c r="K1476" s="1" t="str">
        <f t="shared" si="394"/>
        <v>قير  PG58-22</v>
      </c>
      <c r="L1476" s="1">
        <v>100</v>
      </c>
      <c r="M1476" s="1" t="str">
        <f t="shared" si="371"/>
        <v>مخازن قير اصفهان</v>
      </c>
      <c r="N1476" s="1">
        <v>9878</v>
      </c>
      <c r="O1476" s="1">
        <v>50033216</v>
      </c>
      <c r="P1476" s="1" t="str">
        <f>"  اميرعمران كردستان"</f>
        <v xml:space="preserve">  اميرعمران كردستان</v>
      </c>
      <c r="Q1476" s="1">
        <v>14</v>
      </c>
      <c r="R1476" s="1" t="str">
        <f>"فروش داخلي - وزارت راه - حوزه راه روستايي ساخت"</f>
        <v>فروش داخلي - وزارت راه - حوزه راه روستايي ساخت</v>
      </c>
      <c r="S1476" s="1" t="str">
        <f t="shared" si="391"/>
        <v>قرارداد فروش</v>
      </c>
      <c r="T1476" s="1" t="str">
        <f t="shared" si="392"/>
        <v>ندارد</v>
      </c>
      <c r="U1476" s="1" t="str">
        <f>"ميهن دوست عبداله(2842010)"</f>
        <v>ميهن دوست عبداله(2842010)</v>
      </c>
      <c r="V1476" s="1">
        <v>951400106</v>
      </c>
      <c r="W1476" s="1">
        <v>951400106</v>
      </c>
      <c r="X1476" s="1" t="str">
        <f>"1395455865"</f>
        <v>1395455865</v>
      </c>
      <c r="Y1476" s="1" t="str">
        <f>"95/10/08"</f>
        <v>95/10/08</v>
      </c>
      <c r="Z1476" s="1" t="str">
        <f>"46616/710"</f>
        <v>46616/710</v>
      </c>
      <c r="AA1476" s="1" t="str">
        <f>"راه وروستايي -ساخت"</f>
        <v>راه وروستايي -ساخت</v>
      </c>
      <c r="AB1476" s="1" t="str">
        <f>"95/09/24"</f>
        <v>95/09/24</v>
      </c>
      <c r="AC1476" s="1" t="str">
        <f>"استان كردستان"</f>
        <v>استان كردستان</v>
      </c>
      <c r="AD1476" s="1" t="str">
        <f>"95/10/08"</f>
        <v>95/10/08</v>
      </c>
      <c r="AE1476" s="1" t="str">
        <f t="shared" si="389"/>
        <v>اختتام</v>
      </c>
      <c r="AF1476" s="1" t="str">
        <f>""</f>
        <v/>
      </c>
      <c r="AG1476" s="1" t="str">
        <f>""</f>
        <v/>
      </c>
      <c r="AH1476" s="1" t="str">
        <f>""</f>
        <v/>
      </c>
      <c r="AI1476" s="1" t="str">
        <f>""</f>
        <v/>
      </c>
      <c r="AJ1476" s="1" t="str">
        <f>""</f>
        <v/>
      </c>
      <c r="AK1476" s="1" t="str">
        <f>""</f>
        <v/>
      </c>
    </row>
    <row r="1477" spans="1:37" x14ac:dyDescent="0.2">
      <c r="A1477" s="1">
        <v>370000</v>
      </c>
      <c r="B1477" s="1">
        <v>951000003</v>
      </c>
      <c r="C1477" s="1" t="str">
        <f>"تخليه -چهارمحال وبختياري ناغان كارخانه اتحاد-شركت پايه ستون زاگرس"</f>
        <v>تخليه -چهارمحال وبختياري ناغان كارخانه اتحاد-شركت پايه ستون زاگرس</v>
      </c>
      <c r="D1477" s="1">
        <v>6050</v>
      </c>
      <c r="E1477" s="1">
        <v>370000</v>
      </c>
      <c r="F1477" s="1">
        <v>95</v>
      </c>
      <c r="G1477" s="1">
        <v>0</v>
      </c>
      <c r="H1477" s="1" t="str">
        <f>"95/03/19"</f>
        <v>95/03/19</v>
      </c>
      <c r="I1477" s="1" t="str">
        <f t="shared" si="390"/>
        <v>كيلوگرم</v>
      </c>
      <c r="J1477" s="1" t="str">
        <f t="shared" si="393"/>
        <v>0000000088</v>
      </c>
      <c r="K1477" s="1" t="str">
        <f t="shared" si="394"/>
        <v>قير  PG58-22</v>
      </c>
      <c r="L1477" s="1">
        <v>100</v>
      </c>
      <c r="M1477" s="1" t="str">
        <f t="shared" si="371"/>
        <v>مخازن قير اصفهان</v>
      </c>
      <c r="N1477" s="1">
        <v>9898</v>
      </c>
      <c r="O1477" s="1">
        <v>50030983</v>
      </c>
      <c r="P1477" s="1" t="str">
        <f>"  اداره كل نوسازي توسعه وتجهيز مدارس استان چهارمحال بختياري"</f>
        <v xml:space="preserve">  اداره كل نوسازي توسعه وتجهيز مدارس استان چهارمحال بختياري</v>
      </c>
      <c r="Q1477" s="1">
        <v>10</v>
      </c>
      <c r="R1477" s="1" t="str">
        <f>"فروش داخلي - وزارت راه - متفرقه"</f>
        <v>فروش داخلي - وزارت راه - متفرقه</v>
      </c>
      <c r="S1477" s="1" t="str">
        <f t="shared" si="391"/>
        <v>قرارداد فروش</v>
      </c>
      <c r="T1477" s="1" t="str">
        <f t="shared" si="392"/>
        <v>ندارد</v>
      </c>
      <c r="U1477" s="1" t="str">
        <f>"قره باغي مجيد(1871065)"</f>
        <v>قره باغي مجيد(1871065)</v>
      </c>
      <c r="V1477" s="1">
        <v>951000003</v>
      </c>
      <c r="W1477" s="1">
        <v>951000003</v>
      </c>
      <c r="X1477" s="1" t="str">
        <f>"1395408513"</f>
        <v>1395408513</v>
      </c>
      <c r="Y1477" s="1" t="str">
        <f>"95/03/19"</f>
        <v>95/03/19</v>
      </c>
      <c r="Z1477" s="1" t="str">
        <f>"69681/510"</f>
        <v>69681/510</v>
      </c>
      <c r="AA1477" s="1" t="str">
        <f>"متفرقه"</f>
        <v>متفرقه</v>
      </c>
      <c r="AB1477" s="1" t="str">
        <f>"94/12/19"</f>
        <v>94/12/19</v>
      </c>
      <c r="AC1477" s="1" t="str">
        <f>"استان چهارمحال بختياري"</f>
        <v>استان چهارمحال بختياري</v>
      </c>
      <c r="AD1477" s="1" t="str">
        <f>"95/03/19"</f>
        <v>95/03/19</v>
      </c>
      <c r="AE1477" s="1" t="str">
        <f t="shared" si="389"/>
        <v>اختتام</v>
      </c>
      <c r="AF1477" s="1" t="str">
        <f>""</f>
        <v/>
      </c>
      <c r="AG1477" s="1" t="str">
        <f>""</f>
        <v/>
      </c>
      <c r="AH1477" s="1" t="str">
        <f>""</f>
        <v/>
      </c>
      <c r="AI1477" s="1" t="str">
        <f>""</f>
        <v/>
      </c>
      <c r="AJ1477" s="1" t="str">
        <f>""</f>
        <v/>
      </c>
      <c r="AK1477" s="1" t="str">
        <f>""</f>
        <v/>
      </c>
    </row>
    <row r="1478" spans="1:37" x14ac:dyDescent="0.2">
      <c r="A1478" s="1">
        <v>390000</v>
      </c>
      <c r="B1478" s="1">
        <v>956100017</v>
      </c>
      <c r="C1478" s="1" t="str">
        <f>"تخليه كردستان قروه كيلومتر7جاده سنندج كارخانه آقاي حسيني"</f>
        <v>تخليه كردستان قروه كيلومتر7جاده سنندج كارخانه آقاي حسيني</v>
      </c>
      <c r="D1478" s="1">
        <v>7276</v>
      </c>
      <c r="E1478" s="1">
        <v>390000</v>
      </c>
      <c r="F1478" s="1">
        <v>95</v>
      </c>
      <c r="G1478" s="1">
        <v>0</v>
      </c>
      <c r="H1478" s="1" t="str">
        <f>"95/07/04"</f>
        <v>95/07/04</v>
      </c>
      <c r="I1478" s="1" t="str">
        <f t="shared" si="390"/>
        <v>كيلوگرم</v>
      </c>
      <c r="J1478" s="1" t="str">
        <f t="shared" si="393"/>
        <v>0000000088</v>
      </c>
      <c r="K1478" s="1" t="str">
        <f t="shared" si="394"/>
        <v>قير  PG58-22</v>
      </c>
      <c r="L1478" s="1">
        <v>100</v>
      </c>
      <c r="M1478" s="1" t="str">
        <f t="shared" si="371"/>
        <v>مخازن قير اصفهان</v>
      </c>
      <c r="N1478" s="1">
        <v>10406</v>
      </c>
      <c r="O1478" s="1">
        <v>50031930</v>
      </c>
      <c r="P1478" s="1" t="str">
        <f>"  اداره كل راه وشهرسازي كردستان"</f>
        <v xml:space="preserve">  اداره كل راه وشهرسازي كردستان</v>
      </c>
      <c r="Q1478" s="1">
        <v>61</v>
      </c>
      <c r="R1478" s="1" t="str">
        <f>"فروش داخلي - وزارت راه - مسكن مهر"</f>
        <v>فروش داخلي - وزارت راه - مسكن مهر</v>
      </c>
      <c r="S1478" s="1" t="str">
        <f t="shared" si="391"/>
        <v>قرارداد فروش</v>
      </c>
      <c r="T1478" s="1" t="str">
        <f t="shared" si="392"/>
        <v>ندارد</v>
      </c>
      <c r="U1478" s="1" t="str">
        <f>"ميهن دوست عبداله(2842010)"</f>
        <v>ميهن دوست عبداله(2842010)</v>
      </c>
      <c r="V1478" s="1">
        <v>956100017</v>
      </c>
      <c r="W1478" s="1">
        <v>956100017</v>
      </c>
      <c r="X1478" s="1" t="str">
        <f>"1395433649"</f>
        <v>1395433649</v>
      </c>
      <c r="Y1478" s="1" t="str">
        <f>"95/07/04"</f>
        <v>95/07/04</v>
      </c>
      <c r="Z1478" s="1" t="str">
        <f>"31188/510"</f>
        <v>31188/510</v>
      </c>
      <c r="AA1478" s="1" t="str">
        <f>"مسكن مهر-وزارت راه"</f>
        <v>مسكن مهر-وزارت راه</v>
      </c>
      <c r="AB1478" s="1" t="str">
        <f>"95/06/31"</f>
        <v>95/06/31</v>
      </c>
      <c r="AC1478" s="1" t="str">
        <f>"استان كردستان"</f>
        <v>استان كردستان</v>
      </c>
      <c r="AD1478" s="1" t="str">
        <f>"95/07/04"</f>
        <v>95/07/04</v>
      </c>
      <c r="AE1478" s="1" t="str">
        <f t="shared" si="389"/>
        <v>اختتام</v>
      </c>
      <c r="AF1478" s="1" t="str">
        <f>""</f>
        <v/>
      </c>
      <c r="AG1478" s="1" t="str">
        <f>""</f>
        <v/>
      </c>
      <c r="AH1478" s="1" t="str">
        <f>""</f>
        <v/>
      </c>
      <c r="AI1478" s="1" t="str">
        <f>""</f>
        <v/>
      </c>
      <c r="AJ1478" s="1" t="str">
        <f>""</f>
        <v/>
      </c>
      <c r="AK1478" s="1" t="str">
        <f>""</f>
        <v/>
      </c>
    </row>
    <row r="1479" spans="1:37" x14ac:dyDescent="0.2">
      <c r="A1479" s="1">
        <v>70000</v>
      </c>
      <c r="B1479" s="1">
        <v>951600016</v>
      </c>
      <c r="C1479" s="1" t="str">
        <f>"كردستان -شهرستان بيجار-كيلومتر10محوربيجار-زنجان جنب روروستاي سيدان مجموعه كارخانه آسفالت شركت آب راه سازه فربد"</f>
        <v>كردستان -شهرستان بيجار-كيلومتر10محوربيجار-زنجان جنب روروستاي سيدان مجموعه كارخانه آسفالت شركت آب راه سازه فربد</v>
      </c>
      <c r="D1479" s="1">
        <v>6726</v>
      </c>
      <c r="E1479" s="1">
        <v>69220</v>
      </c>
      <c r="F1479" s="1">
        <v>95</v>
      </c>
      <c r="G1479" s="1">
        <v>780</v>
      </c>
      <c r="H1479" s="1" t="str">
        <f>"95/05/17"</f>
        <v>95/05/17</v>
      </c>
      <c r="I1479" s="1" t="str">
        <f t="shared" si="390"/>
        <v>كيلوگرم</v>
      </c>
      <c r="J1479" s="1" t="str">
        <f t="shared" si="393"/>
        <v>0000000088</v>
      </c>
      <c r="K1479" s="1" t="str">
        <f t="shared" si="394"/>
        <v>قير  PG58-22</v>
      </c>
      <c r="L1479" s="1">
        <v>100</v>
      </c>
      <c r="M1479" s="1" t="str">
        <f t="shared" si="371"/>
        <v>مخازن قير اصفهان</v>
      </c>
      <c r="N1479" s="1">
        <v>10605</v>
      </c>
      <c r="O1479" s="1">
        <v>50031455</v>
      </c>
      <c r="P1479" s="1" t="str">
        <f>"  آب راه سازه فربد"</f>
        <v xml:space="preserve">  آب راه سازه فربد</v>
      </c>
      <c r="Q1479" s="1">
        <v>16</v>
      </c>
      <c r="R1479" s="1" t="str">
        <f>"فروش داخلي تهران - وزارت راه - معاونت اقتصاد"</f>
        <v>فروش داخلي تهران - وزارت راه - معاونت اقتصاد</v>
      </c>
      <c r="S1479" s="1" t="str">
        <f t="shared" si="391"/>
        <v>قرارداد فروش</v>
      </c>
      <c r="T1479" s="1" t="str">
        <f t="shared" si="392"/>
        <v>ندارد</v>
      </c>
      <c r="U1479" s="1" t="str">
        <f>"ميهن دوست عبداله(2842010)"</f>
        <v>ميهن دوست عبداله(2842010)</v>
      </c>
      <c r="V1479" s="1">
        <v>951600016</v>
      </c>
      <c r="W1479" s="1">
        <v>951600016</v>
      </c>
      <c r="X1479" s="1" t="str">
        <f>"1395421747"</f>
        <v>1395421747</v>
      </c>
      <c r="Y1479" s="1" t="str">
        <f>"95/05/17"</f>
        <v>95/05/17</v>
      </c>
      <c r="Z1479" s="1" t="str">
        <f>"20092/510"</f>
        <v>20092/510</v>
      </c>
      <c r="AA1479" s="1" t="str">
        <f>"معاونت اقتصادوزارت راه وشهرسازي"</f>
        <v>معاونت اقتصادوزارت راه وشهرسازي</v>
      </c>
      <c r="AB1479" s="1" t="str">
        <f>"95/05/06"</f>
        <v>95/05/06</v>
      </c>
      <c r="AC1479" s="1" t="str">
        <f>"استان كردستان"</f>
        <v>استان كردستان</v>
      </c>
      <c r="AD1479" s="1" t="str">
        <f>"95/05/17"</f>
        <v>95/05/17</v>
      </c>
      <c r="AE1479" s="1" t="str">
        <f t="shared" si="389"/>
        <v>اختتام</v>
      </c>
      <c r="AF1479" s="1" t="str">
        <f>""</f>
        <v/>
      </c>
      <c r="AG1479" s="1" t="str">
        <f>""</f>
        <v/>
      </c>
      <c r="AH1479" s="1" t="str">
        <f>""</f>
        <v/>
      </c>
      <c r="AI1479" s="1" t="str">
        <f>""</f>
        <v/>
      </c>
      <c r="AJ1479" s="1" t="str">
        <f>""</f>
        <v/>
      </c>
      <c r="AK1479" s="1" t="str">
        <f>""</f>
        <v/>
      </c>
    </row>
    <row r="1480" spans="1:37" x14ac:dyDescent="0.2">
      <c r="A1480" s="1">
        <v>480000</v>
      </c>
      <c r="B1480" s="1">
        <v>951400070</v>
      </c>
      <c r="C1480" s="1" t="str">
        <f>"تخليه -كردستان -كيلومتر20جاده سنندج -كامياران 4كيلومتربه طرف جاده روستايي نران"</f>
        <v>تخليه -كردستان -كيلومتر20جاده سنندج -كامياران 4كيلومتربه طرف جاده روستايي نران</v>
      </c>
      <c r="D1480" s="1">
        <v>7276</v>
      </c>
      <c r="E1480" s="1">
        <v>479300</v>
      </c>
      <c r="F1480" s="1">
        <v>95</v>
      </c>
      <c r="G1480" s="1">
        <v>700</v>
      </c>
      <c r="H1480" s="1" t="str">
        <f>"95/07/05"</f>
        <v>95/07/05</v>
      </c>
      <c r="I1480" s="1" t="str">
        <f t="shared" si="390"/>
        <v>كيلوگرم</v>
      </c>
      <c r="J1480" s="1" t="str">
        <f t="shared" si="393"/>
        <v>0000000088</v>
      </c>
      <c r="K1480" s="1" t="str">
        <f t="shared" si="394"/>
        <v>قير  PG58-22</v>
      </c>
      <c r="L1480" s="1">
        <v>100</v>
      </c>
      <c r="M1480" s="1" t="str">
        <f t="shared" ref="M1480:M1543" si="395">"مخازن قير اصفهان"</f>
        <v>مخازن قير اصفهان</v>
      </c>
      <c r="N1480" s="1">
        <v>10916</v>
      </c>
      <c r="O1480" s="1">
        <v>50031953</v>
      </c>
      <c r="P1480" s="1" t="str">
        <f>"  سازه آفرين كردستان"</f>
        <v xml:space="preserve">  سازه آفرين كردستان</v>
      </c>
      <c r="Q1480" s="1">
        <v>14</v>
      </c>
      <c r="R1480" s="1" t="str">
        <f>"فروش داخلي - وزارت راه - حوزه راه روستايي ساخت"</f>
        <v>فروش داخلي - وزارت راه - حوزه راه روستايي ساخت</v>
      </c>
      <c r="S1480" s="1" t="str">
        <f t="shared" si="391"/>
        <v>قرارداد فروش</v>
      </c>
      <c r="T1480" s="1" t="str">
        <f t="shared" si="392"/>
        <v>ندارد</v>
      </c>
      <c r="U1480" s="1" t="str">
        <f>"ميهن دوست عبداله(2842010)"</f>
        <v>ميهن دوست عبداله(2842010)</v>
      </c>
      <c r="V1480" s="1">
        <v>951400070</v>
      </c>
      <c r="W1480" s="1">
        <v>951400070</v>
      </c>
      <c r="X1480" s="1" t="str">
        <f>"1395433837"</f>
        <v>1395433837</v>
      </c>
      <c r="Y1480" s="1" t="str">
        <f>"95/07/05"</f>
        <v>95/07/05</v>
      </c>
      <c r="Z1480" s="1" t="str">
        <f>"31809/510"</f>
        <v>31809/510</v>
      </c>
      <c r="AA1480" s="1" t="str">
        <f>"راه وروستايي -ساخت"</f>
        <v>راه وروستايي -ساخت</v>
      </c>
      <c r="AB1480" s="1" t="str">
        <f>"95/07/04"</f>
        <v>95/07/04</v>
      </c>
      <c r="AC1480" s="1" t="str">
        <f>"استان كردستان"</f>
        <v>استان كردستان</v>
      </c>
      <c r="AD1480" s="1" t="str">
        <f>"95/07/05"</f>
        <v>95/07/05</v>
      </c>
      <c r="AE1480" s="1" t="str">
        <f t="shared" si="389"/>
        <v>اختتام</v>
      </c>
      <c r="AF1480" s="1" t="str">
        <f>""</f>
        <v/>
      </c>
      <c r="AG1480" s="1" t="str">
        <f>""</f>
        <v/>
      </c>
      <c r="AH1480" s="1" t="str">
        <f>""</f>
        <v/>
      </c>
      <c r="AI1480" s="1" t="str">
        <f>""</f>
        <v/>
      </c>
      <c r="AJ1480" s="1" t="str">
        <f>""</f>
        <v/>
      </c>
      <c r="AK1480" s="1" t="str">
        <f>""</f>
        <v/>
      </c>
    </row>
    <row r="1481" spans="1:37" x14ac:dyDescent="0.2">
      <c r="A1481" s="1">
        <v>35000</v>
      </c>
      <c r="B1481" s="1">
        <v>951400093</v>
      </c>
      <c r="C1481" s="1" t="str">
        <f>"تخليه -كردستان -قروه -كيلومتر7جاده قروه به سنندج -جنب شهرك آونگان -كارخانه آسفالت شركت آونگان"</f>
        <v>تخليه -كردستان -قروه -كيلومتر7جاده قروه به سنندج -جنب شهرك آونگان -كارخانه آسفالت شركت آونگان</v>
      </c>
      <c r="D1481" s="1">
        <v>8323</v>
      </c>
      <c r="E1481" s="1">
        <v>34420</v>
      </c>
      <c r="F1481" s="1">
        <v>95</v>
      </c>
      <c r="G1481" s="1">
        <v>580</v>
      </c>
      <c r="H1481" s="1" t="str">
        <f>"95/08/10"</f>
        <v>95/08/10</v>
      </c>
      <c r="I1481" s="1" t="str">
        <f t="shared" si="390"/>
        <v>كيلوگرم</v>
      </c>
      <c r="J1481" s="1" t="str">
        <f t="shared" si="393"/>
        <v>0000000088</v>
      </c>
      <c r="K1481" s="1" t="str">
        <f t="shared" si="394"/>
        <v>قير  PG58-22</v>
      </c>
      <c r="L1481" s="1">
        <v>100</v>
      </c>
      <c r="M1481" s="1" t="str">
        <f t="shared" si="395"/>
        <v>مخازن قير اصفهان</v>
      </c>
      <c r="N1481" s="1">
        <v>10928</v>
      </c>
      <c r="O1481" s="1">
        <v>50032454</v>
      </c>
      <c r="P1481" s="1" t="str">
        <f>"  برق و راه و ساختمان آونگان"</f>
        <v xml:space="preserve">  برق و راه و ساختمان آونگان</v>
      </c>
      <c r="Q1481" s="1">
        <v>14</v>
      </c>
      <c r="R1481" s="1" t="str">
        <f>"فروش داخلي - وزارت راه - حوزه راه روستايي ساخت"</f>
        <v>فروش داخلي - وزارت راه - حوزه راه روستايي ساخت</v>
      </c>
      <c r="S1481" s="1" t="str">
        <f t="shared" si="391"/>
        <v>قرارداد فروش</v>
      </c>
      <c r="T1481" s="1" t="str">
        <f t="shared" si="392"/>
        <v>ندارد</v>
      </c>
      <c r="U1481" s="1" t="str">
        <f>"حاجيلوئي علي اصغر(2842019)"</f>
        <v>حاجيلوئي علي اصغر(2842019)</v>
      </c>
      <c r="V1481" s="1">
        <v>951400093</v>
      </c>
      <c r="W1481" s="1">
        <v>951400093</v>
      </c>
      <c r="X1481" s="1" t="str">
        <f>"1395441602"</f>
        <v>1395441602</v>
      </c>
      <c r="Y1481" s="1" t="str">
        <f>"95/08/10"</f>
        <v>95/08/10</v>
      </c>
      <c r="Z1481" s="1" t="str">
        <f>"27221/710"</f>
        <v>27221/710</v>
      </c>
      <c r="AA1481" s="1" t="str">
        <f>"راه وروستايي -ساخت"</f>
        <v>راه وروستايي -ساخت</v>
      </c>
      <c r="AB1481" s="1" t="str">
        <f>"95/08/03"</f>
        <v>95/08/03</v>
      </c>
      <c r="AC1481" s="1" t="str">
        <f>"استان كردستان"</f>
        <v>استان كردستان</v>
      </c>
      <c r="AD1481" s="1" t="str">
        <f>"95/08/10"</f>
        <v>95/08/10</v>
      </c>
      <c r="AE1481" s="1" t="str">
        <f t="shared" si="389"/>
        <v>اختتام</v>
      </c>
      <c r="AF1481" s="1" t="str">
        <f>""</f>
        <v/>
      </c>
      <c r="AG1481" s="1" t="str">
        <f>""</f>
        <v/>
      </c>
      <c r="AH1481" s="1" t="str">
        <f>""</f>
        <v/>
      </c>
      <c r="AI1481" s="1" t="str">
        <f>""</f>
        <v/>
      </c>
      <c r="AJ1481" s="1" t="str">
        <f>""</f>
        <v/>
      </c>
      <c r="AK1481" s="1" t="str">
        <f>""</f>
        <v/>
      </c>
    </row>
    <row r="1482" spans="1:37" x14ac:dyDescent="0.2">
      <c r="A1482" s="1">
        <v>500000</v>
      </c>
      <c r="B1482" s="1">
        <v>951800014</v>
      </c>
      <c r="C1482" s="1" t="str">
        <f>"تخليه چهارمحال وبختياري -سفيددشت كارگاه بهارديمه"</f>
        <v>تخليه چهارمحال وبختياري -سفيددشت كارگاه بهارديمه</v>
      </c>
      <c r="D1482" s="1">
        <v>6050</v>
      </c>
      <c r="E1482" s="1">
        <v>500000</v>
      </c>
      <c r="F1482" s="1">
        <v>95</v>
      </c>
      <c r="G1482" s="1">
        <v>0</v>
      </c>
      <c r="H1482" s="1" t="str">
        <f>"95/03/23"</f>
        <v>95/03/23</v>
      </c>
      <c r="I1482" s="1" t="str">
        <f t="shared" si="390"/>
        <v>كيلوگرم</v>
      </c>
      <c r="J1482" s="1" t="str">
        <f t="shared" si="393"/>
        <v>0000000088</v>
      </c>
      <c r="K1482" s="1" t="str">
        <f t="shared" si="394"/>
        <v>قير  PG58-22</v>
      </c>
      <c r="L1482" s="1">
        <v>100</v>
      </c>
      <c r="M1482" s="1" t="str">
        <f t="shared" si="395"/>
        <v>مخازن قير اصفهان</v>
      </c>
      <c r="N1482" s="1">
        <v>11110</v>
      </c>
      <c r="O1482" s="1">
        <v>50031016</v>
      </c>
      <c r="P1482" s="1" t="str">
        <f>"  بهارديمه"</f>
        <v xml:space="preserve">  بهارديمه</v>
      </c>
      <c r="Q1482" s="1">
        <v>18</v>
      </c>
      <c r="R1482" s="1" t="str">
        <f>"فروش داخلي تهران - وزارت راه - شرکت ساخت و توسعه راهها"</f>
        <v>فروش داخلي تهران - وزارت راه - شرکت ساخت و توسعه راهها</v>
      </c>
      <c r="S1482" s="1" t="str">
        <f t="shared" si="391"/>
        <v>قرارداد فروش</v>
      </c>
      <c r="T1482" s="1" t="str">
        <f t="shared" si="392"/>
        <v>ندارد</v>
      </c>
      <c r="U1482" s="1" t="str">
        <f>"غلام نجفي سيامك‌‌‌‌‌‌(1881082)"</f>
        <v>غلام نجفي سيامك‌‌‌‌‌‌(1881082)</v>
      </c>
      <c r="V1482" s="1">
        <v>951800014</v>
      </c>
      <c r="W1482" s="1">
        <v>951800014</v>
      </c>
      <c r="X1482" s="1" t="str">
        <f>"1395408873"</f>
        <v>1395408873</v>
      </c>
      <c r="Y1482" s="1" t="str">
        <f>"95/03/23"</f>
        <v>95/03/23</v>
      </c>
      <c r="Z1482" s="1" t="str">
        <f>"10884/510"</f>
        <v>10884/510</v>
      </c>
      <c r="AA1482" s="1" t="str">
        <f>"شركت  ساخت وتوسعه راهها"</f>
        <v>شركت  ساخت وتوسعه راهها</v>
      </c>
      <c r="AB1482" s="1" t="str">
        <f>"95/03/17"</f>
        <v>95/03/17</v>
      </c>
      <c r="AC1482" s="1" t="str">
        <f>"استان چهارمحال بختياري"</f>
        <v>استان چهارمحال بختياري</v>
      </c>
      <c r="AD1482" s="1" t="str">
        <f>"95/03/23"</f>
        <v>95/03/23</v>
      </c>
      <c r="AE1482" s="1" t="str">
        <f t="shared" si="389"/>
        <v>اختتام</v>
      </c>
      <c r="AF1482" s="1" t="str">
        <f>""</f>
        <v/>
      </c>
      <c r="AG1482" s="1" t="str">
        <f>""</f>
        <v/>
      </c>
      <c r="AH1482" s="1" t="str">
        <f>""</f>
        <v/>
      </c>
      <c r="AI1482" s="1" t="str">
        <f>""</f>
        <v/>
      </c>
      <c r="AJ1482" s="1" t="str">
        <f>""</f>
        <v/>
      </c>
      <c r="AK1482" s="1" t="str">
        <f>""</f>
        <v/>
      </c>
    </row>
    <row r="1483" spans="1:37" x14ac:dyDescent="0.2">
      <c r="A1483" s="1">
        <v>419800</v>
      </c>
      <c r="B1483" s="1">
        <v>951800089</v>
      </c>
      <c r="C1483" s="1" t="str">
        <f>"تخليه چهارمحال وبختياري -سفيددشت كارگاه بهارديمه"</f>
        <v>تخليه چهارمحال وبختياري -سفيددشت كارگاه بهارديمه</v>
      </c>
      <c r="D1483" s="1">
        <v>8323</v>
      </c>
      <c r="E1483" s="1">
        <v>288140</v>
      </c>
      <c r="F1483" s="1">
        <v>95</v>
      </c>
      <c r="G1483" s="1">
        <v>131660</v>
      </c>
      <c r="H1483" s="1" t="str">
        <f>"95/08/08"</f>
        <v>95/08/08</v>
      </c>
      <c r="I1483" s="1" t="str">
        <f t="shared" si="390"/>
        <v>كيلوگرم</v>
      </c>
      <c r="J1483" s="1" t="str">
        <f t="shared" si="393"/>
        <v>0000000088</v>
      </c>
      <c r="K1483" s="1" t="str">
        <f t="shared" si="394"/>
        <v>قير  PG58-22</v>
      </c>
      <c r="L1483" s="1">
        <v>100</v>
      </c>
      <c r="M1483" s="1" t="str">
        <f t="shared" si="395"/>
        <v>مخازن قير اصفهان</v>
      </c>
      <c r="N1483" s="1">
        <v>11110</v>
      </c>
      <c r="O1483" s="1">
        <v>50032333</v>
      </c>
      <c r="P1483" s="1" t="str">
        <f>"  بهارديمه"</f>
        <v xml:space="preserve">  بهارديمه</v>
      </c>
      <c r="Q1483" s="1">
        <v>18</v>
      </c>
      <c r="R1483" s="1" t="str">
        <f>"فروش داخلي تهران - وزارت راه - شرکت ساخت و توسعه راهها"</f>
        <v>فروش داخلي تهران - وزارت راه - شرکت ساخت و توسعه راهها</v>
      </c>
      <c r="S1483" s="1" t="str">
        <f t="shared" si="391"/>
        <v>قرارداد فروش</v>
      </c>
      <c r="T1483" s="1" t="str">
        <f t="shared" si="392"/>
        <v>ندارد</v>
      </c>
      <c r="U1483" s="1" t="str">
        <f>"غلام نجفي سيامك‌‌‌‌‌‌(1881082)"</f>
        <v>غلام نجفي سيامك‌‌‌‌‌‌(1881082)</v>
      </c>
      <c r="V1483" s="1">
        <v>951800089</v>
      </c>
      <c r="W1483" s="1">
        <v>951800089</v>
      </c>
      <c r="X1483" s="1" t="str">
        <f>"1395431913"</f>
        <v>1395431913</v>
      </c>
      <c r="Y1483" s="1" t="str">
        <f>"95/08/08"</f>
        <v>95/08/08</v>
      </c>
      <c r="Z1483" s="1" t="str">
        <f>"28207/510"</f>
        <v>28207/510</v>
      </c>
      <c r="AA1483" s="1" t="str">
        <f>"شركت  ساخت وتوسعه راهها"</f>
        <v>شركت  ساخت وتوسعه راهها</v>
      </c>
      <c r="AB1483" s="1" t="str">
        <f>"95/06/14"</f>
        <v>95/06/14</v>
      </c>
      <c r="AC1483" s="1" t="str">
        <f>"استان چهارمحال بختياري"</f>
        <v>استان چهارمحال بختياري</v>
      </c>
      <c r="AD1483" s="1" t="str">
        <f>"95/06/24"</f>
        <v>95/06/24</v>
      </c>
      <c r="AE1483" s="1" t="str">
        <f t="shared" si="389"/>
        <v>اختتام</v>
      </c>
      <c r="AF1483" s="1" t="str">
        <f>""</f>
        <v/>
      </c>
      <c r="AG1483" s="1" t="str">
        <f>""</f>
        <v/>
      </c>
      <c r="AH1483" s="1" t="str">
        <f>""</f>
        <v/>
      </c>
      <c r="AI1483" s="1" t="str">
        <f>""</f>
        <v/>
      </c>
      <c r="AJ1483" s="1" t="str">
        <f>""</f>
        <v/>
      </c>
      <c r="AK1483" s="1" t="str">
        <f>""</f>
        <v/>
      </c>
    </row>
    <row r="1484" spans="1:37" x14ac:dyDescent="0.2">
      <c r="A1484" s="1">
        <v>131660</v>
      </c>
      <c r="B1484" s="1">
        <v>951800126</v>
      </c>
      <c r="C1484" s="1" t="str">
        <f>"تخليه چهارمحال وبختياري -سفيددشت كارگاه بهارديمه"</f>
        <v>تخليه چهارمحال وبختياري -سفيددشت كارگاه بهارديمه</v>
      </c>
      <c r="D1484" s="1">
        <v>9511</v>
      </c>
      <c r="E1484" s="1">
        <v>122920</v>
      </c>
      <c r="F1484" s="1">
        <v>95</v>
      </c>
      <c r="G1484" s="1">
        <v>8740</v>
      </c>
      <c r="H1484" s="1" t="str">
        <f>"95/11/03"</f>
        <v>95/11/03</v>
      </c>
      <c r="I1484" s="1" t="str">
        <f t="shared" si="390"/>
        <v>كيلوگرم</v>
      </c>
      <c r="J1484" s="1" t="str">
        <f t="shared" si="393"/>
        <v>0000000088</v>
      </c>
      <c r="K1484" s="1" t="str">
        <f t="shared" si="394"/>
        <v>قير  PG58-22</v>
      </c>
      <c r="L1484" s="1">
        <v>100</v>
      </c>
      <c r="M1484" s="1" t="str">
        <f t="shared" si="395"/>
        <v>مخازن قير اصفهان</v>
      </c>
      <c r="N1484" s="1">
        <v>11110</v>
      </c>
      <c r="O1484" s="1">
        <v>50033440</v>
      </c>
      <c r="P1484" s="1" t="str">
        <f>"  بهارديمه"</f>
        <v xml:space="preserve">  بهارديمه</v>
      </c>
      <c r="Q1484" s="1">
        <v>18</v>
      </c>
      <c r="R1484" s="1" t="str">
        <f>"فروش داخلي تهران - وزارت راه - شرکت ساخت و توسعه راهها"</f>
        <v>فروش داخلي تهران - وزارت راه - شرکت ساخت و توسعه راهها</v>
      </c>
      <c r="S1484" s="1" t="str">
        <f t="shared" si="391"/>
        <v>قرارداد فروش</v>
      </c>
      <c r="T1484" s="1" t="str">
        <f t="shared" si="392"/>
        <v>ندارد</v>
      </c>
      <c r="U1484" s="1" t="str">
        <f>"غلام نجفي سيامك‌‌‌‌‌‌(1881082)"</f>
        <v>غلام نجفي سيامك‌‌‌‌‌‌(1881082)</v>
      </c>
      <c r="V1484" s="1">
        <v>951800126</v>
      </c>
      <c r="W1484" s="1">
        <v>951800126</v>
      </c>
      <c r="X1484" s="1" t="str">
        <f>"1395431913"</f>
        <v>1395431913</v>
      </c>
      <c r="Y1484" s="1" t="str">
        <f>"95/11/03"</f>
        <v>95/11/03</v>
      </c>
      <c r="Z1484" s="1" t="str">
        <f>"28207/510"</f>
        <v>28207/510</v>
      </c>
      <c r="AA1484" s="1" t="str">
        <f>"شركت  ساخت وتوسعه راهها"</f>
        <v>شركت  ساخت وتوسعه راهها</v>
      </c>
      <c r="AB1484" s="1" t="str">
        <f>"95/06/14"</f>
        <v>95/06/14</v>
      </c>
      <c r="AC1484" s="1" t="str">
        <f>"استان چهارمحال بختياري"</f>
        <v>استان چهارمحال بختياري</v>
      </c>
      <c r="AD1484" s="1" t="str">
        <f>"95/06/24"</f>
        <v>95/06/24</v>
      </c>
      <c r="AE1484" s="1" t="str">
        <f t="shared" si="389"/>
        <v>اختتام</v>
      </c>
      <c r="AF1484" s="1" t="str">
        <f>""</f>
        <v/>
      </c>
      <c r="AG1484" s="1" t="str">
        <f>""</f>
        <v/>
      </c>
      <c r="AH1484" s="1" t="str">
        <f>""</f>
        <v/>
      </c>
      <c r="AI1484" s="1" t="str">
        <f>""</f>
        <v/>
      </c>
      <c r="AJ1484" s="1" t="str">
        <f>""</f>
        <v/>
      </c>
      <c r="AK1484" s="1" t="str">
        <f>""</f>
        <v/>
      </c>
    </row>
    <row r="1485" spans="1:37" x14ac:dyDescent="0.2">
      <c r="A1485" s="1">
        <v>300000</v>
      </c>
      <c r="B1485" s="1">
        <v>951900068</v>
      </c>
      <c r="C1485" s="1" t="str">
        <f>"تخليه -چهارمحال وبختياري بخش مالخليفه جنب لوله گازسراسري كارخانه آسفالت ياسين گنج فلارد"</f>
        <v>تخليه -چهارمحال وبختياري بخش مالخليفه جنب لوله گازسراسري كارخانه آسفالت ياسين گنج فلارد</v>
      </c>
      <c r="D1485" s="1">
        <v>6726</v>
      </c>
      <c r="E1485" s="1">
        <v>299580</v>
      </c>
      <c r="F1485" s="1">
        <v>95</v>
      </c>
      <c r="G1485" s="1">
        <v>420</v>
      </c>
      <c r="H1485" s="1" t="str">
        <f>"95/05/05"</f>
        <v>95/05/05</v>
      </c>
      <c r="I1485" s="1" t="str">
        <f t="shared" si="390"/>
        <v>كيلوگرم</v>
      </c>
      <c r="J1485" s="1" t="str">
        <f t="shared" si="393"/>
        <v>0000000088</v>
      </c>
      <c r="K1485" s="1" t="str">
        <f t="shared" si="394"/>
        <v>قير  PG58-22</v>
      </c>
      <c r="L1485" s="1">
        <v>100</v>
      </c>
      <c r="M1485" s="1" t="str">
        <f t="shared" si="395"/>
        <v>مخازن قير اصفهان</v>
      </c>
      <c r="N1485" s="1">
        <v>11140</v>
      </c>
      <c r="O1485" s="1">
        <v>50031351</v>
      </c>
      <c r="P1485" s="1" t="str">
        <f>"  ياسين گنج چهارمحال"</f>
        <v xml:space="preserve">  ياسين گنج چهارمحال</v>
      </c>
      <c r="Q1485" s="1">
        <v>19</v>
      </c>
      <c r="R14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85" s="1" t="str">
        <f t="shared" si="391"/>
        <v>قرارداد فروش</v>
      </c>
      <c r="T1485" s="1" t="str">
        <f t="shared" si="392"/>
        <v>ندارد</v>
      </c>
      <c r="U1485" s="1" t="str">
        <f>"قره باغي مجيد(1871065)"</f>
        <v>قره باغي مجيد(1871065)</v>
      </c>
      <c r="V1485" s="1">
        <v>951900068</v>
      </c>
      <c r="W1485" s="1">
        <v>951900068</v>
      </c>
      <c r="X1485" s="1" t="str">
        <f>"1395417778"</f>
        <v>1395417778</v>
      </c>
      <c r="Y1485" s="1" t="str">
        <f>"95/05/05"</f>
        <v>95/05/05</v>
      </c>
      <c r="Z1485" s="1" t="str">
        <f>"17861/510"</f>
        <v>17861/510</v>
      </c>
      <c r="AA1485" s="1" t="str">
        <f>"سازمان راهداري وحمل نقل جاده اي"</f>
        <v>سازمان راهداري وحمل نقل جاده اي</v>
      </c>
      <c r="AB1485" s="1" t="str">
        <f>"95/04/26"</f>
        <v>95/04/26</v>
      </c>
      <c r="AC1485" s="1" t="str">
        <f>"استان چهارمحال بختياري"</f>
        <v>استان چهارمحال بختياري</v>
      </c>
      <c r="AD1485" s="1" t="str">
        <f>"95/05/04"</f>
        <v>95/05/04</v>
      </c>
      <c r="AE1485" s="1" t="str">
        <f t="shared" si="389"/>
        <v>اختتام</v>
      </c>
      <c r="AF1485" s="1" t="str">
        <f>""</f>
        <v/>
      </c>
      <c r="AG1485" s="1" t="str">
        <f>""</f>
        <v/>
      </c>
      <c r="AH1485" s="1" t="str">
        <f>""</f>
        <v/>
      </c>
      <c r="AI1485" s="1" t="str">
        <f>""</f>
        <v/>
      </c>
      <c r="AJ1485" s="1" t="str">
        <f>""</f>
        <v/>
      </c>
      <c r="AK1485" s="1" t="str">
        <f>""</f>
        <v/>
      </c>
    </row>
    <row r="1486" spans="1:37" x14ac:dyDescent="0.2">
      <c r="A1486" s="1">
        <v>250000</v>
      </c>
      <c r="B1486" s="1">
        <v>951400181</v>
      </c>
      <c r="C1486" s="1" t="str">
        <f>"تخليه چهارمحال بختياري شهرستان بارزكارخانه آسفالت دورك سازاردل"</f>
        <v>تخليه چهارمحال بختياري شهرستان بارزكارخانه آسفالت دورك سازاردل</v>
      </c>
      <c r="D1486" s="1">
        <v>9068</v>
      </c>
      <c r="E1486" s="1">
        <v>249240</v>
      </c>
      <c r="F1486" s="1">
        <v>95</v>
      </c>
      <c r="G1486" s="1">
        <v>760</v>
      </c>
      <c r="H1486" s="1" t="str">
        <f>"95/12/24"</f>
        <v>95/12/24</v>
      </c>
      <c r="I1486" s="1" t="str">
        <f t="shared" si="390"/>
        <v>كيلوگرم</v>
      </c>
      <c r="J1486" s="1" t="str">
        <f t="shared" si="393"/>
        <v>0000000088</v>
      </c>
      <c r="K1486" s="1" t="str">
        <f t="shared" si="394"/>
        <v>قير  PG58-22</v>
      </c>
      <c r="L1486" s="1">
        <v>100</v>
      </c>
      <c r="M1486" s="1" t="str">
        <f t="shared" si="395"/>
        <v>مخازن قير اصفهان</v>
      </c>
      <c r="N1486" s="1">
        <v>11296</v>
      </c>
      <c r="O1486" s="1">
        <v>50034194</v>
      </c>
      <c r="P1486" s="1" t="str">
        <f>"  راه وساختمان دورك ساز اردل"</f>
        <v xml:space="preserve">  راه وساختمان دورك ساز اردل</v>
      </c>
      <c r="Q1486" s="1">
        <v>14</v>
      </c>
      <c r="R1486" s="1" t="str">
        <f>"فروش داخلي - وزارت راه - حوزه راه روستايي ساخت"</f>
        <v>فروش داخلي - وزارت راه - حوزه راه روستايي ساخت</v>
      </c>
      <c r="S1486" s="1" t="str">
        <f t="shared" si="391"/>
        <v>قرارداد فروش</v>
      </c>
      <c r="T1486" s="1" t="str">
        <f t="shared" si="392"/>
        <v>ندارد</v>
      </c>
      <c r="U1486" s="1" t="str">
        <f>"مظلوم فريبرز(1008ج89)"</f>
        <v>مظلوم فريبرز(1008ج89)</v>
      </c>
      <c r="V1486" s="1">
        <v>951400181</v>
      </c>
      <c r="W1486" s="1">
        <v>951400181</v>
      </c>
      <c r="X1486" s="1" t="str">
        <f>"1395470444"</f>
        <v>1395470444</v>
      </c>
      <c r="Y1486" s="1" t="str">
        <f>"95/12/24"</f>
        <v>95/12/24</v>
      </c>
      <c r="Z1486" s="1" t="str">
        <f>"64615/710"</f>
        <v>64615/710</v>
      </c>
      <c r="AA1486" s="1" t="str">
        <f>"راه وروستايي -ساخت"</f>
        <v>راه وروستايي -ساخت</v>
      </c>
      <c r="AB1486" s="1" t="str">
        <f>"95/12/16"</f>
        <v>95/12/16</v>
      </c>
      <c r="AC1486" s="1" t="str">
        <f>"خراسان جنوبي"</f>
        <v>خراسان جنوبي</v>
      </c>
      <c r="AD1486" s="1" t="str">
        <f>"95/12/22"</f>
        <v>95/12/22</v>
      </c>
      <c r="AE1486" s="1" t="str">
        <f t="shared" si="389"/>
        <v>اختتام</v>
      </c>
      <c r="AF1486" s="1" t="str">
        <f>""</f>
        <v/>
      </c>
      <c r="AG1486" s="1" t="str">
        <f>""</f>
        <v/>
      </c>
      <c r="AH1486" s="1" t="str">
        <f>""</f>
        <v/>
      </c>
      <c r="AI1486" s="1" t="str">
        <f>""</f>
        <v/>
      </c>
      <c r="AJ1486" s="1" t="str">
        <f>""</f>
        <v/>
      </c>
      <c r="AK1486" s="1" t="str">
        <f>""</f>
        <v/>
      </c>
    </row>
    <row r="1487" spans="1:37" x14ac:dyDescent="0.2">
      <c r="A1487" s="1">
        <v>75000</v>
      </c>
      <c r="B1487" s="1">
        <v>956200311</v>
      </c>
      <c r="C1487" s="1" t="str">
        <f>"تخليه - همدان-کيلومتر 20جاده رزن -به همدان جنب کارخانه سيمان اکباتان - کارخانه آسفالت جاميشلو"</f>
        <v>تخليه - همدان-کيلومتر 20جاده رزن -به همدان جنب کارخانه سيمان اکباتان - کارخانه آسفالت جاميشلو</v>
      </c>
      <c r="D1487" s="1">
        <v>8848</v>
      </c>
      <c r="E1487" s="1">
        <v>70620</v>
      </c>
      <c r="F1487" s="1">
        <v>95</v>
      </c>
      <c r="G1487" s="1">
        <v>4380</v>
      </c>
      <c r="H1487" s="1" t="str">
        <f>"95/12/11"</f>
        <v>95/12/11</v>
      </c>
      <c r="I1487" s="1" t="str">
        <f t="shared" si="390"/>
        <v>كيلوگرم</v>
      </c>
      <c r="J1487" s="1" t="str">
        <f>"1000000002"</f>
        <v>1000000002</v>
      </c>
      <c r="K1487" s="1" t="str">
        <f>"قير 85/100 - فله"</f>
        <v>قير 85/100 - فله</v>
      </c>
      <c r="L1487" s="1">
        <v>100</v>
      </c>
      <c r="M1487" s="1" t="str">
        <f t="shared" si="395"/>
        <v>مخازن قير اصفهان</v>
      </c>
      <c r="N1487" s="1">
        <v>10520</v>
      </c>
      <c r="O1487" s="1">
        <v>50033951</v>
      </c>
      <c r="P1487" s="1" t="str">
        <f>"  پايدارپولادتام"</f>
        <v xml:space="preserve">  پايدارپولادتام</v>
      </c>
      <c r="Q1487" s="1">
        <v>62</v>
      </c>
      <c r="R1487" s="1" t="str">
        <f>"فروش داخلي - سازمان بنيادمسكن انقلاب اسلامي"</f>
        <v>فروش داخلي - سازمان بنيادمسكن انقلاب اسلامي</v>
      </c>
      <c r="S1487" s="1" t="str">
        <f t="shared" si="391"/>
        <v>قرارداد فروش</v>
      </c>
      <c r="T1487" s="1" t="str">
        <f t="shared" si="392"/>
        <v>ندارد</v>
      </c>
      <c r="U1487" s="1" t="str">
        <f>"حاجيلوئي علي اصغر(2842019)"</f>
        <v>حاجيلوئي علي اصغر(2842019)</v>
      </c>
      <c r="V1487" s="1">
        <v>956200311</v>
      </c>
      <c r="W1487" s="1">
        <v>956200311</v>
      </c>
      <c r="X1487" s="1" t="str">
        <f>"1395468358"</f>
        <v>1395468358</v>
      </c>
      <c r="Y1487" s="1" t="str">
        <f>"95/12/11"</f>
        <v>95/12/11</v>
      </c>
      <c r="Z1487" s="1" t="str">
        <f>"54438/د"</f>
        <v>54438/د</v>
      </c>
      <c r="AA1487" s="1" t="str">
        <f>"بنيادمسكن انقلاب اسلامي"</f>
        <v>بنيادمسكن انقلاب اسلامي</v>
      </c>
      <c r="AB1487" s="1" t="str">
        <f>"95/12/09"</f>
        <v>95/12/09</v>
      </c>
      <c r="AC1487" s="1" t="str">
        <f>"استان همدان"</f>
        <v>استان همدان</v>
      </c>
      <c r="AD1487" s="1" t="str">
        <f>"95/12/10"</f>
        <v>95/12/10</v>
      </c>
      <c r="AE1487" s="1" t="str">
        <f t="shared" si="389"/>
        <v>اختتام</v>
      </c>
      <c r="AF1487" s="1" t="str">
        <f>""</f>
        <v/>
      </c>
      <c r="AG1487" s="1" t="str">
        <f>""</f>
        <v/>
      </c>
      <c r="AH1487" s="1" t="str">
        <f>""</f>
        <v/>
      </c>
      <c r="AI1487" s="1" t="str">
        <f>""</f>
        <v/>
      </c>
      <c r="AJ1487" s="1" t="str">
        <f>""</f>
        <v/>
      </c>
      <c r="AK1487" s="1" t="str">
        <f>""</f>
        <v/>
      </c>
    </row>
    <row r="1488" spans="1:37" x14ac:dyDescent="0.2">
      <c r="A1488" s="1">
        <v>75000</v>
      </c>
      <c r="B1488" s="1">
        <v>952000219</v>
      </c>
      <c r="C1488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1488" s="1">
        <v>8023</v>
      </c>
      <c r="E1488" s="1">
        <v>74260</v>
      </c>
      <c r="F1488" s="1">
        <v>95</v>
      </c>
      <c r="G1488" s="1">
        <v>740</v>
      </c>
      <c r="H1488" s="1" t="str">
        <f>"95/08/17"</f>
        <v>95/08/17</v>
      </c>
      <c r="I1488" s="1" t="str">
        <f t="shared" si="390"/>
        <v>كيلوگرم</v>
      </c>
      <c r="J1488" s="1" t="str">
        <f>"1000000002"</f>
        <v>1000000002</v>
      </c>
      <c r="K1488" s="1" t="str">
        <f>"قير 85/100 - فله"</f>
        <v>قير 85/100 - فله</v>
      </c>
      <c r="L1488" s="1">
        <v>100</v>
      </c>
      <c r="M1488" s="1" t="str">
        <f t="shared" si="395"/>
        <v>مخازن قير اصفهان</v>
      </c>
      <c r="N1488" s="1">
        <v>10718</v>
      </c>
      <c r="O1488" s="1">
        <v>50032546</v>
      </c>
      <c r="P1488" s="1" t="str">
        <f>"  شهرداري نافچ"</f>
        <v xml:space="preserve">  شهرداري نافچ</v>
      </c>
      <c r="Q1488" s="1">
        <v>20</v>
      </c>
      <c r="R1488" s="1" t="str">
        <f>"فروش داخلي - سازمان شهرداري ها و دهياري هاي كشور"</f>
        <v>فروش داخلي - سازمان شهرداري ها و دهياري هاي كشور</v>
      </c>
      <c r="S1488" s="1" t="str">
        <f t="shared" si="391"/>
        <v>قرارداد فروش</v>
      </c>
      <c r="T1488" s="1" t="str">
        <f t="shared" si="392"/>
        <v>ندارد</v>
      </c>
      <c r="U1488" s="1" t="str">
        <f>"قره باغي مجيد(1871065)"</f>
        <v>قره باغي مجيد(1871065)</v>
      </c>
      <c r="V1488" s="1">
        <v>952000219</v>
      </c>
      <c r="W1488" s="1">
        <v>952000219</v>
      </c>
      <c r="X1488" s="1" t="str">
        <f>"1395443388"</f>
        <v>1395443388</v>
      </c>
      <c r="Y1488" s="1" t="str">
        <f>"95/08/17"</f>
        <v>95/08/17</v>
      </c>
      <c r="Z1488" s="1" t="str">
        <f>"39741"</f>
        <v>39741</v>
      </c>
      <c r="AA1488" s="1" t="str">
        <f>"شهرداريها"</f>
        <v>شهرداريها</v>
      </c>
      <c r="AB1488" s="1" t="str">
        <f>"95/08/12"</f>
        <v>95/08/12</v>
      </c>
      <c r="AC1488" s="1" t="str">
        <f>"استان چهارمحال بختياري"</f>
        <v>استان چهارمحال بختياري</v>
      </c>
      <c r="AD1488" s="1" t="str">
        <f>"95/08/17"</f>
        <v>95/08/17</v>
      </c>
      <c r="AE1488" s="1" t="str">
        <f t="shared" si="389"/>
        <v>اختتام</v>
      </c>
      <c r="AF1488" s="1" t="str">
        <f>""</f>
        <v/>
      </c>
      <c r="AG1488" s="1" t="str">
        <f>""</f>
        <v/>
      </c>
      <c r="AH1488" s="1" t="str">
        <f>""</f>
        <v/>
      </c>
      <c r="AI1488" s="1" t="str">
        <f>""</f>
        <v/>
      </c>
      <c r="AJ1488" s="1" t="str">
        <f>""</f>
        <v/>
      </c>
      <c r="AK1488" s="1" t="str">
        <f>""</f>
        <v/>
      </c>
    </row>
    <row r="1489" spans="1:37" x14ac:dyDescent="0.2">
      <c r="A1489" s="1">
        <v>133000</v>
      </c>
      <c r="B1489" s="1">
        <v>952000089</v>
      </c>
      <c r="C1489" s="1" t="str">
        <f>"تخليه - چهارمحال و بختياري -شهرداري جونقان"</f>
        <v>تخليه - چهارمحال و بختياري -شهرداري جونقان</v>
      </c>
      <c r="D1489" s="1">
        <v>6876</v>
      </c>
      <c r="E1489" s="1">
        <v>132840</v>
      </c>
      <c r="F1489" s="1">
        <v>95</v>
      </c>
      <c r="G1489" s="1">
        <v>160</v>
      </c>
      <c r="H1489" s="1" t="str">
        <f>"95/06/23"</f>
        <v>95/06/23</v>
      </c>
      <c r="I1489" s="1" t="str">
        <f t="shared" si="390"/>
        <v>كيلوگرم</v>
      </c>
      <c r="J1489" s="1" t="str">
        <f>"1000000002"</f>
        <v>1000000002</v>
      </c>
      <c r="K1489" s="1" t="str">
        <f>"قير 85/100 - فله"</f>
        <v>قير 85/100 - فله</v>
      </c>
      <c r="L1489" s="1">
        <v>100</v>
      </c>
      <c r="M1489" s="1" t="str">
        <f t="shared" si="395"/>
        <v>مخازن قير اصفهان</v>
      </c>
      <c r="N1489" s="1">
        <v>10854</v>
      </c>
      <c r="O1489" s="1">
        <v>50031854</v>
      </c>
      <c r="P1489" s="1" t="str">
        <f>"  شهرداري جونقان"</f>
        <v xml:space="preserve">  شهرداري جونقان</v>
      </c>
      <c r="Q1489" s="1">
        <v>20</v>
      </c>
      <c r="R1489" s="1" t="str">
        <f>"فروش داخلي - سازمان شهرداري ها و دهياري هاي كشور"</f>
        <v>فروش داخلي - سازمان شهرداري ها و دهياري هاي كشور</v>
      </c>
      <c r="S1489" s="1" t="str">
        <f t="shared" si="391"/>
        <v>قرارداد فروش</v>
      </c>
      <c r="T1489" s="1" t="str">
        <f t="shared" si="392"/>
        <v>ندارد</v>
      </c>
      <c r="U1489" s="1" t="str">
        <f>"مظلوم فريبرز(1008ج89)"</f>
        <v>مظلوم فريبرز(1008ج89)</v>
      </c>
      <c r="V1489" s="1">
        <v>952000089</v>
      </c>
      <c r="W1489" s="1">
        <v>952000089</v>
      </c>
      <c r="X1489" s="1" t="str">
        <f>"1395430749"</f>
        <v>1395430749</v>
      </c>
      <c r="Y1489" s="1" t="str">
        <f>"95/06/23"</f>
        <v>95/06/23</v>
      </c>
      <c r="Z1489" s="1" t="str">
        <f>"18783"</f>
        <v>18783</v>
      </c>
      <c r="AA1489" s="1" t="str">
        <f>"شهرداريها"</f>
        <v>شهرداريها</v>
      </c>
      <c r="AB1489" s="1" t="str">
        <f>"95/05/03"</f>
        <v>95/05/03</v>
      </c>
      <c r="AC1489" s="1" t="str">
        <f>"استان چهارمحال بختياري"</f>
        <v>استان چهارمحال بختياري</v>
      </c>
      <c r="AD1489" s="1" t="str">
        <f>"95/06/21"</f>
        <v>95/06/21</v>
      </c>
      <c r="AE1489" s="1" t="str">
        <f t="shared" si="389"/>
        <v>اختتام</v>
      </c>
      <c r="AF1489" s="1" t="str">
        <f>""</f>
        <v/>
      </c>
      <c r="AG1489" s="1" t="str">
        <f>""</f>
        <v/>
      </c>
      <c r="AH1489" s="1" t="str">
        <f>""</f>
        <v/>
      </c>
      <c r="AI1489" s="1" t="str">
        <f>""</f>
        <v/>
      </c>
      <c r="AJ1489" s="1" t="str">
        <f>""</f>
        <v/>
      </c>
      <c r="AK1489" s="1" t="str">
        <f>""</f>
        <v/>
      </c>
    </row>
    <row r="1490" spans="1:37" x14ac:dyDescent="0.2">
      <c r="A1490" s="1">
        <v>700000</v>
      </c>
      <c r="B1490" s="1">
        <v>951700064</v>
      </c>
      <c r="C1490" s="1" t="str">
        <f>"تخليه -ادارات تابع وشرکتهاي طرف قرارداداداره کل راه وشهرسازي کرمان"</f>
        <v>تخليه -ادارات تابع وشرکتهاي طرف قرارداداداره کل راه وشهرسازي کرمان</v>
      </c>
      <c r="D1490" s="1">
        <v>9980</v>
      </c>
      <c r="E1490" s="1">
        <v>700000</v>
      </c>
      <c r="F1490" s="1">
        <v>95</v>
      </c>
      <c r="G1490" s="1">
        <v>0</v>
      </c>
      <c r="H1490" s="1" t="str">
        <f>"95/04/06"</f>
        <v>95/04/06</v>
      </c>
      <c r="I1490" s="1" t="str">
        <f t="shared" si="390"/>
        <v>كيلوگرم</v>
      </c>
      <c r="J1490" s="1" t="str">
        <f>"1000000003"</f>
        <v>1000000003</v>
      </c>
      <c r="K1490" s="1" t="str">
        <f>"قير MC250"</f>
        <v>قير MC250</v>
      </c>
      <c r="L1490" s="1">
        <v>100</v>
      </c>
      <c r="M1490" s="1" t="str">
        <f t="shared" si="395"/>
        <v>مخازن قير اصفهان</v>
      </c>
      <c r="N1490" s="1">
        <v>7034</v>
      </c>
      <c r="O1490" s="1">
        <v>50031132</v>
      </c>
      <c r="P1490" s="1" t="str">
        <f>"  اداره كل راه وشهرسازي كرمان"</f>
        <v xml:space="preserve">  اداره كل راه وشهرسازي كرمان</v>
      </c>
      <c r="Q1490" s="1">
        <v>17</v>
      </c>
      <c r="R1490" s="1" t="str">
        <f>"فروش داخلي تهران - وزارت راه - راه روستايي - روکش"</f>
        <v>فروش داخلي تهران - وزارت راه - راه روستايي - روکش</v>
      </c>
      <c r="S1490" s="1" t="str">
        <f t="shared" si="391"/>
        <v>قرارداد فروش</v>
      </c>
      <c r="T1490" s="1" t="str">
        <f t="shared" si="392"/>
        <v>ندارد</v>
      </c>
      <c r="U1490" s="1" t="str">
        <f>"خضرائي فريدون(4844003)"</f>
        <v>خضرائي فريدون(4844003)</v>
      </c>
      <c r="V1490" s="1">
        <v>951700064</v>
      </c>
      <c r="W1490" s="1">
        <v>951700064</v>
      </c>
      <c r="X1490" s="1" t="str">
        <f>"1395411227"</f>
        <v>1395411227</v>
      </c>
      <c r="Y1490" s="1" t="str">
        <f>"95/04/06"</f>
        <v>95/04/06</v>
      </c>
      <c r="Z1490" s="1" t="str">
        <f>"13021/510"</f>
        <v>13021/510</v>
      </c>
      <c r="AA1490" s="1" t="str">
        <f>"راه روستائي -روكش"</f>
        <v>راه روستائي -روكش</v>
      </c>
      <c r="AB1490" s="1" t="str">
        <f>"95/03/29"</f>
        <v>95/03/29</v>
      </c>
      <c r="AC1490" s="1" t="str">
        <f>"استان كرمان"</f>
        <v>استان كرمان</v>
      </c>
      <c r="AD1490" s="1" t="str">
        <f>"95/04/05"</f>
        <v>95/04/05</v>
      </c>
      <c r="AE1490" s="1" t="str">
        <f t="shared" si="389"/>
        <v>اختتام</v>
      </c>
      <c r="AF1490" s="1" t="str">
        <f>""</f>
        <v/>
      </c>
      <c r="AG1490" s="1" t="str">
        <f>""</f>
        <v/>
      </c>
      <c r="AH1490" s="1" t="str">
        <f>""</f>
        <v/>
      </c>
      <c r="AI1490" s="1" t="str">
        <f>""</f>
        <v/>
      </c>
      <c r="AJ1490" s="1" t="str">
        <f>""</f>
        <v/>
      </c>
      <c r="AK1490" s="1" t="str">
        <f>""</f>
        <v/>
      </c>
    </row>
    <row r="1491" spans="1:37" x14ac:dyDescent="0.2">
      <c r="A1491" s="1">
        <v>65000</v>
      </c>
      <c r="B1491" s="1">
        <v>952000338</v>
      </c>
      <c r="C1491" s="1" t="str">
        <f>"تخليه -چهارمحال وبختياري اردل كارخانه شهرداري اردل"</f>
        <v>تخليه -چهارمحال وبختياري اردل كارخانه شهرداري اردل</v>
      </c>
      <c r="D1491" s="1">
        <v>9361</v>
      </c>
      <c r="E1491" s="1">
        <v>64260</v>
      </c>
      <c r="F1491" s="1">
        <v>95</v>
      </c>
      <c r="G1491" s="1">
        <v>740</v>
      </c>
      <c r="H1491" s="1" t="str">
        <f>"95/11/24"</f>
        <v>95/11/24</v>
      </c>
      <c r="I1491" s="1" t="str">
        <f t="shared" si="390"/>
        <v>كيلوگرم</v>
      </c>
      <c r="J1491" s="1" t="str">
        <f t="shared" ref="J1491:J1497" si="396">"1000000002"</f>
        <v>1000000002</v>
      </c>
      <c r="K1491" s="1" t="str">
        <f t="shared" ref="K1491:K1497" si="397">"قير 85/100 - فله"</f>
        <v>قير 85/100 - فله</v>
      </c>
      <c r="L1491" s="1">
        <v>100</v>
      </c>
      <c r="M1491" s="1" t="str">
        <f t="shared" si="395"/>
        <v>مخازن قير اصفهان</v>
      </c>
      <c r="N1491" s="1">
        <v>10867</v>
      </c>
      <c r="O1491" s="1">
        <v>50033708</v>
      </c>
      <c r="P1491" s="1" t="str">
        <f>"  شهرداري صمصامي"</f>
        <v xml:space="preserve">  شهرداري صمصامي</v>
      </c>
      <c r="Q1491" s="1">
        <v>20</v>
      </c>
      <c r="R1491" s="1" t="str">
        <f>"فروش داخلي - سازمان شهرداري ها و دهياري هاي كشور"</f>
        <v>فروش داخلي - سازمان شهرداري ها و دهياري هاي كشور</v>
      </c>
      <c r="S1491" s="1" t="str">
        <f t="shared" si="391"/>
        <v>قرارداد فروش</v>
      </c>
      <c r="T1491" s="1" t="str">
        <f t="shared" si="392"/>
        <v>ندارد</v>
      </c>
      <c r="U1491" s="1" t="str">
        <f t="shared" ref="U1491:U1496" si="398">"قره باغي مجيد(1871065)"</f>
        <v>قره باغي مجيد(1871065)</v>
      </c>
      <c r="V1491" s="1">
        <v>952000338</v>
      </c>
      <c r="W1491" s="1">
        <v>952000338</v>
      </c>
      <c r="X1491" s="1" t="str">
        <f>"1395464564"</f>
        <v>1395464564</v>
      </c>
      <c r="Y1491" s="1" t="str">
        <f>"95/11/24"</f>
        <v>95/11/24</v>
      </c>
      <c r="Z1491" s="1" t="str">
        <f>"44115"</f>
        <v>44115</v>
      </c>
      <c r="AA1491" s="1" t="str">
        <f>"شهرداريها"</f>
        <v>شهرداريها</v>
      </c>
      <c r="AB1491" s="1" t="str">
        <f>"95/09/06"</f>
        <v>95/09/06</v>
      </c>
      <c r="AC1491" s="1" t="str">
        <f t="shared" ref="AC1491:AC1498" si="399">"استان چهارمحال بختياري"</f>
        <v>استان چهارمحال بختياري</v>
      </c>
      <c r="AD1491" s="1" t="str">
        <f>"95/11/24"</f>
        <v>95/11/24</v>
      </c>
      <c r="AE1491" s="1" t="str">
        <f t="shared" si="389"/>
        <v>اختتام</v>
      </c>
      <c r="AF1491" s="1" t="str">
        <f>""</f>
        <v/>
      </c>
      <c r="AG1491" s="1" t="str">
        <f>""</f>
        <v/>
      </c>
      <c r="AH1491" s="1" t="str">
        <f>""</f>
        <v/>
      </c>
      <c r="AI1491" s="1" t="str">
        <f>""</f>
        <v/>
      </c>
      <c r="AJ1491" s="1" t="str">
        <f>""</f>
        <v/>
      </c>
      <c r="AK1491" s="1" t="str">
        <f>""</f>
        <v/>
      </c>
    </row>
    <row r="1492" spans="1:37" x14ac:dyDescent="0.2">
      <c r="A1492" s="1">
        <v>27000</v>
      </c>
      <c r="B1492" s="1">
        <v>956200310</v>
      </c>
      <c r="C1492" s="1" t="str">
        <f>"تخليه-لردگان-فلارد-روستاي گنج-کارخانه آسفالت جانباز لردگان"</f>
        <v>تخليه-لردگان-فلارد-روستاي گنج-کارخانه آسفالت جانباز لردگان</v>
      </c>
      <c r="D1492" s="1">
        <v>8848</v>
      </c>
      <c r="E1492" s="1">
        <v>26300</v>
      </c>
      <c r="F1492" s="1">
        <v>95</v>
      </c>
      <c r="G1492" s="1">
        <v>700</v>
      </c>
      <c r="H1492" s="1" t="str">
        <f>"95/12/11"</f>
        <v>95/12/11</v>
      </c>
      <c r="I1492" s="1" t="str">
        <f t="shared" si="390"/>
        <v>كيلوگرم</v>
      </c>
      <c r="J1492" s="1" t="str">
        <f t="shared" si="396"/>
        <v>1000000002</v>
      </c>
      <c r="K1492" s="1" t="str">
        <f t="shared" si="397"/>
        <v>قير 85/100 - فله</v>
      </c>
      <c r="L1492" s="1">
        <v>100</v>
      </c>
      <c r="M1492" s="1" t="str">
        <f t="shared" si="395"/>
        <v>مخازن قير اصفهان</v>
      </c>
      <c r="N1492" s="1">
        <v>11087</v>
      </c>
      <c r="O1492" s="1">
        <v>50033950</v>
      </c>
      <c r="P1492" s="1" t="str">
        <f>"  جاويد سازان نصر"</f>
        <v xml:space="preserve">  جاويد سازان نصر</v>
      </c>
      <c r="Q1492" s="1">
        <v>62</v>
      </c>
      <c r="R1492" s="1" t="str">
        <f>"فروش داخلي - سازمان بنيادمسكن انقلاب اسلامي"</f>
        <v>فروش داخلي - سازمان بنيادمسكن انقلاب اسلامي</v>
      </c>
      <c r="S1492" s="1" t="str">
        <f t="shared" si="391"/>
        <v>قرارداد فروش</v>
      </c>
      <c r="T1492" s="1" t="str">
        <f t="shared" si="392"/>
        <v>ندارد</v>
      </c>
      <c r="U1492" s="1" t="str">
        <f t="shared" si="398"/>
        <v>قره باغي مجيد(1871065)</v>
      </c>
      <c r="V1492" s="1">
        <v>956200310</v>
      </c>
      <c r="W1492" s="1">
        <v>956200310</v>
      </c>
      <c r="X1492" s="1" t="str">
        <f>"1395468358"</f>
        <v>1395468358</v>
      </c>
      <c r="Y1492" s="1" t="str">
        <f>"95/12/11"</f>
        <v>95/12/11</v>
      </c>
      <c r="Z1492" s="1" t="str">
        <f>"54428/د"</f>
        <v>54428/د</v>
      </c>
      <c r="AA1492" s="1" t="str">
        <f>"بنيادمسكن انقلاب اسلامي"</f>
        <v>بنيادمسكن انقلاب اسلامي</v>
      </c>
      <c r="AB1492" s="1" t="str">
        <f>"95/12/09"</f>
        <v>95/12/09</v>
      </c>
      <c r="AC1492" s="1" t="str">
        <f t="shared" si="399"/>
        <v>استان چهارمحال بختياري</v>
      </c>
      <c r="AD1492" s="1" t="str">
        <f>"95/12/10"</f>
        <v>95/12/10</v>
      </c>
      <c r="AE1492" s="1" t="str">
        <f t="shared" si="389"/>
        <v>اختتام</v>
      </c>
      <c r="AF1492" s="1" t="str">
        <f>""</f>
        <v/>
      </c>
      <c r="AG1492" s="1" t="str">
        <f>""</f>
        <v/>
      </c>
      <c r="AH1492" s="1" t="str">
        <f>""</f>
        <v/>
      </c>
      <c r="AI1492" s="1" t="str">
        <f>""</f>
        <v/>
      </c>
      <c r="AJ1492" s="1" t="str">
        <f>""</f>
        <v/>
      </c>
      <c r="AK1492" s="1" t="str">
        <f>""</f>
        <v/>
      </c>
    </row>
    <row r="1493" spans="1:37" x14ac:dyDescent="0.2">
      <c r="A1493" s="1">
        <v>100000</v>
      </c>
      <c r="B1493" s="1">
        <v>956200030</v>
      </c>
      <c r="C1493" s="1" t="str">
        <f>"تخليه-فارسان-چليچه-کارخانه آسفالت احمديه چليچه"</f>
        <v>تخليه-فارسان-چليچه-کارخانه آسفالت احمديه چليچه</v>
      </c>
      <c r="D1493" s="1">
        <v>5750</v>
      </c>
      <c r="E1493" s="1">
        <v>100000</v>
      </c>
      <c r="F1493" s="1">
        <v>95</v>
      </c>
      <c r="G1493" s="1">
        <v>0</v>
      </c>
      <c r="H1493" s="1" t="str">
        <f>"95/03/25"</f>
        <v>95/03/25</v>
      </c>
      <c r="I1493" s="1" t="str">
        <f t="shared" si="390"/>
        <v>كيلوگرم</v>
      </c>
      <c r="J1493" s="1" t="str">
        <f t="shared" si="396"/>
        <v>1000000002</v>
      </c>
      <c r="K1493" s="1" t="str">
        <f t="shared" si="397"/>
        <v>قير 85/100 - فله</v>
      </c>
      <c r="L1493" s="1">
        <v>100</v>
      </c>
      <c r="M1493" s="1" t="str">
        <f t="shared" si="395"/>
        <v>مخازن قير اصفهان</v>
      </c>
      <c r="N1493" s="1">
        <v>11112</v>
      </c>
      <c r="O1493" s="1">
        <v>50031037</v>
      </c>
      <c r="P1493" s="1" t="str">
        <f>"  ژرف کار پارس زاگرس"</f>
        <v xml:space="preserve">  ژرف کار پارس زاگرس</v>
      </c>
      <c r="Q1493" s="1">
        <v>62</v>
      </c>
      <c r="R1493" s="1" t="str">
        <f>"فروش داخلي - سازمان بنيادمسكن انقلاب اسلامي"</f>
        <v>فروش داخلي - سازمان بنيادمسكن انقلاب اسلامي</v>
      </c>
      <c r="S1493" s="1" t="str">
        <f t="shared" si="391"/>
        <v>قرارداد فروش</v>
      </c>
      <c r="T1493" s="1" t="str">
        <f t="shared" si="392"/>
        <v>ندارد</v>
      </c>
      <c r="U1493" s="1" t="str">
        <f t="shared" si="398"/>
        <v>قره باغي مجيد(1871065)</v>
      </c>
      <c r="V1493" s="1">
        <v>956200030</v>
      </c>
      <c r="W1493" s="1">
        <v>956200030</v>
      </c>
      <c r="X1493" s="1" t="str">
        <f>"1395409196"</f>
        <v>1395409196</v>
      </c>
      <c r="Y1493" s="1" t="str">
        <f>"95/03/25"</f>
        <v>95/03/25</v>
      </c>
      <c r="Z1493" s="1" t="str">
        <f>"11476/د"</f>
        <v>11476/د</v>
      </c>
      <c r="AA1493" s="1" t="str">
        <f>"بنيادمسكن انقلاب اسلامي"</f>
        <v>بنيادمسكن انقلاب اسلامي</v>
      </c>
      <c r="AB1493" s="1" t="str">
        <f>"95/03/24"</f>
        <v>95/03/24</v>
      </c>
      <c r="AC1493" s="1" t="str">
        <f t="shared" si="399"/>
        <v>استان چهارمحال بختياري</v>
      </c>
      <c r="AD1493" s="1" t="str">
        <f>"95/03/25"</f>
        <v>95/03/25</v>
      </c>
      <c r="AE1493" s="1" t="str">
        <f t="shared" si="389"/>
        <v>اختتام</v>
      </c>
      <c r="AF1493" s="1" t="str">
        <f>""</f>
        <v/>
      </c>
      <c r="AG1493" s="1" t="str">
        <f>""</f>
        <v/>
      </c>
      <c r="AH1493" s="1" t="str">
        <f>""</f>
        <v/>
      </c>
      <c r="AI1493" s="1" t="str">
        <f>""</f>
        <v/>
      </c>
      <c r="AJ1493" s="1" t="str">
        <f>""</f>
        <v/>
      </c>
      <c r="AK1493" s="1" t="str">
        <f>""</f>
        <v/>
      </c>
    </row>
    <row r="1494" spans="1:37" x14ac:dyDescent="0.2">
      <c r="A1494" s="1">
        <v>188000</v>
      </c>
      <c r="B1494" s="1">
        <v>956200031</v>
      </c>
      <c r="C1494" s="1" t="str">
        <f>"تخليه-شهرکرد-اردل-ناحيه صنعتي-کارخانه آسفالت دشتاوند دزپارت"</f>
        <v>تخليه-شهرکرد-اردل-ناحيه صنعتي-کارخانه آسفالت دشتاوند دزپارت</v>
      </c>
      <c r="D1494" s="1">
        <v>5750</v>
      </c>
      <c r="E1494" s="1">
        <v>187240</v>
      </c>
      <c r="F1494" s="1">
        <v>95</v>
      </c>
      <c r="G1494" s="1">
        <v>760</v>
      </c>
      <c r="H1494" s="1" t="str">
        <f>"95/03/25"</f>
        <v>95/03/25</v>
      </c>
      <c r="I1494" s="1" t="str">
        <f t="shared" si="390"/>
        <v>كيلوگرم</v>
      </c>
      <c r="J1494" s="1" t="str">
        <f t="shared" si="396"/>
        <v>1000000002</v>
      </c>
      <c r="K1494" s="1" t="str">
        <f t="shared" si="397"/>
        <v>قير 85/100 - فله</v>
      </c>
      <c r="L1494" s="1">
        <v>100</v>
      </c>
      <c r="M1494" s="1" t="str">
        <f t="shared" si="395"/>
        <v>مخازن قير اصفهان</v>
      </c>
      <c r="N1494" s="1">
        <v>11113</v>
      </c>
      <c r="O1494" s="1">
        <v>50031038</v>
      </c>
      <c r="P1494" s="1" t="str">
        <f>"  فني مهندسي شايگان پارس زاگرس"</f>
        <v xml:space="preserve">  فني مهندسي شايگان پارس زاگرس</v>
      </c>
      <c r="Q1494" s="1">
        <v>62</v>
      </c>
      <c r="R1494" s="1" t="str">
        <f>"فروش داخلي - سازمان بنيادمسكن انقلاب اسلامي"</f>
        <v>فروش داخلي - سازمان بنيادمسكن انقلاب اسلامي</v>
      </c>
      <c r="S1494" s="1" t="str">
        <f t="shared" si="391"/>
        <v>قرارداد فروش</v>
      </c>
      <c r="T1494" s="1" t="str">
        <f t="shared" si="392"/>
        <v>ندارد</v>
      </c>
      <c r="U1494" s="1" t="str">
        <f t="shared" si="398"/>
        <v>قره باغي مجيد(1871065)</v>
      </c>
      <c r="V1494" s="1">
        <v>956200031</v>
      </c>
      <c r="W1494" s="1">
        <v>956200031</v>
      </c>
      <c r="X1494" s="1" t="str">
        <f>"1395409196"</f>
        <v>1395409196</v>
      </c>
      <c r="Y1494" s="1" t="str">
        <f>"95/03/25"</f>
        <v>95/03/25</v>
      </c>
      <c r="Z1494" s="1" t="str">
        <f>"11473/د"</f>
        <v>11473/د</v>
      </c>
      <c r="AA1494" s="1" t="str">
        <f>"بنيادمسكن انقلاب اسلامي"</f>
        <v>بنيادمسكن انقلاب اسلامي</v>
      </c>
      <c r="AB1494" s="1" t="str">
        <f>"95/03/24"</f>
        <v>95/03/24</v>
      </c>
      <c r="AC1494" s="1" t="str">
        <f t="shared" si="399"/>
        <v>استان چهارمحال بختياري</v>
      </c>
      <c r="AD1494" s="1" t="str">
        <f>"95/03/25"</f>
        <v>95/03/25</v>
      </c>
      <c r="AE1494" s="1" t="str">
        <f t="shared" si="389"/>
        <v>اختتام</v>
      </c>
      <c r="AF1494" s="1" t="str">
        <f>""</f>
        <v/>
      </c>
      <c r="AG1494" s="1" t="str">
        <f>""</f>
        <v/>
      </c>
      <c r="AH1494" s="1" t="str">
        <f>""</f>
        <v/>
      </c>
      <c r="AI1494" s="1" t="str">
        <f>""</f>
        <v/>
      </c>
      <c r="AJ1494" s="1" t="str">
        <f>""</f>
        <v/>
      </c>
      <c r="AK1494" s="1" t="str">
        <f>""</f>
        <v/>
      </c>
    </row>
    <row r="1495" spans="1:37" x14ac:dyDescent="0.2">
      <c r="A1495" s="1">
        <v>135000</v>
      </c>
      <c r="B1495" s="1">
        <v>956200042</v>
      </c>
      <c r="C1495" s="1" t="str">
        <f>"تخليه-چهارمحال و بختياري- اردل- گندمکار-جنب تلمبه خانه شماره 6 شهيد جبار زارع- کارخانه آسفالت شرکت آزمون فلز پارس"</f>
        <v>تخليه-چهارمحال و بختياري- اردل- گندمکار-جنب تلمبه خانه شماره 6 شهيد جبار زارع- کارخانه آسفالت شرکت آزمون فلز پارس</v>
      </c>
      <c r="D1495" s="1">
        <v>5950</v>
      </c>
      <c r="E1495" s="1">
        <v>133700</v>
      </c>
      <c r="F1495" s="1">
        <v>95</v>
      </c>
      <c r="G1495" s="1">
        <v>1300</v>
      </c>
      <c r="H1495" s="1" t="str">
        <f>"95/04/05"</f>
        <v>95/04/05</v>
      </c>
      <c r="I1495" s="1" t="str">
        <f t="shared" si="390"/>
        <v>كيلوگرم</v>
      </c>
      <c r="J1495" s="1" t="str">
        <f t="shared" si="396"/>
        <v>1000000002</v>
      </c>
      <c r="K1495" s="1" t="str">
        <f t="shared" si="397"/>
        <v>قير 85/100 - فله</v>
      </c>
      <c r="L1495" s="1">
        <v>100</v>
      </c>
      <c r="M1495" s="1" t="str">
        <f t="shared" si="395"/>
        <v>مخازن قير اصفهان</v>
      </c>
      <c r="N1495" s="1">
        <v>11124</v>
      </c>
      <c r="O1495" s="1">
        <v>50031103</v>
      </c>
      <c r="P1495" s="1" t="str">
        <f>"  آزمون فلز پارس"</f>
        <v xml:space="preserve">  آزمون فلز پارس</v>
      </c>
      <c r="Q1495" s="1">
        <v>62</v>
      </c>
      <c r="R1495" s="1" t="str">
        <f>"فروش داخلي - سازمان بنيادمسكن انقلاب اسلامي"</f>
        <v>فروش داخلي - سازمان بنيادمسكن انقلاب اسلامي</v>
      </c>
      <c r="S1495" s="1" t="str">
        <f t="shared" si="391"/>
        <v>قرارداد فروش</v>
      </c>
      <c r="T1495" s="1" t="str">
        <f t="shared" si="392"/>
        <v>ندارد</v>
      </c>
      <c r="U1495" s="1" t="str">
        <f t="shared" si="398"/>
        <v>قره باغي مجيد(1871065)</v>
      </c>
      <c r="V1495" s="1">
        <v>956200042</v>
      </c>
      <c r="W1495" s="1">
        <v>956200042</v>
      </c>
      <c r="X1495" s="1" t="str">
        <f>"1395411206"</f>
        <v>1395411206</v>
      </c>
      <c r="Y1495" s="1" t="str">
        <f>"95/04/05"</f>
        <v>95/04/05</v>
      </c>
      <c r="Z1495" s="1" t="str">
        <f>"13163/د"</f>
        <v>13163/د</v>
      </c>
      <c r="AA1495" s="1" t="str">
        <f>"بنيادمسكن انقلاب اسلامي"</f>
        <v>بنيادمسكن انقلاب اسلامي</v>
      </c>
      <c r="AB1495" s="1" t="str">
        <f>"95/04/02"</f>
        <v>95/04/02</v>
      </c>
      <c r="AC1495" s="1" t="str">
        <f t="shared" si="399"/>
        <v>استان چهارمحال بختياري</v>
      </c>
      <c r="AD1495" s="1" t="str">
        <f>"95/04/05"</f>
        <v>95/04/05</v>
      </c>
      <c r="AE1495" s="1" t="str">
        <f t="shared" ref="AE1495:AE1526" si="400">"اختتام"</f>
        <v>اختتام</v>
      </c>
      <c r="AF1495" s="1" t="str">
        <f>""</f>
        <v/>
      </c>
      <c r="AG1495" s="1" t="str">
        <f>""</f>
        <v/>
      </c>
      <c r="AH1495" s="1" t="str">
        <f>""</f>
        <v/>
      </c>
      <c r="AI1495" s="1" t="str">
        <f>""</f>
        <v/>
      </c>
      <c r="AJ1495" s="1" t="str">
        <f>""</f>
        <v/>
      </c>
      <c r="AK1495" s="1" t="str">
        <f>""</f>
        <v/>
      </c>
    </row>
    <row r="1496" spans="1:37" x14ac:dyDescent="0.2">
      <c r="A1496" s="1">
        <v>200000</v>
      </c>
      <c r="B1496" s="1">
        <v>956200043</v>
      </c>
      <c r="C1496" s="1" t="str">
        <f>"تخليه-شهرستان بروجن- شهر گندمان-پشت قطب صنعتي گندمان-کارخانه آسفالت احمدي"</f>
        <v>تخليه-شهرستان بروجن- شهر گندمان-پشت قطب صنعتي گندمان-کارخانه آسفالت احمدي</v>
      </c>
      <c r="D1496" s="1">
        <v>5950</v>
      </c>
      <c r="E1496" s="1">
        <v>192840</v>
      </c>
      <c r="F1496" s="1">
        <v>95</v>
      </c>
      <c r="G1496" s="1">
        <v>7160</v>
      </c>
      <c r="H1496" s="1" t="str">
        <f>"95/04/05"</f>
        <v>95/04/05</v>
      </c>
      <c r="I1496" s="1" t="str">
        <f t="shared" si="390"/>
        <v>كيلوگرم</v>
      </c>
      <c r="J1496" s="1" t="str">
        <f t="shared" si="396"/>
        <v>1000000002</v>
      </c>
      <c r="K1496" s="1" t="str">
        <f t="shared" si="397"/>
        <v>قير 85/100 - فله</v>
      </c>
      <c r="L1496" s="1">
        <v>100</v>
      </c>
      <c r="M1496" s="1" t="str">
        <f t="shared" si="395"/>
        <v>مخازن قير اصفهان</v>
      </c>
      <c r="N1496" s="1">
        <v>11128</v>
      </c>
      <c r="O1496" s="1">
        <v>50031104</v>
      </c>
      <c r="P1496" s="1" t="str">
        <f>"  دژنيک شهريار"</f>
        <v xml:space="preserve">  دژنيک شهريار</v>
      </c>
      <c r="Q1496" s="1">
        <v>62</v>
      </c>
      <c r="R1496" s="1" t="str">
        <f>"فروش داخلي - سازمان بنيادمسكن انقلاب اسلامي"</f>
        <v>فروش داخلي - سازمان بنيادمسكن انقلاب اسلامي</v>
      </c>
      <c r="S1496" s="1" t="str">
        <f t="shared" si="391"/>
        <v>قرارداد فروش</v>
      </c>
      <c r="T1496" s="1" t="str">
        <f t="shared" si="392"/>
        <v>ندارد</v>
      </c>
      <c r="U1496" s="1" t="str">
        <f t="shared" si="398"/>
        <v>قره باغي مجيد(1871065)</v>
      </c>
      <c r="V1496" s="1">
        <v>956200043</v>
      </c>
      <c r="W1496" s="1">
        <v>956200043</v>
      </c>
      <c r="X1496" s="1" t="str">
        <f>"1395411206"</f>
        <v>1395411206</v>
      </c>
      <c r="Y1496" s="1" t="str">
        <f>"95/04/05"</f>
        <v>95/04/05</v>
      </c>
      <c r="Z1496" s="1" t="str">
        <f>"13165/د"</f>
        <v>13165/د</v>
      </c>
      <c r="AA1496" s="1" t="str">
        <f>"بنيادمسكن انقلاب اسلامي"</f>
        <v>بنيادمسكن انقلاب اسلامي</v>
      </c>
      <c r="AB1496" s="1" t="str">
        <f>"95/04/02"</f>
        <v>95/04/02</v>
      </c>
      <c r="AC1496" s="1" t="str">
        <f t="shared" si="399"/>
        <v>استان چهارمحال بختياري</v>
      </c>
      <c r="AD1496" s="1" t="str">
        <f>"95/04/05"</f>
        <v>95/04/05</v>
      </c>
      <c r="AE1496" s="1" t="str">
        <f t="shared" si="400"/>
        <v>اختتام</v>
      </c>
      <c r="AF1496" s="1" t="str">
        <f>""</f>
        <v/>
      </c>
      <c r="AG1496" s="1" t="str">
        <f>""</f>
        <v/>
      </c>
      <c r="AH1496" s="1" t="str">
        <f>""</f>
        <v/>
      </c>
      <c r="AI1496" s="1" t="str">
        <f>""</f>
        <v/>
      </c>
      <c r="AJ1496" s="1" t="str">
        <f>""</f>
        <v/>
      </c>
      <c r="AK1496" s="1" t="str">
        <f>""</f>
        <v/>
      </c>
    </row>
    <row r="1497" spans="1:37" x14ac:dyDescent="0.2">
      <c r="A1497" s="1">
        <v>74000</v>
      </c>
      <c r="B1497" s="1">
        <v>952000032</v>
      </c>
      <c r="C1497" s="1" t="str">
        <f>"تخليه -چهارمحال وبختياري -شهركردسازمان همياري شهرداري"</f>
        <v>تخليه -چهارمحال وبختياري -شهركردسازمان همياري شهرداري</v>
      </c>
      <c r="D1497" s="1">
        <v>6426</v>
      </c>
      <c r="E1497" s="1">
        <v>74000</v>
      </c>
      <c r="F1497" s="1">
        <v>95</v>
      </c>
      <c r="G1497" s="1">
        <v>0</v>
      </c>
      <c r="H1497" s="1" t="str">
        <f>"95/05/27"</f>
        <v>95/05/27</v>
      </c>
      <c r="I1497" s="1" t="str">
        <f t="shared" si="390"/>
        <v>كيلوگرم</v>
      </c>
      <c r="J1497" s="1" t="str">
        <f t="shared" si="396"/>
        <v>1000000002</v>
      </c>
      <c r="K1497" s="1" t="str">
        <f t="shared" si="397"/>
        <v>قير 85/100 - فله</v>
      </c>
      <c r="L1497" s="1">
        <v>100</v>
      </c>
      <c r="M1497" s="1" t="str">
        <f t="shared" si="395"/>
        <v>مخازن قير اصفهان</v>
      </c>
      <c r="N1497" s="1">
        <v>11151</v>
      </c>
      <c r="O1497" s="1">
        <v>50031582</v>
      </c>
      <c r="P1497" s="1" t="str">
        <f>"  شهرداري وردنجان"</f>
        <v xml:space="preserve">  شهرداري وردنجان</v>
      </c>
      <c r="Q1497" s="1">
        <v>20</v>
      </c>
      <c r="R1497" s="1" t="str">
        <f>"فروش داخلي - سازمان شهرداري ها و دهياري هاي كشور"</f>
        <v>فروش داخلي - سازمان شهرداري ها و دهياري هاي كشور</v>
      </c>
      <c r="S1497" s="1" t="str">
        <f t="shared" si="391"/>
        <v>قرارداد فروش</v>
      </c>
      <c r="T1497" s="1" t="str">
        <f t="shared" si="392"/>
        <v>ندارد</v>
      </c>
      <c r="U1497" s="1" t="str">
        <f>"سيفي پور گودرز(1019ج89)"</f>
        <v>سيفي پور گودرز(1019ج89)</v>
      </c>
      <c r="V1497" s="1">
        <v>952000032</v>
      </c>
      <c r="W1497" s="1">
        <v>952000032</v>
      </c>
      <c r="X1497" s="1" t="str">
        <f>"1395423681"</f>
        <v>1395423681</v>
      </c>
      <c r="Y1497" s="1" t="str">
        <f>"95/05/25"</f>
        <v>95/05/25</v>
      </c>
      <c r="Z1497" s="1" t="str">
        <f>"19376"</f>
        <v>19376</v>
      </c>
      <c r="AA1497" s="1" t="str">
        <f>"شهرداريها"</f>
        <v>شهرداريها</v>
      </c>
      <c r="AB1497" s="1" t="str">
        <f>"95/05/05"</f>
        <v>95/05/05</v>
      </c>
      <c r="AC1497" s="1" t="str">
        <f t="shared" si="399"/>
        <v>استان چهارمحال بختياري</v>
      </c>
      <c r="AD1497" s="1" t="str">
        <f>"95/05/24"</f>
        <v>95/05/24</v>
      </c>
      <c r="AE1497" s="1" t="str">
        <f t="shared" si="400"/>
        <v>اختتام</v>
      </c>
      <c r="AF1497" s="1" t="str">
        <f>""</f>
        <v/>
      </c>
      <c r="AG1497" s="1" t="str">
        <f>""</f>
        <v/>
      </c>
      <c r="AH1497" s="1" t="str">
        <f>""</f>
        <v/>
      </c>
      <c r="AI1497" s="1" t="str">
        <f>""</f>
        <v/>
      </c>
      <c r="AJ1497" s="1" t="str">
        <f>""</f>
        <v/>
      </c>
      <c r="AK1497" s="1" t="str">
        <f>""</f>
        <v/>
      </c>
    </row>
    <row r="1498" spans="1:37" x14ac:dyDescent="0.2">
      <c r="A1498" s="1">
        <v>250000</v>
      </c>
      <c r="B1498" s="1">
        <v>951900098</v>
      </c>
      <c r="C1498" s="1" t="str">
        <f>"تخليه -اصفهان -تيران شركت ميلادراه سپاهان"</f>
        <v>تخليه -اصفهان -تيران شركت ميلادراه سپاهان</v>
      </c>
      <c r="D1498" s="1">
        <v>6726</v>
      </c>
      <c r="E1498" s="1">
        <v>249540</v>
      </c>
      <c r="F1498" s="1">
        <v>95</v>
      </c>
      <c r="G1498" s="1">
        <v>460</v>
      </c>
      <c r="H1498" s="1" t="str">
        <f>"95/05/18"</f>
        <v>95/05/18</v>
      </c>
      <c r="I1498" s="1" t="str">
        <f t="shared" si="390"/>
        <v>كيلوگرم</v>
      </c>
      <c r="J1498" s="1" t="str">
        <f>"0000000089"</f>
        <v>0000000089</v>
      </c>
      <c r="K1498" s="1" t="str">
        <f>"قير  PG58-16"</f>
        <v>قير  PG58-16</v>
      </c>
      <c r="L1498" s="1">
        <v>100</v>
      </c>
      <c r="M1498" s="1" t="str">
        <f t="shared" si="395"/>
        <v>مخازن قير اصفهان</v>
      </c>
      <c r="N1498" s="1">
        <v>8643</v>
      </c>
      <c r="O1498" s="1">
        <v>50031459</v>
      </c>
      <c r="P1498" s="1" t="str">
        <f>"  ميلاد راه سپاهان"</f>
        <v xml:space="preserve">  ميلاد راه سپاهان</v>
      </c>
      <c r="Q1498" s="1">
        <v>19</v>
      </c>
      <c r="R14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98" s="1" t="str">
        <f t="shared" si="391"/>
        <v>قرارداد فروش</v>
      </c>
      <c r="T1498" s="1" t="str">
        <f t="shared" si="392"/>
        <v>ندارد</v>
      </c>
      <c r="U1498" s="1" t="str">
        <f>"مرادي نجاتعلي(1020ج89)"</f>
        <v>مرادي نجاتعلي(1020ج89)</v>
      </c>
      <c r="V1498" s="1">
        <v>951900098</v>
      </c>
      <c r="W1498" s="1">
        <v>951900098</v>
      </c>
      <c r="X1498" s="1" t="str">
        <f>"1395421755"</f>
        <v>1395421755</v>
      </c>
      <c r="Y1498" s="1" t="str">
        <f>"95/05/18"</f>
        <v>95/05/18</v>
      </c>
      <c r="Z1498" s="1" t="str">
        <f>"21229/510"</f>
        <v>21229/510</v>
      </c>
      <c r="AA1498" s="1" t="str">
        <f>"سازمان راهداري وحمل نقل جاده اي"</f>
        <v>سازمان راهداري وحمل نقل جاده اي</v>
      </c>
      <c r="AB1498" s="1" t="str">
        <f>"95/05/12"</f>
        <v>95/05/12</v>
      </c>
      <c r="AC1498" s="1" t="str">
        <f t="shared" si="399"/>
        <v>استان چهارمحال بختياري</v>
      </c>
      <c r="AD1498" s="1" t="str">
        <f>"95/05/17"</f>
        <v>95/05/17</v>
      </c>
      <c r="AE1498" s="1" t="str">
        <f t="shared" si="400"/>
        <v>اختتام</v>
      </c>
      <c r="AF1498" s="1" t="str">
        <f>""</f>
        <v/>
      </c>
      <c r="AG1498" s="1" t="str">
        <f>""</f>
        <v/>
      </c>
      <c r="AH1498" s="1" t="str">
        <f>""</f>
        <v/>
      </c>
      <c r="AI1498" s="1" t="str">
        <f>""</f>
        <v/>
      </c>
      <c r="AJ1498" s="1" t="str">
        <f>""</f>
        <v/>
      </c>
      <c r="AK1498" s="1" t="str">
        <f>""</f>
        <v/>
      </c>
    </row>
    <row r="1499" spans="1:37" x14ac:dyDescent="0.2">
      <c r="A1499" s="1">
        <v>20000</v>
      </c>
      <c r="B1499" s="1">
        <v>956200138</v>
      </c>
      <c r="C1499" s="1" t="str">
        <f>"تخليه -اصفهان - كاشان - كيلومتر 19محور كاشان - قم شركت درم"</f>
        <v>تخليه -اصفهان - كاشان - كيلومتر 19محور كاشان - قم شركت درم</v>
      </c>
      <c r="D1499" s="1">
        <v>12507</v>
      </c>
      <c r="E1499" s="1">
        <v>19580</v>
      </c>
      <c r="F1499" s="1">
        <v>95</v>
      </c>
      <c r="G1499" s="1">
        <v>420</v>
      </c>
      <c r="H1499" s="1" t="str">
        <f>"95/10/13"</f>
        <v>95/10/13</v>
      </c>
      <c r="I1499" s="1" t="str">
        <f t="shared" si="390"/>
        <v>كيلوگرم</v>
      </c>
      <c r="J1499" s="1" t="str">
        <f>"1000000003"</f>
        <v>1000000003</v>
      </c>
      <c r="K1499" s="1" t="str">
        <f>"قير MC250"</f>
        <v>قير MC250</v>
      </c>
      <c r="L1499" s="1">
        <v>100</v>
      </c>
      <c r="M1499" s="1" t="str">
        <f t="shared" si="395"/>
        <v>مخازن قير اصفهان</v>
      </c>
      <c r="N1499" s="1">
        <v>8073</v>
      </c>
      <c r="O1499" s="1">
        <v>50033274</v>
      </c>
      <c r="P1499" s="1" t="str">
        <f>"  درم"</f>
        <v xml:space="preserve">  درم</v>
      </c>
      <c r="Q1499" s="1">
        <v>62</v>
      </c>
      <c r="R1499" s="1" t="str">
        <f>"فروش داخلي - سازمان بنيادمسكن انقلاب اسلامي"</f>
        <v>فروش داخلي - سازمان بنيادمسكن انقلاب اسلامي</v>
      </c>
      <c r="S1499" s="1" t="str">
        <f t="shared" si="391"/>
        <v>قرارداد فروش</v>
      </c>
      <c r="T1499" s="1" t="str">
        <f t="shared" si="392"/>
        <v>ندارد</v>
      </c>
      <c r="U1499" s="1" t="str">
        <f>"كبيري رحمت اله(1024ج89)"</f>
        <v>كبيري رحمت اله(1024ج89)</v>
      </c>
      <c r="V1499" s="1">
        <v>956200138</v>
      </c>
      <c r="W1499" s="1">
        <v>956200138</v>
      </c>
      <c r="X1499" s="1" t="str">
        <f>"1395456366"</f>
        <v>1395456366</v>
      </c>
      <c r="Y1499" s="1" t="str">
        <f>"95/10/13"</f>
        <v>95/10/13</v>
      </c>
      <c r="Z1499" s="1" t="str">
        <f>"43222/د"</f>
        <v>43222/د</v>
      </c>
      <c r="AA1499" s="1" t="str">
        <f>"بنيادمسكن انقلاب اسلامي"</f>
        <v>بنيادمسكن انقلاب اسلامي</v>
      </c>
      <c r="AB1499" s="1" t="str">
        <f>"95/10/12"</f>
        <v>95/10/12</v>
      </c>
      <c r="AC1499" s="1" t="str">
        <f>"استان اصفهان"</f>
        <v>استان اصفهان</v>
      </c>
      <c r="AD1499" s="1" t="str">
        <f>"95/10/13"</f>
        <v>95/10/13</v>
      </c>
      <c r="AE1499" s="1" t="str">
        <f t="shared" si="400"/>
        <v>اختتام</v>
      </c>
      <c r="AF1499" s="1" t="str">
        <f>""</f>
        <v/>
      </c>
      <c r="AG1499" s="1" t="str">
        <f>""</f>
        <v/>
      </c>
      <c r="AH1499" s="1" t="str">
        <f>""</f>
        <v/>
      </c>
      <c r="AI1499" s="1" t="str">
        <f>""</f>
        <v/>
      </c>
      <c r="AJ1499" s="1" t="str">
        <f>""</f>
        <v/>
      </c>
      <c r="AK1499" s="1" t="str">
        <f>""</f>
        <v/>
      </c>
    </row>
    <row r="1500" spans="1:37" x14ac:dyDescent="0.2">
      <c r="A1500" s="1">
        <v>182000</v>
      </c>
      <c r="B1500" s="1">
        <v>956200084</v>
      </c>
      <c r="C1500" s="1" t="str">
        <f>"تخليه-چهارمحال-سامان-نرسيده به پليس راه -کارخانه آسفالت احمدپور"</f>
        <v>تخليه-چهارمحال-سامان-نرسيده به پليس راه -کارخانه آسفالت احمدپور</v>
      </c>
      <c r="D1500" s="1">
        <v>6976</v>
      </c>
      <c r="E1500" s="1">
        <v>181800</v>
      </c>
      <c r="F1500" s="1">
        <v>95</v>
      </c>
      <c r="G1500" s="1">
        <v>200</v>
      </c>
      <c r="H1500" s="1" t="str">
        <f>"95/07/10"</f>
        <v>95/07/10</v>
      </c>
      <c r="I1500" s="1" t="str">
        <f t="shared" si="390"/>
        <v>كيلوگرم</v>
      </c>
      <c r="J1500" s="1" t="str">
        <f>"1000000002"</f>
        <v>1000000002</v>
      </c>
      <c r="K1500" s="1" t="str">
        <f>"قير 85/100 - فله"</f>
        <v>قير 85/100 - فله</v>
      </c>
      <c r="L1500" s="1">
        <v>100</v>
      </c>
      <c r="M1500" s="1" t="str">
        <f t="shared" si="395"/>
        <v>مخازن قير اصفهان</v>
      </c>
      <c r="N1500" s="1">
        <v>11192</v>
      </c>
      <c r="O1500" s="1">
        <v>50032040</v>
      </c>
      <c r="P1500" s="1" t="str">
        <f>"  آذربام مغان"</f>
        <v xml:space="preserve">  آذربام مغان</v>
      </c>
      <c r="Q1500" s="1">
        <v>62</v>
      </c>
      <c r="R1500" s="1" t="str">
        <f>"فروش داخلي - سازمان بنيادمسكن انقلاب اسلامي"</f>
        <v>فروش داخلي - سازمان بنيادمسكن انقلاب اسلامي</v>
      </c>
      <c r="S1500" s="1" t="str">
        <f t="shared" si="391"/>
        <v>قرارداد فروش</v>
      </c>
      <c r="T1500" s="1" t="str">
        <f t="shared" si="392"/>
        <v>ندارد</v>
      </c>
      <c r="U1500" s="1" t="str">
        <f>"قره باغي مجيد(1871065)"</f>
        <v>قره باغي مجيد(1871065)</v>
      </c>
      <c r="V1500" s="1">
        <v>956200084</v>
      </c>
      <c r="W1500" s="1">
        <v>956200084</v>
      </c>
      <c r="X1500" s="1" t="str">
        <f>"1395435119"</f>
        <v>1395435119</v>
      </c>
      <c r="Y1500" s="1" t="str">
        <f>"95/07/10"</f>
        <v>95/07/10</v>
      </c>
      <c r="Z1500" s="1" t="str">
        <f>"28402/د"</f>
        <v>28402/د</v>
      </c>
      <c r="AA1500" s="1" t="str">
        <f>"بنيادمسكن انقلاب اسلامي"</f>
        <v>بنيادمسكن انقلاب اسلامي</v>
      </c>
      <c r="AB1500" s="1" t="str">
        <f>"95/07/10"</f>
        <v>95/07/10</v>
      </c>
      <c r="AC1500" s="1" t="str">
        <f>"استان چهارمحال بختياري"</f>
        <v>استان چهارمحال بختياري</v>
      </c>
      <c r="AD1500" s="1" t="str">
        <f>"95/07/10"</f>
        <v>95/07/10</v>
      </c>
      <c r="AE1500" s="1" t="str">
        <f t="shared" si="400"/>
        <v>اختتام</v>
      </c>
      <c r="AF1500" s="1" t="str">
        <f>""</f>
        <v/>
      </c>
      <c r="AG1500" s="1" t="str">
        <f>""</f>
        <v/>
      </c>
      <c r="AH1500" s="1" t="str">
        <f>""</f>
        <v/>
      </c>
      <c r="AI1500" s="1" t="str">
        <f>""</f>
        <v/>
      </c>
      <c r="AJ1500" s="1" t="str">
        <f>""</f>
        <v/>
      </c>
      <c r="AK1500" s="1" t="str">
        <f>""</f>
        <v/>
      </c>
    </row>
    <row r="1501" spans="1:37" x14ac:dyDescent="0.2">
      <c r="A1501" s="1">
        <v>225000</v>
      </c>
      <c r="B1501" s="1">
        <v>956200173</v>
      </c>
      <c r="C1501" s="1" t="str">
        <f>"تخليه - زنجان -کيلومتر 49 اتوبان زنجان قزوين -کارخانه آسفالت شرکت مهرجويان ابهر"</f>
        <v>تخليه - زنجان -کيلومتر 49 اتوبان زنجان قزوين -کارخانه آسفالت شرکت مهرجويان ابهر</v>
      </c>
      <c r="D1501" s="1">
        <v>9361</v>
      </c>
      <c r="E1501" s="1">
        <v>223400</v>
      </c>
      <c r="F1501" s="1">
        <v>95</v>
      </c>
      <c r="G1501" s="1">
        <v>1600</v>
      </c>
      <c r="H1501" s="1" t="str">
        <f>"95/11/04"</f>
        <v>95/11/04</v>
      </c>
      <c r="I1501" s="1" t="str">
        <f t="shared" si="390"/>
        <v>كيلوگرم</v>
      </c>
      <c r="J1501" s="1" t="str">
        <f>"1000000002"</f>
        <v>1000000002</v>
      </c>
      <c r="K1501" s="1" t="str">
        <f>"قير 85/100 - فله"</f>
        <v>قير 85/100 - فله</v>
      </c>
      <c r="L1501" s="1">
        <v>100</v>
      </c>
      <c r="M1501" s="1" t="str">
        <f t="shared" si="395"/>
        <v>مخازن قير اصفهان</v>
      </c>
      <c r="N1501" s="1">
        <v>11237</v>
      </c>
      <c r="O1501" s="1">
        <v>50033505</v>
      </c>
      <c r="P1501" s="1" t="str">
        <f>"  بنياد مسکن انقلاب اسلامي زنجان"</f>
        <v xml:space="preserve">  بنياد مسکن انقلاب اسلامي زنجان</v>
      </c>
      <c r="Q1501" s="1">
        <v>62</v>
      </c>
      <c r="R1501" s="1" t="str">
        <f>"فروش داخلي - سازمان بنيادمسكن انقلاب اسلامي"</f>
        <v>فروش داخلي - سازمان بنيادمسكن انقلاب اسلامي</v>
      </c>
      <c r="S1501" s="1" t="str">
        <f t="shared" si="391"/>
        <v>قرارداد فروش</v>
      </c>
      <c r="T1501" s="1" t="str">
        <f t="shared" si="392"/>
        <v>ندارد</v>
      </c>
      <c r="U1501" s="1" t="str">
        <f>"فتاح زاده سيداحمد(3843011)"</f>
        <v>فتاح زاده سيداحمد(3843011)</v>
      </c>
      <c r="V1501" s="1">
        <v>956200173</v>
      </c>
      <c r="W1501" s="1">
        <v>956200173</v>
      </c>
      <c r="X1501" s="1" t="str">
        <f>"1395460250"</f>
        <v>1395460250</v>
      </c>
      <c r="Y1501" s="1" t="str">
        <f>"95/11/04"</f>
        <v>95/11/04</v>
      </c>
      <c r="Z1501" s="1" t="str">
        <f>"46384/د"</f>
        <v>46384/د</v>
      </c>
      <c r="AA1501" s="1" t="str">
        <f>"بنيادمسكن انقلاب اسلامي"</f>
        <v>بنيادمسكن انقلاب اسلامي</v>
      </c>
      <c r="AB1501" s="1" t="str">
        <f>"95/10/29"</f>
        <v>95/10/29</v>
      </c>
      <c r="AC1501" s="1" t="str">
        <f>"استان زنجان"</f>
        <v>استان زنجان</v>
      </c>
      <c r="AD1501" s="1" t="str">
        <f>"95/11/04"</f>
        <v>95/11/04</v>
      </c>
      <c r="AE1501" s="1" t="str">
        <f t="shared" si="400"/>
        <v>اختتام</v>
      </c>
      <c r="AF1501" s="1" t="str">
        <f>""</f>
        <v/>
      </c>
      <c r="AG1501" s="1" t="str">
        <f>""</f>
        <v/>
      </c>
      <c r="AH1501" s="1" t="str">
        <f>""</f>
        <v/>
      </c>
      <c r="AI1501" s="1" t="str">
        <f>""</f>
        <v/>
      </c>
      <c r="AJ1501" s="1" t="str">
        <f>""</f>
        <v/>
      </c>
      <c r="AK1501" s="1" t="str">
        <f>""</f>
        <v/>
      </c>
    </row>
    <row r="1502" spans="1:37" x14ac:dyDescent="0.2">
      <c r="A1502" s="1">
        <v>50000</v>
      </c>
      <c r="B1502" s="1">
        <v>951100100</v>
      </c>
      <c r="C1502" s="1" t="str">
        <f>"تخليه -جاده خلخال -كيلومتر5كورانيم -كارخانه آسفالت وسنگ شكن اردبيل"</f>
        <v>تخليه -جاده خلخال -كيلومتر5كورانيم -كارخانه آسفالت وسنگ شكن اردبيل</v>
      </c>
      <c r="D1502" s="1">
        <v>10200</v>
      </c>
      <c r="E1502" s="1">
        <v>38000</v>
      </c>
      <c r="F1502" s="1">
        <v>95</v>
      </c>
      <c r="G1502" s="1">
        <v>12000</v>
      </c>
      <c r="H1502" s="1" t="str">
        <f>"95/05/19"</f>
        <v>95/05/19</v>
      </c>
      <c r="I1502" s="1" t="str">
        <f t="shared" si="390"/>
        <v>كيلوگرم</v>
      </c>
      <c r="J1502" s="1" t="str">
        <f>"1000000003"</f>
        <v>1000000003</v>
      </c>
      <c r="K1502" s="1" t="str">
        <f>"قير MC250"</f>
        <v>قير MC250</v>
      </c>
      <c r="L1502" s="1">
        <v>100</v>
      </c>
      <c r="M1502" s="1" t="str">
        <f t="shared" si="395"/>
        <v>مخازن قير اصفهان</v>
      </c>
      <c r="N1502" s="1">
        <v>4200</v>
      </c>
      <c r="O1502" s="1">
        <v>50031485</v>
      </c>
      <c r="P1502" s="1" t="str">
        <f>"  شهرداري اردبيل"</f>
        <v xml:space="preserve">  شهرداري اردبيل</v>
      </c>
      <c r="Q1502" s="1">
        <v>11</v>
      </c>
      <c r="R1502" s="1" t="str">
        <f>"فروش داخلي تهران - بورس"</f>
        <v>فروش داخلي تهران - بورس</v>
      </c>
      <c r="S1502" s="1" t="str">
        <f t="shared" si="391"/>
        <v>قرارداد فروش</v>
      </c>
      <c r="T1502" s="1" t="str">
        <f t="shared" si="392"/>
        <v>ندارد</v>
      </c>
      <c r="U1502" s="1" t="str">
        <f>"علافي اسكويي محمد تقي(3843004)"</f>
        <v>علافي اسكويي محمد تقي(3843004)</v>
      </c>
      <c r="V1502" s="1">
        <v>951100100</v>
      </c>
      <c r="W1502" s="1">
        <v>951100100</v>
      </c>
      <c r="X1502" s="1" t="str">
        <f>"1395421502"</f>
        <v>1395421502</v>
      </c>
      <c r="Y1502" s="1" t="str">
        <f>"95/05/18"</f>
        <v>95/05/18</v>
      </c>
      <c r="Z1502" s="1" t="str">
        <f>"95-34545"</f>
        <v>95-34545</v>
      </c>
      <c r="AA1502" s="1" t="str">
        <f>"شهرداريها"</f>
        <v>شهرداريها</v>
      </c>
      <c r="AB1502" s="1" t="str">
        <f>"95/05/18"</f>
        <v>95/05/18</v>
      </c>
      <c r="AC1502" s="1" t="str">
        <f>"استان اردبيل"</f>
        <v>استان اردبيل</v>
      </c>
      <c r="AD1502" s="1" t="str">
        <f>"95/05/16"</f>
        <v>95/05/16</v>
      </c>
      <c r="AE1502" s="1" t="str">
        <f t="shared" si="400"/>
        <v>اختتام</v>
      </c>
      <c r="AF1502" s="1" t="str">
        <f>""</f>
        <v/>
      </c>
      <c r="AG1502" s="1" t="str">
        <f>""</f>
        <v/>
      </c>
      <c r="AH1502" s="1" t="str">
        <f>""</f>
        <v/>
      </c>
      <c r="AI1502" s="1" t="str">
        <f>""</f>
        <v/>
      </c>
      <c r="AJ1502" s="1" t="str">
        <f>""</f>
        <v/>
      </c>
      <c r="AK1502" s="1" t="str">
        <f>""</f>
        <v/>
      </c>
    </row>
    <row r="1503" spans="1:37" x14ac:dyDescent="0.2">
      <c r="A1503" s="1">
        <v>150000</v>
      </c>
      <c r="B1503" s="1">
        <v>956200344</v>
      </c>
      <c r="C1503" s="1" t="str">
        <f>"تخليه همدان كيلومتر54جاده همدان تهران كارخانه آسفالت سراوك"</f>
        <v>تخليه همدان كيلومتر54جاده همدان تهران كارخانه آسفالت سراوك</v>
      </c>
      <c r="D1503" s="1">
        <v>8848</v>
      </c>
      <c r="E1503" s="1">
        <v>149440</v>
      </c>
      <c r="F1503" s="1">
        <v>95</v>
      </c>
      <c r="G1503" s="1">
        <v>560</v>
      </c>
      <c r="H1503" s="1" t="str">
        <f>"95/12/22"</f>
        <v>95/12/22</v>
      </c>
      <c r="I1503" s="1" t="str">
        <f t="shared" si="390"/>
        <v>كيلوگرم</v>
      </c>
      <c r="J1503" s="1" t="str">
        <f t="shared" ref="J1503:J1509" si="401">"1000000002"</f>
        <v>1000000002</v>
      </c>
      <c r="K1503" s="1" t="str">
        <f t="shared" ref="K1503:K1509" si="402">"قير 85/100 - فله"</f>
        <v>قير 85/100 - فله</v>
      </c>
      <c r="L1503" s="1">
        <v>100</v>
      </c>
      <c r="M1503" s="1" t="str">
        <f t="shared" si="395"/>
        <v>مخازن قير اصفهان</v>
      </c>
      <c r="N1503" s="1">
        <v>11240</v>
      </c>
      <c r="O1503" s="1">
        <v>50034126</v>
      </c>
      <c r="P1503" s="1" t="str">
        <f>"  خاتم پي پيكره"</f>
        <v xml:space="preserve">  خاتم پي پيكره</v>
      </c>
      <c r="Q1503" s="1">
        <v>62</v>
      </c>
      <c r="R1503" s="1" t="str">
        <f t="shared" ref="R1503:R1509" si="403">"فروش داخلي - سازمان بنيادمسكن انقلاب اسلامي"</f>
        <v>فروش داخلي - سازمان بنيادمسكن انقلاب اسلامي</v>
      </c>
      <c r="S1503" s="1" t="str">
        <f t="shared" si="391"/>
        <v>قرارداد فروش</v>
      </c>
      <c r="T1503" s="1" t="str">
        <f t="shared" si="392"/>
        <v>ندارد</v>
      </c>
      <c r="U1503" s="1" t="str">
        <f>"حاجيلوئي علي اصغر(2842019)"</f>
        <v>حاجيلوئي علي اصغر(2842019)</v>
      </c>
      <c r="V1503" s="1">
        <v>956200344</v>
      </c>
      <c r="W1503" s="1">
        <v>956200344</v>
      </c>
      <c r="X1503" s="1" t="str">
        <f>"1395470441"</f>
        <v>1395470441</v>
      </c>
      <c r="Y1503" s="1" t="str">
        <f>"95/12/22"</f>
        <v>95/12/22</v>
      </c>
      <c r="Z1503" s="1" t="str">
        <f>"56738/د"</f>
        <v>56738/د</v>
      </c>
      <c r="AA1503" s="1" t="str">
        <f t="shared" ref="AA1503:AA1509" si="404">"بنيادمسكن انقلاب اسلامي"</f>
        <v>بنيادمسكن انقلاب اسلامي</v>
      </c>
      <c r="AB1503" s="1" t="str">
        <f>"95/12/21"</f>
        <v>95/12/21</v>
      </c>
      <c r="AC1503" s="1" t="str">
        <f>"استان همدان"</f>
        <v>استان همدان</v>
      </c>
      <c r="AD1503" s="1" t="str">
        <f>"95/12/22"</f>
        <v>95/12/22</v>
      </c>
      <c r="AE1503" s="1" t="str">
        <f t="shared" si="400"/>
        <v>اختتام</v>
      </c>
      <c r="AF1503" s="1" t="str">
        <f>""</f>
        <v/>
      </c>
      <c r="AG1503" s="1" t="str">
        <f>""</f>
        <v/>
      </c>
      <c r="AH1503" s="1" t="str">
        <f>""</f>
        <v/>
      </c>
      <c r="AI1503" s="1" t="str">
        <f>""</f>
        <v/>
      </c>
      <c r="AJ1503" s="1" t="str">
        <f>""</f>
        <v/>
      </c>
      <c r="AK1503" s="1" t="str">
        <f>""</f>
        <v/>
      </c>
    </row>
    <row r="1504" spans="1:37" x14ac:dyDescent="0.2">
      <c r="A1504" s="1">
        <v>47000</v>
      </c>
      <c r="B1504" s="1">
        <v>956200197</v>
      </c>
      <c r="C1504" s="1" t="str">
        <f>"تخليه - کردستان-بيجار - کارخانه آسفالت زرده کمر"</f>
        <v>تخليه - کردستان-بيجار - کارخانه آسفالت زرده کمر</v>
      </c>
      <c r="D1504" s="1">
        <v>9361</v>
      </c>
      <c r="E1504" s="1">
        <v>47000</v>
      </c>
      <c r="F1504" s="1">
        <v>95</v>
      </c>
      <c r="G1504" s="1">
        <v>0</v>
      </c>
      <c r="H1504" s="1" t="str">
        <f>"95/11/19"</f>
        <v>95/11/19</v>
      </c>
      <c r="I1504" s="1" t="str">
        <f t="shared" si="390"/>
        <v>كيلوگرم</v>
      </c>
      <c r="J1504" s="1" t="str">
        <f t="shared" si="401"/>
        <v>1000000002</v>
      </c>
      <c r="K1504" s="1" t="str">
        <f t="shared" si="402"/>
        <v>قير 85/100 - فله</v>
      </c>
      <c r="L1504" s="1">
        <v>100</v>
      </c>
      <c r="M1504" s="1" t="str">
        <f t="shared" si="395"/>
        <v>مخازن قير اصفهان</v>
      </c>
      <c r="N1504" s="1">
        <v>11242</v>
      </c>
      <c r="O1504" s="1">
        <v>50033630</v>
      </c>
      <c r="P1504" s="1" t="str">
        <f>"  پاليز راه نوين ماد"</f>
        <v xml:space="preserve">  پاليز راه نوين ماد</v>
      </c>
      <c r="Q1504" s="1">
        <v>62</v>
      </c>
      <c r="R1504" s="1" t="str">
        <f t="shared" si="403"/>
        <v>فروش داخلي - سازمان بنيادمسكن انقلاب اسلامي</v>
      </c>
      <c r="S1504" s="1" t="str">
        <f t="shared" si="391"/>
        <v>قرارداد فروش</v>
      </c>
      <c r="T1504" s="1" t="str">
        <f t="shared" si="392"/>
        <v>ندارد</v>
      </c>
      <c r="U1504" s="1" t="str">
        <f>"حاجيلوئي علي اصغر(2842019)"</f>
        <v>حاجيلوئي علي اصغر(2842019)</v>
      </c>
      <c r="V1504" s="1">
        <v>956200197</v>
      </c>
      <c r="W1504" s="1">
        <v>956200197</v>
      </c>
      <c r="X1504" s="1" t="str">
        <f>"1395463366"</f>
        <v>1395463366</v>
      </c>
      <c r="Y1504" s="1" t="str">
        <f>"95/11/19"</f>
        <v>95/11/19</v>
      </c>
      <c r="Z1504" s="1" t="str">
        <f>"49883/د"</f>
        <v>49883/د</v>
      </c>
      <c r="AA1504" s="1" t="str">
        <f t="shared" si="404"/>
        <v>بنيادمسكن انقلاب اسلامي</v>
      </c>
      <c r="AB1504" s="1" t="str">
        <f>"95/11/18"</f>
        <v>95/11/18</v>
      </c>
      <c r="AC1504" s="1" t="str">
        <f>"استان كردستان"</f>
        <v>استان كردستان</v>
      </c>
      <c r="AD1504" s="1" t="str">
        <f>"95/11/19"</f>
        <v>95/11/19</v>
      </c>
      <c r="AE1504" s="1" t="str">
        <f t="shared" si="400"/>
        <v>اختتام</v>
      </c>
      <c r="AF1504" s="1" t="str">
        <f>""</f>
        <v/>
      </c>
      <c r="AG1504" s="1" t="str">
        <f>""</f>
        <v/>
      </c>
      <c r="AH1504" s="1" t="str">
        <f>""</f>
        <v/>
      </c>
      <c r="AI1504" s="1" t="str">
        <f>""</f>
        <v/>
      </c>
      <c r="AJ1504" s="1" t="str">
        <f>""</f>
        <v/>
      </c>
      <c r="AK1504" s="1" t="str">
        <f>""</f>
        <v/>
      </c>
    </row>
    <row r="1505" spans="1:37" x14ac:dyDescent="0.2">
      <c r="A1505" s="1">
        <v>26000</v>
      </c>
      <c r="B1505" s="1">
        <v>956200205</v>
      </c>
      <c r="C1505" s="1" t="str">
        <f>"تخليه - کردستان - مريوان - کارخانه آسفالت گاران"</f>
        <v>تخليه - کردستان - مريوان - کارخانه آسفالت گاران</v>
      </c>
      <c r="D1505" s="1">
        <v>9361</v>
      </c>
      <c r="E1505" s="1">
        <v>25160</v>
      </c>
      <c r="F1505" s="1">
        <v>95</v>
      </c>
      <c r="G1505" s="1">
        <v>840</v>
      </c>
      <c r="H1505" s="1" t="str">
        <f>"95/11/19"</f>
        <v>95/11/19</v>
      </c>
      <c r="I1505" s="1" t="str">
        <f t="shared" si="390"/>
        <v>كيلوگرم</v>
      </c>
      <c r="J1505" s="1" t="str">
        <f t="shared" si="401"/>
        <v>1000000002</v>
      </c>
      <c r="K1505" s="1" t="str">
        <f t="shared" si="402"/>
        <v>قير 85/100 - فله</v>
      </c>
      <c r="L1505" s="1">
        <v>100</v>
      </c>
      <c r="M1505" s="1" t="str">
        <f t="shared" si="395"/>
        <v>مخازن قير اصفهان</v>
      </c>
      <c r="N1505" s="1">
        <v>11245</v>
      </c>
      <c r="O1505" s="1">
        <v>50033639</v>
      </c>
      <c r="P1505" s="1" t="str">
        <f>"  شينه چم زاگرس"</f>
        <v xml:space="preserve">  شينه چم زاگرس</v>
      </c>
      <c r="Q1505" s="1">
        <v>62</v>
      </c>
      <c r="R1505" s="1" t="str">
        <f t="shared" si="403"/>
        <v>فروش داخلي - سازمان بنيادمسكن انقلاب اسلامي</v>
      </c>
      <c r="S1505" s="1" t="str">
        <f t="shared" si="391"/>
        <v>قرارداد فروش</v>
      </c>
      <c r="T1505" s="1" t="str">
        <f t="shared" si="392"/>
        <v>ندارد</v>
      </c>
      <c r="U1505" s="1" t="str">
        <f>"ميهن دوست عبداله(2842010)"</f>
        <v>ميهن دوست عبداله(2842010)</v>
      </c>
      <c r="V1505" s="1">
        <v>956200205</v>
      </c>
      <c r="W1505" s="1">
        <v>956200205</v>
      </c>
      <c r="X1505" s="1" t="str">
        <f>"1395463366"</f>
        <v>1395463366</v>
      </c>
      <c r="Y1505" s="1" t="str">
        <f>"95/11/19"</f>
        <v>95/11/19</v>
      </c>
      <c r="Z1505" s="1" t="str">
        <f>"49893/د"</f>
        <v>49893/د</v>
      </c>
      <c r="AA1505" s="1" t="str">
        <f t="shared" si="404"/>
        <v>بنيادمسكن انقلاب اسلامي</v>
      </c>
      <c r="AB1505" s="1" t="str">
        <f>"95/11/18"</f>
        <v>95/11/18</v>
      </c>
      <c r="AC1505" s="1" t="str">
        <f>"استان كردستان"</f>
        <v>استان كردستان</v>
      </c>
      <c r="AD1505" s="1" t="str">
        <f>"95/11/19"</f>
        <v>95/11/19</v>
      </c>
      <c r="AE1505" s="1" t="str">
        <f t="shared" si="400"/>
        <v>اختتام</v>
      </c>
      <c r="AF1505" s="1" t="str">
        <f>""</f>
        <v/>
      </c>
      <c r="AG1505" s="1" t="str">
        <f>""</f>
        <v/>
      </c>
      <c r="AH1505" s="1" t="str">
        <f>""</f>
        <v/>
      </c>
      <c r="AI1505" s="1" t="str">
        <f>""</f>
        <v/>
      </c>
      <c r="AJ1505" s="1" t="str">
        <f>""</f>
        <v/>
      </c>
      <c r="AK1505" s="1" t="str">
        <f>""</f>
        <v/>
      </c>
    </row>
    <row r="1506" spans="1:37" x14ac:dyDescent="0.2">
      <c r="A1506" s="1">
        <v>128000</v>
      </c>
      <c r="B1506" s="1">
        <v>956200317</v>
      </c>
      <c r="C1506" s="1" t="str">
        <f>"تخليه همدان ملايرسامن كارخانه آسفالت شهرداري سامن"</f>
        <v>تخليه همدان ملايرسامن كارخانه آسفالت شهرداري سامن</v>
      </c>
      <c r="D1506" s="1">
        <v>8848</v>
      </c>
      <c r="E1506" s="1">
        <v>126340</v>
      </c>
      <c r="F1506" s="1">
        <v>95</v>
      </c>
      <c r="G1506" s="1">
        <v>1660</v>
      </c>
      <c r="H1506" s="1" t="str">
        <f>"95/12/11"</f>
        <v>95/12/11</v>
      </c>
      <c r="I1506" s="1" t="str">
        <f t="shared" si="390"/>
        <v>كيلوگرم</v>
      </c>
      <c r="J1506" s="1" t="str">
        <f t="shared" si="401"/>
        <v>1000000002</v>
      </c>
      <c r="K1506" s="1" t="str">
        <f t="shared" si="402"/>
        <v>قير 85/100 - فله</v>
      </c>
      <c r="L1506" s="1">
        <v>100</v>
      </c>
      <c r="M1506" s="1" t="str">
        <f t="shared" si="395"/>
        <v>مخازن قير اصفهان</v>
      </c>
      <c r="N1506" s="1">
        <v>11252</v>
      </c>
      <c r="O1506" s="1">
        <v>50033965</v>
      </c>
      <c r="P1506" s="1" t="str">
        <f>"  عمران سديدجم"</f>
        <v xml:space="preserve">  عمران سديدجم</v>
      </c>
      <c r="Q1506" s="1">
        <v>62</v>
      </c>
      <c r="R1506" s="1" t="str">
        <f t="shared" si="403"/>
        <v>فروش داخلي - سازمان بنيادمسكن انقلاب اسلامي</v>
      </c>
      <c r="S1506" s="1" t="str">
        <f t="shared" si="391"/>
        <v>قرارداد فروش</v>
      </c>
      <c r="T1506" s="1" t="str">
        <f t="shared" si="392"/>
        <v>ندارد</v>
      </c>
      <c r="U1506" s="1" t="str">
        <f>"حاجيلوئي علي اصغر(2842019)"</f>
        <v>حاجيلوئي علي اصغر(2842019)</v>
      </c>
      <c r="V1506" s="1">
        <v>956200317</v>
      </c>
      <c r="W1506" s="1">
        <v>956200317</v>
      </c>
      <c r="X1506" s="1" t="str">
        <f>"1395468780"</f>
        <v>1395468780</v>
      </c>
      <c r="Y1506" s="1" t="str">
        <f>"95/12/11"</f>
        <v>95/12/11</v>
      </c>
      <c r="Z1506" s="1" t="str">
        <f>"54617/د"</f>
        <v>54617/د</v>
      </c>
      <c r="AA1506" s="1" t="str">
        <f t="shared" si="404"/>
        <v>بنيادمسكن انقلاب اسلامي</v>
      </c>
      <c r="AB1506" s="1" t="str">
        <f>"95/12/10"</f>
        <v>95/12/10</v>
      </c>
      <c r="AC1506" s="1" t="str">
        <f>"استان همدان"</f>
        <v>استان همدان</v>
      </c>
      <c r="AD1506" s="1" t="str">
        <f>"95/12/11"</f>
        <v>95/12/11</v>
      </c>
      <c r="AE1506" s="1" t="str">
        <f t="shared" si="400"/>
        <v>اختتام</v>
      </c>
      <c r="AF1506" s="1" t="str">
        <f>""</f>
        <v/>
      </c>
      <c r="AG1506" s="1" t="str">
        <f>""</f>
        <v/>
      </c>
      <c r="AH1506" s="1" t="str">
        <f>""</f>
        <v/>
      </c>
      <c r="AI1506" s="1" t="str">
        <f>""</f>
        <v/>
      </c>
      <c r="AJ1506" s="1" t="str">
        <f>""</f>
        <v/>
      </c>
      <c r="AK1506" s="1" t="str">
        <f>""</f>
        <v/>
      </c>
    </row>
    <row r="1507" spans="1:37" x14ac:dyDescent="0.2">
      <c r="A1507" s="1">
        <v>244000</v>
      </c>
      <c r="B1507" s="1">
        <v>956200283</v>
      </c>
      <c r="C1507" s="1" t="str">
        <f>"تخليه همدان ملايرسامن كارخانه آسفالت شهرداري سامن"</f>
        <v>تخليه همدان ملايرسامن كارخانه آسفالت شهرداري سامن</v>
      </c>
      <c r="D1507" s="1">
        <v>8848</v>
      </c>
      <c r="E1507" s="1">
        <v>240320</v>
      </c>
      <c r="F1507" s="1">
        <v>95</v>
      </c>
      <c r="G1507" s="1">
        <v>3680</v>
      </c>
      <c r="H1507" s="1" t="str">
        <f>"95/12/04"</f>
        <v>95/12/04</v>
      </c>
      <c r="I1507" s="1" t="str">
        <f t="shared" si="390"/>
        <v>كيلوگرم</v>
      </c>
      <c r="J1507" s="1" t="str">
        <f t="shared" si="401"/>
        <v>1000000002</v>
      </c>
      <c r="K1507" s="1" t="str">
        <f t="shared" si="402"/>
        <v>قير 85/100 - فله</v>
      </c>
      <c r="L1507" s="1">
        <v>100</v>
      </c>
      <c r="M1507" s="1" t="str">
        <f t="shared" si="395"/>
        <v>مخازن قير اصفهان</v>
      </c>
      <c r="N1507" s="1">
        <v>11252</v>
      </c>
      <c r="O1507" s="1">
        <v>50034046</v>
      </c>
      <c r="P1507" s="1" t="str">
        <f>"  عمران سديدجم"</f>
        <v xml:space="preserve">  عمران سديدجم</v>
      </c>
      <c r="Q1507" s="1">
        <v>62</v>
      </c>
      <c r="R1507" s="1" t="str">
        <f t="shared" si="403"/>
        <v>فروش داخلي - سازمان بنيادمسكن انقلاب اسلامي</v>
      </c>
      <c r="S1507" s="1" t="str">
        <f t="shared" si="391"/>
        <v>قرارداد فروش</v>
      </c>
      <c r="T1507" s="1" t="str">
        <f t="shared" si="392"/>
        <v>ندارد</v>
      </c>
      <c r="U1507" s="1" t="str">
        <f>"حاجيلوئي علي اصغر(2842019)"</f>
        <v>حاجيلوئي علي اصغر(2842019)</v>
      </c>
      <c r="V1507" s="1">
        <v>956200283</v>
      </c>
      <c r="W1507" s="1">
        <v>956200283</v>
      </c>
      <c r="X1507" s="1" t="str">
        <f>"1395467358"</f>
        <v>1395467358</v>
      </c>
      <c r="Y1507" s="1" t="str">
        <f>"95/12/04"</f>
        <v>95/12/04</v>
      </c>
      <c r="Z1507" s="1" t="str">
        <f>"53046/د"</f>
        <v>53046/د</v>
      </c>
      <c r="AA1507" s="1" t="str">
        <f t="shared" si="404"/>
        <v>بنيادمسكن انقلاب اسلامي</v>
      </c>
      <c r="AB1507" s="1" t="str">
        <f>"95/12/03"</f>
        <v>95/12/03</v>
      </c>
      <c r="AC1507" s="1" t="str">
        <f>"استان همدان"</f>
        <v>استان همدان</v>
      </c>
      <c r="AD1507" s="1" t="str">
        <f>"95/12/04"</f>
        <v>95/12/04</v>
      </c>
      <c r="AE1507" s="1" t="str">
        <f t="shared" si="400"/>
        <v>اختتام</v>
      </c>
      <c r="AF1507" s="1" t="str">
        <f>""</f>
        <v/>
      </c>
      <c r="AG1507" s="1" t="str">
        <f>""</f>
        <v/>
      </c>
      <c r="AH1507" s="1" t="str">
        <f>""</f>
        <v/>
      </c>
      <c r="AI1507" s="1" t="str">
        <f>""</f>
        <v/>
      </c>
      <c r="AJ1507" s="1" t="str">
        <f>""</f>
        <v/>
      </c>
      <c r="AK1507" s="1" t="str">
        <f>""</f>
        <v/>
      </c>
    </row>
    <row r="1508" spans="1:37" x14ac:dyDescent="0.2">
      <c r="A1508" s="1">
        <v>18000</v>
      </c>
      <c r="B1508" s="1">
        <v>956200232</v>
      </c>
      <c r="C1508" s="1" t="str">
        <f>"تخليه-آذربايجان شرقي - ملکان -بعداز روستاي قلي کندي -کارخانه آسفالت رحيم خاني"</f>
        <v>تخليه-آذربايجان شرقي - ملکان -بعداز روستاي قلي کندي -کارخانه آسفالت رحيم خاني</v>
      </c>
      <c r="D1508" s="1">
        <v>9361</v>
      </c>
      <c r="E1508" s="1">
        <v>18000</v>
      </c>
      <c r="F1508" s="1">
        <v>95</v>
      </c>
      <c r="G1508" s="1">
        <v>0</v>
      </c>
      <c r="H1508" s="1" t="str">
        <f>"95/11/25"</f>
        <v>95/11/25</v>
      </c>
      <c r="I1508" s="1" t="str">
        <f t="shared" si="390"/>
        <v>كيلوگرم</v>
      </c>
      <c r="J1508" s="1" t="str">
        <f t="shared" si="401"/>
        <v>1000000002</v>
      </c>
      <c r="K1508" s="1" t="str">
        <f t="shared" si="402"/>
        <v>قير 85/100 - فله</v>
      </c>
      <c r="L1508" s="1">
        <v>100</v>
      </c>
      <c r="M1508" s="1" t="str">
        <f t="shared" si="395"/>
        <v>مخازن قير اصفهان</v>
      </c>
      <c r="N1508" s="1">
        <v>11255</v>
      </c>
      <c r="O1508" s="1">
        <v>50033742</v>
      </c>
      <c r="P1508" s="1" t="str">
        <f>"  آهاب بتن نيک پي"</f>
        <v xml:space="preserve">  آهاب بتن نيک پي</v>
      </c>
      <c r="Q1508" s="1">
        <v>62</v>
      </c>
      <c r="R1508" s="1" t="str">
        <f t="shared" si="403"/>
        <v>فروش داخلي - سازمان بنيادمسكن انقلاب اسلامي</v>
      </c>
      <c r="S1508" s="1" t="str">
        <f t="shared" si="391"/>
        <v>قرارداد فروش</v>
      </c>
      <c r="T1508" s="1" t="str">
        <f t="shared" si="392"/>
        <v>ندارد</v>
      </c>
      <c r="U1508" s="1" t="str">
        <f>"رزاقي حسين (3903025)"</f>
        <v>رزاقي حسين (3903025)</v>
      </c>
      <c r="V1508" s="1">
        <v>956200232</v>
      </c>
      <c r="W1508" s="1">
        <v>956200232</v>
      </c>
      <c r="X1508" s="1" t="str">
        <f>"1395464671"</f>
        <v>1395464671</v>
      </c>
      <c r="Y1508" s="1" t="str">
        <f>"95/11/25"</f>
        <v>95/11/25</v>
      </c>
      <c r="Z1508" s="1" t="str">
        <f>"51022/د"</f>
        <v>51022/د</v>
      </c>
      <c r="AA1508" s="1" t="str">
        <f t="shared" si="404"/>
        <v>بنيادمسكن انقلاب اسلامي</v>
      </c>
      <c r="AB1508" s="1" t="str">
        <f>"95/11/24"</f>
        <v>95/11/24</v>
      </c>
      <c r="AC1508" s="1" t="str">
        <f>"استان آذربايجان شرقي"</f>
        <v>استان آذربايجان شرقي</v>
      </c>
      <c r="AD1508" s="1" t="str">
        <f>"95/11/25"</f>
        <v>95/11/25</v>
      </c>
      <c r="AE1508" s="1" t="str">
        <f t="shared" si="400"/>
        <v>اختتام</v>
      </c>
      <c r="AF1508" s="1" t="str">
        <f>""</f>
        <v/>
      </c>
      <c r="AG1508" s="1" t="str">
        <f>""</f>
        <v/>
      </c>
      <c r="AH1508" s="1" t="str">
        <f>""</f>
        <v/>
      </c>
      <c r="AI1508" s="1" t="str">
        <f>""</f>
        <v/>
      </c>
      <c r="AJ1508" s="1" t="str">
        <f>""</f>
        <v/>
      </c>
      <c r="AK1508" s="1" t="str">
        <f>""</f>
        <v/>
      </c>
    </row>
    <row r="1509" spans="1:37" x14ac:dyDescent="0.2">
      <c r="A1509" s="1">
        <v>56000</v>
      </c>
      <c r="B1509" s="1">
        <v>956200322</v>
      </c>
      <c r="C1509" s="1" t="str">
        <f>"تخليه - همدان - صالح آباد -کارخانه آسفالت صالح آباد"</f>
        <v>تخليه - همدان - صالح آباد -کارخانه آسفالت صالح آباد</v>
      </c>
      <c r="D1509" s="1">
        <v>8848</v>
      </c>
      <c r="E1509" s="1">
        <v>55000</v>
      </c>
      <c r="F1509" s="1">
        <v>95</v>
      </c>
      <c r="G1509" s="1">
        <v>1000</v>
      </c>
      <c r="H1509" s="1" t="str">
        <f>"95/12/11"</f>
        <v>95/12/11</v>
      </c>
      <c r="I1509" s="1" t="str">
        <f t="shared" si="390"/>
        <v>كيلوگرم</v>
      </c>
      <c r="J1509" s="1" t="str">
        <f t="shared" si="401"/>
        <v>1000000002</v>
      </c>
      <c r="K1509" s="1" t="str">
        <f t="shared" si="402"/>
        <v>قير 85/100 - فله</v>
      </c>
      <c r="L1509" s="1">
        <v>100</v>
      </c>
      <c r="M1509" s="1" t="str">
        <f t="shared" si="395"/>
        <v>مخازن قير اصفهان</v>
      </c>
      <c r="N1509" s="1">
        <v>11286</v>
      </c>
      <c r="O1509" s="1">
        <v>50033976</v>
      </c>
      <c r="P1509" s="1" t="str">
        <f>"  سايه آسا همدان"</f>
        <v xml:space="preserve">  سايه آسا همدان</v>
      </c>
      <c r="Q1509" s="1">
        <v>62</v>
      </c>
      <c r="R1509" s="1" t="str">
        <f t="shared" si="403"/>
        <v>فروش داخلي - سازمان بنيادمسكن انقلاب اسلامي</v>
      </c>
      <c r="S1509" s="1" t="str">
        <f t="shared" si="391"/>
        <v>قرارداد فروش</v>
      </c>
      <c r="T1509" s="1" t="str">
        <f t="shared" si="392"/>
        <v>ندارد</v>
      </c>
      <c r="U1509" s="1" t="str">
        <f>"حاجيلوئي علي اصغر(2842019)"</f>
        <v>حاجيلوئي علي اصغر(2842019)</v>
      </c>
      <c r="V1509" s="1">
        <v>956200322</v>
      </c>
      <c r="W1509" s="1">
        <v>956200322</v>
      </c>
      <c r="X1509" s="1" t="str">
        <f>"1395468780"</f>
        <v>1395468780</v>
      </c>
      <c r="Y1509" s="1" t="str">
        <f>"95/12/11"</f>
        <v>95/12/11</v>
      </c>
      <c r="Z1509" s="1" t="str">
        <f>"54615/د"</f>
        <v>54615/د</v>
      </c>
      <c r="AA1509" s="1" t="str">
        <f t="shared" si="404"/>
        <v>بنيادمسكن انقلاب اسلامي</v>
      </c>
      <c r="AB1509" s="1" t="str">
        <f>"95/12/10"</f>
        <v>95/12/10</v>
      </c>
      <c r="AC1509" s="1" t="str">
        <f>"استان همدان"</f>
        <v>استان همدان</v>
      </c>
      <c r="AD1509" s="1" t="str">
        <f>"95/12/11"</f>
        <v>95/12/11</v>
      </c>
      <c r="AE1509" s="1" t="str">
        <f t="shared" si="400"/>
        <v>اختتام</v>
      </c>
      <c r="AF1509" s="1" t="str">
        <f>""</f>
        <v/>
      </c>
      <c r="AG1509" s="1" t="str">
        <f>""</f>
        <v/>
      </c>
      <c r="AH1509" s="1" t="str">
        <f>""</f>
        <v/>
      </c>
      <c r="AI1509" s="1" t="str">
        <f>""</f>
        <v/>
      </c>
      <c r="AJ1509" s="1" t="str">
        <f>""</f>
        <v/>
      </c>
      <c r="AK1509" s="1" t="str">
        <f>""</f>
        <v/>
      </c>
    </row>
    <row r="1510" spans="1:37" x14ac:dyDescent="0.2">
      <c r="A1510" s="1">
        <v>150000</v>
      </c>
      <c r="B1510" s="1">
        <v>956100026</v>
      </c>
      <c r="C1510" s="1" t="str">
        <f>"تخليه يزدبافق سازمان همياري شهرداري يزد"</f>
        <v>تخليه يزدبافق سازمان همياري شهرداري يزد</v>
      </c>
      <c r="D1510" s="1">
        <v>9068</v>
      </c>
      <c r="E1510" s="1">
        <v>149800</v>
      </c>
      <c r="F1510" s="1">
        <v>95</v>
      </c>
      <c r="G1510" s="1">
        <v>200</v>
      </c>
      <c r="H1510" s="1" t="str">
        <f>"95/12/25"</f>
        <v>95/12/25</v>
      </c>
      <c r="I1510" s="1" t="str">
        <f t="shared" si="390"/>
        <v>كيلوگرم</v>
      </c>
      <c r="J1510" s="1" t="str">
        <f>"0000000091"</f>
        <v>0000000091</v>
      </c>
      <c r="K1510" s="1" t="str">
        <f>"قير  PG64-22"</f>
        <v>قير  PG64-22</v>
      </c>
      <c r="L1510" s="1">
        <v>100</v>
      </c>
      <c r="M1510" s="1" t="str">
        <f t="shared" si="395"/>
        <v>مخازن قير اصفهان</v>
      </c>
      <c r="N1510" s="1">
        <v>1602</v>
      </c>
      <c r="O1510" s="1">
        <v>50034270</v>
      </c>
      <c r="P1510" s="1" t="str">
        <f>"  اداره كل راه و شهرسازي يزد"</f>
        <v xml:space="preserve">  اداره كل راه و شهرسازي يزد</v>
      </c>
      <c r="Q1510" s="1">
        <v>61</v>
      </c>
      <c r="R1510" s="1" t="str">
        <f>"فروش داخلي - وزارت راه - مسكن مهر"</f>
        <v>فروش داخلي - وزارت راه - مسكن مهر</v>
      </c>
      <c r="S1510" s="1" t="str">
        <f t="shared" si="391"/>
        <v>قرارداد فروش</v>
      </c>
      <c r="T1510" s="1" t="str">
        <f t="shared" si="392"/>
        <v>ندارد</v>
      </c>
      <c r="U1510" s="1" t="str">
        <f>"قانعي محمدرضا(1011ج89)"</f>
        <v>قانعي محمدرضا(1011ج89)</v>
      </c>
      <c r="V1510" s="1">
        <v>956100026</v>
      </c>
      <c r="W1510" s="1">
        <v>956100026</v>
      </c>
      <c r="X1510" s="1" t="str">
        <f>"1395471034"</f>
        <v>1395471034</v>
      </c>
      <c r="Y1510" s="1" t="str">
        <f>"95/12/25"</f>
        <v>95/12/25</v>
      </c>
      <c r="Z1510" s="1" t="str">
        <f>"66342/710"</f>
        <v>66342/710</v>
      </c>
      <c r="AA1510" s="1" t="str">
        <f>"مسكن مهر-وزارت راه"</f>
        <v>مسكن مهر-وزارت راه</v>
      </c>
      <c r="AB1510" s="1" t="str">
        <f>"95/12/23"</f>
        <v>95/12/23</v>
      </c>
      <c r="AC1510" s="1" t="str">
        <f>"استان يزد"</f>
        <v>استان يزد</v>
      </c>
      <c r="AD1510" s="1" t="str">
        <f>"95/12/25"</f>
        <v>95/12/25</v>
      </c>
      <c r="AE1510" s="1" t="str">
        <f t="shared" si="400"/>
        <v>اختتام</v>
      </c>
      <c r="AF1510" s="1" t="str">
        <f>""</f>
        <v/>
      </c>
      <c r="AG1510" s="1" t="str">
        <f>""</f>
        <v/>
      </c>
      <c r="AH1510" s="1" t="str">
        <f>""</f>
        <v/>
      </c>
      <c r="AI1510" s="1" t="str">
        <f>""</f>
        <v/>
      </c>
      <c r="AJ1510" s="1" t="str">
        <f>""</f>
        <v/>
      </c>
      <c r="AK1510" s="1" t="str">
        <f>""</f>
        <v/>
      </c>
    </row>
    <row r="1511" spans="1:37" x14ac:dyDescent="0.2">
      <c r="A1511" s="1">
        <v>50000</v>
      </c>
      <c r="B1511" s="1">
        <v>951100091</v>
      </c>
      <c r="C1511" s="1" t="str">
        <f>"تخليه -يزد-كيلومتر63محوراردكان -چوپانان -جهادنصريزد"</f>
        <v>تخليه -يزد-كيلومتر63محوراردكان -چوپانان -جهادنصريزد</v>
      </c>
      <c r="D1511" s="1">
        <v>10200</v>
      </c>
      <c r="E1511" s="1">
        <v>47780</v>
      </c>
      <c r="F1511" s="1">
        <v>95</v>
      </c>
      <c r="G1511" s="1">
        <v>2220</v>
      </c>
      <c r="H1511" s="1" t="str">
        <f>"95/05/06"</f>
        <v>95/05/06</v>
      </c>
      <c r="I1511" s="1" t="str">
        <f t="shared" si="390"/>
        <v>كيلوگرم</v>
      </c>
      <c r="J1511" s="1" t="str">
        <f>"1000000003"</f>
        <v>1000000003</v>
      </c>
      <c r="K1511" s="1" t="str">
        <f>"قير MC250"</f>
        <v>قير MC250</v>
      </c>
      <c r="L1511" s="1">
        <v>100</v>
      </c>
      <c r="M1511" s="1" t="str">
        <f t="shared" si="395"/>
        <v>مخازن قير اصفهان</v>
      </c>
      <c r="N1511" s="1">
        <v>1665</v>
      </c>
      <c r="O1511" s="1">
        <v>50031375</v>
      </c>
      <c r="P1511" s="1" t="str">
        <f>"  جهاد نصر يزد"</f>
        <v xml:space="preserve">  جهاد نصر يزد</v>
      </c>
      <c r="Q1511" s="1">
        <v>11</v>
      </c>
      <c r="R1511" s="1" t="str">
        <f>"فروش داخلي تهران - بورس"</f>
        <v>فروش داخلي تهران - بورس</v>
      </c>
      <c r="S1511" s="1" t="str">
        <f t="shared" si="391"/>
        <v>قرارداد فروش</v>
      </c>
      <c r="T1511" s="1" t="str">
        <f t="shared" si="392"/>
        <v>ندارد</v>
      </c>
      <c r="U1511" s="1" t="str">
        <f>"غلام نجفي سيامك‌‌‌‌‌‌(1881082)"</f>
        <v>غلام نجفي سيامك‌‌‌‌‌‌(1881082)</v>
      </c>
      <c r="V1511" s="1">
        <v>951100091</v>
      </c>
      <c r="W1511" s="1">
        <v>951100091</v>
      </c>
      <c r="X1511" s="1" t="str">
        <f>"1395419170"</f>
        <v>1395419170</v>
      </c>
      <c r="Y1511" s="1" t="str">
        <f>"95/05/06"</f>
        <v>95/05/06</v>
      </c>
      <c r="Z1511" s="1" t="str">
        <f>"2816/ن/ش/95"</f>
        <v>2816/ن/ش/95</v>
      </c>
      <c r="AA1511" s="1" t="str">
        <f>"راه سازي"</f>
        <v>راه سازي</v>
      </c>
      <c r="AB1511" s="1" t="str">
        <f>"95/04/27"</f>
        <v>95/04/27</v>
      </c>
      <c r="AC1511" s="1" t="str">
        <f>"استان يزد"</f>
        <v>استان يزد</v>
      </c>
      <c r="AD1511" s="1" t="str">
        <f>"95/05/06"</f>
        <v>95/05/06</v>
      </c>
      <c r="AE1511" s="1" t="str">
        <f t="shared" si="400"/>
        <v>اختتام</v>
      </c>
      <c r="AF1511" s="1" t="str">
        <f>""</f>
        <v/>
      </c>
      <c r="AG1511" s="1" t="str">
        <f>""</f>
        <v/>
      </c>
      <c r="AH1511" s="1" t="str">
        <f>""</f>
        <v/>
      </c>
      <c r="AI1511" s="1" t="str">
        <f>""</f>
        <v/>
      </c>
      <c r="AJ1511" s="1" t="str">
        <f>""</f>
        <v/>
      </c>
      <c r="AK1511" s="1" t="str">
        <f>""</f>
        <v/>
      </c>
    </row>
    <row r="1512" spans="1:37" x14ac:dyDescent="0.2">
      <c r="A1512" s="1">
        <v>500000</v>
      </c>
      <c r="B1512" s="1">
        <v>951900208</v>
      </c>
      <c r="C1512" s="1" t="str">
        <f>"تخليه -يزدجاده فهرج -كارخانه آسفالت گسترنصريزد"</f>
        <v>تخليه -يزدجاده فهرج -كارخانه آسفالت گسترنصريزد</v>
      </c>
      <c r="D1512" s="1">
        <v>7276</v>
      </c>
      <c r="E1512" s="1">
        <v>232300</v>
      </c>
      <c r="F1512" s="1">
        <v>95</v>
      </c>
      <c r="G1512" s="1">
        <v>267700</v>
      </c>
      <c r="H1512" s="1" t="str">
        <f>"95/09/06"</f>
        <v>95/09/06</v>
      </c>
      <c r="I1512" s="1" t="str">
        <f t="shared" si="390"/>
        <v>كيلوگرم</v>
      </c>
      <c r="J1512" s="1" t="str">
        <f>"0000000091"</f>
        <v>0000000091</v>
      </c>
      <c r="K1512" s="1" t="str">
        <f>"قير  PG64-22"</f>
        <v>قير  PG64-22</v>
      </c>
      <c r="L1512" s="1">
        <v>100</v>
      </c>
      <c r="M1512" s="1" t="str">
        <f t="shared" si="395"/>
        <v>مخازن قير اصفهان</v>
      </c>
      <c r="N1512" s="1">
        <v>1665</v>
      </c>
      <c r="O1512" s="1">
        <v>50032679</v>
      </c>
      <c r="P1512" s="1" t="str">
        <f>"  جهاد نصر يزد"</f>
        <v xml:space="preserve">  جهاد نصر يزد</v>
      </c>
      <c r="Q1512" s="1">
        <v>19</v>
      </c>
      <c r="R15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12" s="1" t="str">
        <f t="shared" si="391"/>
        <v>قرارداد فروش</v>
      </c>
      <c r="T1512" s="1" t="str">
        <f t="shared" si="392"/>
        <v>ندارد</v>
      </c>
      <c r="U1512" s="1" t="str">
        <f>"غلام نجفي سيامك‌‌‌‌‌‌(1881082)"</f>
        <v>غلام نجفي سيامك‌‌‌‌‌‌(1881082)</v>
      </c>
      <c r="V1512" s="1">
        <v>951900208</v>
      </c>
      <c r="W1512" s="1">
        <v>951900208</v>
      </c>
      <c r="X1512" s="1" t="str">
        <f>"1395447677"</f>
        <v>1395447677</v>
      </c>
      <c r="Y1512" s="1" t="str">
        <f>"95/09/06"</f>
        <v>95/09/06</v>
      </c>
      <c r="Z1512" s="1" t="str">
        <f>"42077/710"</f>
        <v>42077/710</v>
      </c>
      <c r="AA1512" s="1" t="str">
        <f>"سازمان راهداري وحمل نقل جاده اي"</f>
        <v>سازمان راهداري وحمل نقل جاده اي</v>
      </c>
      <c r="AB1512" s="1" t="str">
        <f>"95/08/29"</f>
        <v>95/08/29</v>
      </c>
      <c r="AC1512" s="1" t="str">
        <f>"استان يزد"</f>
        <v>استان يزد</v>
      </c>
      <c r="AD1512" s="1" t="str">
        <f>"95/09/06"</f>
        <v>95/09/06</v>
      </c>
      <c r="AE1512" s="1" t="str">
        <f t="shared" si="400"/>
        <v>اختتام</v>
      </c>
      <c r="AF1512" s="1" t="str">
        <f>""</f>
        <v/>
      </c>
      <c r="AG1512" s="1" t="str">
        <f>""</f>
        <v/>
      </c>
      <c r="AH1512" s="1" t="str">
        <f>""</f>
        <v/>
      </c>
      <c r="AI1512" s="1" t="str">
        <f>""</f>
        <v/>
      </c>
      <c r="AJ1512" s="1" t="str">
        <f>""</f>
        <v/>
      </c>
      <c r="AK1512" s="1" t="str">
        <f>""</f>
        <v/>
      </c>
    </row>
    <row r="1513" spans="1:37" x14ac:dyDescent="0.2">
      <c r="A1513" s="1">
        <v>500000</v>
      </c>
      <c r="B1513" s="1">
        <v>951900011</v>
      </c>
      <c r="C1513" s="1" t="str">
        <f>"تخليه -خراسان جنوبي -بيرجند-كارخانه آسفالت شماره 2"</f>
        <v>تخليه -خراسان جنوبي -بيرجند-كارخانه آسفالت شماره 2</v>
      </c>
      <c r="D1513" s="1">
        <v>5650</v>
      </c>
      <c r="E1513" s="1">
        <v>239240</v>
      </c>
      <c r="F1513" s="1">
        <v>95</v>
      </c>
      <c r="G1513" s="1">
        <v>260760</v>
      </c>
      <c r="H1513" s="1" t="str">
        <f>"95/02/14"</f>
        <v>95/02/14</v>
      </c>
      <c r="I1513" s="1" t="str">
        <f t="shared" si="390"/>
        <v>كيلوگرم</v>
      </c>
      <c r="J1513" s="1" t="str">
        <f>"0000000091"</f>
        <v>0000000091</v>
      </c>
      <c r="K1513" s="1" t="str">
        <f>"قير  PG64-22"</f>
        <v>قير  PG64-22</v>
      </c>
      <c r="L1513" s="1">
        <v>100</v>
      </c>
      <c r="M1513" s="1" t="str">
        <f t="shared" si="395"/>
        <v>مخازن قير اصفهان</v>
      </c>
      <c r="N1513" s="1">
        <v>4012</v>
      </c>
      <c r="O1513" s="1">
        <v>50030724</v>
      </c>
      <c r="P1513" s="1" t="str">
        <f>"  اداره كل راه و شهرسازي خراسان جنوبي"</f>
        <v xml:space="preserve">  اداره كل راه و شهرسازي خراسان جنوبي</v>
      </c>
      <c r="Q1513" s="1">
        <v>19</v>
      </c>
      <c r="R151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13" s="1" t="str">
        <f t="shared" si="391"/>
        <v>قرارداد فروش</v>
      </c>
      <c r="T1513" s="1" t="str">
        <f t="shared" si="392"/>
        <v>ندارد</v>
      </c>
      <c r="U1513" s="1" t="str">
        <f>"مظفري مرتضي(4844023)"</f>
        <v>مظفري مرتضي(4844023)</v>
      </c>
      <c r="V1513" s="1">
        <v>951900011</v>
      </c>
      <c r="W1513" s="1">
        <v>951900011</v>
      </c>
      <c r="X1513" s="1" t="str">
        <f>"1395401944"</f>
        <v>1395401944</v>
      </c>
      <c r="Y1513" s="1" t="str">
        <f>"95/02/14"</f>
        <v>95/02/14</v>
      </c>
      <c r="Z1513" s="1" t="str">
        <f>"67433/510"</f>
        <v>67433/510</v>
      </c>
      <c r="AA1513" s="1" t="str">
        <f>"سازمان راهداري وحمل نقل جاده اي"</f>
        <v>سازمان راهداري وحمل نقل جاده اي</v>
      </c>
      <c r="AB1513" s="1" t="str">
        <f>"94/12/09"</f>
        <v>94/12/09</v>
      </c>
      <c r="AC1513" s="1" t="str">
        <f>"خراسان جنوبي"</f>
        <v>خراسان جنوبي</v>
      </c>
      <c r="AD1513" s="1" t="str">
        <f>"95/02/11"</f>
        <v>95/02/11</v>
      </c>
      <c r="AE1513" s="1" t="str">
        <f t="shared" si="400"/>
        <v>اختتام</v>
      </c>
      <c r="AF1513" s="1" t="str">
        <f>""</f>
        <v/>
      </c>
      <c r="AG1513" s="1" t="str">
        <f>""</f>
        <v/>
      </c>
      <c r="AH1513" s="1" t="str">
        <f>""</f>
        <v/>
      </c>
      <c r="AI1513" s="1" t="str">
        <f>""</f>
        <v/>
      </c>
      <c r="AJ1513" s="1" t="str">
        <f>""</f>
        <v/>
      </c>
      <c r="AK1513" s="1" t="str">
        <f>""</f>
        <v/>
      </c>
    </row>
    <row r="1514" spans="1:37" x14ac:dyDescent="0.2">
      <c r="A1514" s="1">
        <v>84000</v>
      </c>
      <c r="B1514" s="1">
        <v>951700007</v>
      </c>
      <c r="C1514" s="1" t="str">
        <f>"تخليه -خراسان جنوبي -شهرستان نيمبلوك شهرداري نيمبلوك"</f>
        <v>تخليه -خراسان جنوبي -شهرستان نيمبلوك شهرداري نيمبلوك</v>
      </c>
      <c r="D1514" s="1">
        <v>5650</v>
      </c>
      <c r="E1514" s="1">
        <v>83460</v>
      </c>
      <c r="F1514" s="1">
        <v>95</v>
      </c>
      <c r="G1514" s="1">
        <v>540</v>
      </c>
      <c r="H1514" s="1" t="str">
        <f>"95/02/14"</f>
        <v>95/02/14</v>
      </c>
      <c r="I1514" s="1" t="str">
        <f t="shared" si="390"/>
        <v>كيلوگرم</v>
      </c>
      <c r="J1514" s="1" t="str">
        <f>"0000000091"</f>
        <v>0000000091</v>
      </c>
      <c r="K1514" s="1" t="str">
        <f>"قير  PG64-22"</f>
        <v>قير  PG64-22</v>
      </c>
      <c r="L1514" s="1">
        <v>100</v>
      </c>
      <c r="M1514" s="1" t="str">
        <f t="shared" si="395"/>
        <v>مخازن قير اصفهان</v>
      </c>
      <c r="N1514" s="1">
        <v>4012</v>
      </c>
      <c r="O1514" s="1">
        <v>50030737</v>
      </c>
      <c r="P1514" s="1" t="str">
        <f>"  اداره كل راه و شهرسازي خراسان جنوبي"</f>
        <v xml:space="preserve">  اداره كل راه و شهرسازي خراسان جنوبي</v>
      </c>
      <c r="Q1514" s="1">
        <v>17</v>
      </c>
      <c r="R1514" s="1" t="str">
        <f>"فروش داخلي تهران - وزارت راه - راه روستايي - روکش"</f>
        <v>فروش داخلي تهران - وزارت راه - راه روستايي - روکش</v>
      </c>
      <c r="S1514" s="1" t="str">
        <f t="shared" si="391"/>
        <v>قرارداد فروش</v>
      </c>
      <c r="T1514" s="1" t="str">
        <f t="shared" si="392"/>
        <v>ندارد</v>
      </c>
      <c r="U1514" s="1" t="str">
        <f>"كاردان اسپادان راه مصطفي  (1911100)"</f>
        <v>كاردان اسپادان راه مصطفي  (1911100)</v>
      </c>
      <c r="V1514" s="1">
        <v>951700007</v>
      </c>
      <c r="W1514" s="1">
        <v>951700007</v>
      </c>
      <c r="X1514" s="1" t="str">
        <f>"1395401944"</f>
        <v>1395401944</v>
      </c>
      <c r="Y1514" s="1" t="str">
        <f>"95/02/14"</f>
        <v>95/02/14</v>
      </c>
      <c r="Z1514" s="1" t="str">
        <f>"69005/510"</f>
        <v>69005/510</v>
      </c>
      <c r="AA1514" s="1" t="str">
        <f>"راه روستائي -روكش"</f>
        <v>راه روستائي -روكش</v>
      </c>
      <c r="AB1514" s="1" t="str">
        <f>"94/12/17"</f>
        <v>94/12/17</v>
      </c>
      <c r="AC1514" s="1" t="str">
        <f>"خراسان جنوبي"</f>
        <v>خراسان جنوبي</v>
      </c>
      <c r="AD1514" s="1" t="str">
        <f>"95/02/11"</f>
        <v>95/02/11</v>
      </c>
      <c r="AE1514" s="1" t="str">
        <f t="shared" si="400"/>
        <v>اختتام</v>
      </c>
      <c r="AF1514" s="1" t="str">
        <f>""</f>
        <v/>
      </c>
      <c r="AG1514" s="1" t="str">
        <f>""</f>
        <v/>
      </c>
      <c r="AH1514" s="1" t="str">
        <f>""</f>
        <v/>
      </c>
      <c r="AI1514" s="1" t="str">
        <f>""</f>
        <v/>
      </c>
      <c r="AJ1514" s="1" t="str">
        <f>""</f>
        <v/>
      </c>
      <c r="AK1514" s="1" t="str">
        <f>""</f>
        <v/>
      </c>
    </row>
    <row r="1515" spans="1:37" x14ac:dyDescent="0.2">
      <c r="A1515" s="1">
        <v>50000</v>
      </c>
      <c r="B1515" s="1">
        <v>951100034</v>
      </c>
      <c r="C1515" s="1" t="str">
        <f>"تخليه -اصفهان -جاده دهق علويچه -15کيلومترمانده گلپايگان"</f>
        <v>تخليه -اصفهان -جاده دهق علويچه -15کيلومترمانده گلپايگان</v>
      </c>
      <c r="D1515" s="1">
        <v>9324</v>
      </c>
      <c r="E1515" s="1">
        <v>48300</v>
      </c>
      <c r="F1515" s="1">
        <v>95</v>
      </c>
      <c r="G1515" s="1">
        <v>1700</v>
      </c>
      <c r="H1515" s="1" t="str">
        <f>"95/02/13"</f>
        <v>95/02/13</v>
      </c>
      <c r="I1515" s="1" t="str">
        <f t="shared" si="390"/>
        <v>كيلوگرم</v>
      </c>
      <c r="J1515" s="1" t="str">
        <f>"1000000003"</f>
        <v>1000000003</v>
      </c>
      <c r="K1515" s="1" t="str">
        <f>"قير MC250"</f>
        <v>قير MC250</v>
      </c>
      <c r="L1515" s="1">
        <v>100</v>
      </c>
      <c r="M1515" s="1" t="str">
        <f t="shared" si="395"/>
        <v>مخازن قير اصفهان</v>
      </c>
      <c r="N1515" s="1">
        <v>7325</v>
      </c>
      <c r="O1515" s="1">
        <v>50030692</v>
      </c>
      <c r="P1515" s="1" t="str">
        <f>"  فردسازه سپاهان"</f>
        <v xml:space="preserve">  فردسازه سپاهان</v>
      </c>
      <c r="Q1515" s="1">
        <v>11</v>
      </c>
      <c r="R1515" s="1" t="str">
        <f>"فروش داخلي تهران - بورس"</f>
        <v>فروش داخلي تهران - بورس</v>
      </c>
      <c r="S1515" s="1" t="str">
        <f t="shared" si="391"/>
        <v>قرارداد فروش</v>
      </c>
      <c r="T1515" s="1" t="str">
        <f t="shared" si="392"/>
        <v>ندارد</v>
      </c>
      <c r="U1515" s="1" t="str">
        <f>"علي عابدي ابوالقاسم(1003ج89)"</f>
        <v>علي عابدي ابوالقاسم(1003ج89)</v>
      </c>
      <c r="V1515" s="1">
        <v>951100034</v>
      </c>
      <c r="W1515" s="1">
        <v>951100034</v>
      </c>
      <c r="X1515" s="1" t="str">
        <f>"1395401761"</f>
        <v>1395401761</v>
      </c>
      <c r="Y1515" s="1" t="str">
        <f>"95/02/12"</f>
        <v>95/02/12</v>
      </c>
      <c r="Z1515" s="1" t="str">
        <f>"95-34303"</f>
        <v>95-34303</v>
      </c>
      <c r="AA1515" s="1" t="str">
        <f>"آسفالت سازان"</f>
        <v>آسفالت سازان</v>
      </c>
      <c r="AB1515" s="1" t="str">
        <f>"95/02/12"</f>
        <v>95/02/12</v>
      </c>
      <c r="AC1515" s="1" t="str">
        <f>"استان اصفهان"</f>
        <v>استان اصفهان</v>
      </c>
      <c r="AD1515" s="1" t="str">
        <f>"95/02/08"</f>
        <v>95/02/08</v>
      </c>
      <c r="AE1515" s="1" t="str">
        <f t="shared" si="400"/>
        <v>اختتام</v>
      </c>
      <c r="AF1515" s="1" t="str">
        <f>""</f>
        <v/>
      </c>
      <c r="AG1515" s="1" t="str">
        <f>""</f>
        <v/>
      </c>
      <c r="AH1515" s="1" t="str">
        <f>""</f>
        <v/>
      </c>
      <c r="AI1515" s="1" t="str">
        <f>""</f>
        <v/>
      </c>
      <c r="AJ1515" s="1" t="str">
        <f>""</f>
        <v/>
      </c>
      <c r="AK1515" s="1" t="str">
        <f>""</f>
        <v/>
      </c>
    </row>
    <row r="1516" spans="1:37" x14ac:dyDescent="0.2">
      <c r="A1516" s="1">
        <v>510000</v>
      </c>
      <c r="B1516" s="1">
        <v>951700001</v>
      </c>
      <c r="C1516" s="1" t="str">
        <f>"تخليه -خراسان جنوبي -ديهوك اداره راه وشهرسازي ديهوك"</f>
        <v>تخليه -خراسان جنوبي -ديهوك اداره راه وشهرسازي ديهوك</v>
      </c>
      <c r="D1516" s="1">
        <v>9324</v>
      </c>
      <c r="E1516" s="1">
        <v>509580</v>
      </c>
      <c r="F1516" s="1">
        <v>95</v>
      </c>
      <c r="G1516" s="1">
        <v>420</v>
      </c>
      <c r="H1516" s="1" t="str">
        <f>"95/02/12"</f>
        <v>95/02/12</v>
      </c>
      <c r="I1516" s="1" t="str">
        <f t="shared" si="390"/>
        <v>كيلوگرم</v>
      </c>
      <c r="J1516" s="1" t="str">
        <f>"1000000003"</f>
        <v>1000000003</v>
      </c>
      <c r="K1516" s="1" t="str">
        <f>"قير MC250"</f>
        <v>قير MC250</v>
      </c>
      <c r="L1516" s="1">
        <v>100</v>
      </c>
      <c r="M1516" s="1" t="str">
        <f t="shared" si="395"/>
        <v>مخازن قير اصفهان</v>
      </c>
      <c r="N1516" s="1">
        <v>4012</v>
      </c>
      <c r="O1516" s="1">
        <v>50030687</v>
      </c>
      <c r="P1516" s="1" t="str">
        <f t="shared" ref="P1516:P1527" si="405">"  اداره كل راه و شهرسازي خراسان جنوبي"</f>
        <v xml:space="preserve">  اداره كل راه و شهرسازي خراسان جنوبي</v>
      </c>
      <c r="Q1516" s="1">
        <v>17</v>
      </c>
      <c r="R1516" s="1" t="str">
        <f>"فروش داخلي تهران - وزارت راه - راه روستايي - روکش"</f>
        <v>فروش داخلي تهران - وزارت راه - راه روستايي - روکش</v>
      </c>
      <c r="S1516" s="1" t="str">
        <f t="shared" si="391"/>
        <v>قرارداد فروش</v>
      </c>
      <c r="T1516" s="1" t="str">
        <f t="shared" si="392"/>
        <v>ندارد</v>
      </c>
      <c r="U1516" s="1" t="str">
        <f>"قانعي محمدرضا(1011ج89)"</f>
        <v>قانعي محمدرضا(1011ج89)</v>
      </c>
      <c r="V1516" s="1">
        <v>951700001</v>
      </c>
      <c r="W1516" s="1">
        <v>951700001</v>
      </c>
      <c r="X1516" s="1" t="str">
        <f>"1395401762"</f>
        <v>1395401762</v>
      </c>
      <c r="Y1516" s="1" t="str">
        <f>"95/02/12"</f>
        <v>95/02/12</v>
      </c>
      <c r="Z1516" s="1" t="str">
        <f>"66810/510"</f>
        <v>66810/510</v>
      </c>
      <c r="AA1516" s="1" t="str">
        <f>"راه روستائي -روكش"</f>
        <v>راه روستائي -روكش</v>
      </c>
      <c r="AB1516" s="1" t="str">
        <f>"94/12/04"</f>
        <v>94/12/04</v>
      </c>
      <c r="AC1516" s="1" t="str">
        <f t="shared" ref="AC1516:AC1527" si="406">"خراسان جنوبي"</f>
        <v>خراسان جنوبي</v>
      </c>
      <c r="AD1516" s="1" t="str">
        <f>"95/02/08"</f>
        <v>95/02/08</v>
      </c>
      <c r="AE1516" s="1" t="str">
        <f t="shared" si="400"/>
        <v>اختتام</v>
      </c>
      <c r="AF1516" s="1" t="str">
        <f>""</f>
        <v/>
      </c>
      <c r="AG1516" s="1" t="str">
        <f>""</f>
        <v/>
      </c>
      <c r="AH1516" s="1" t="str">
        <f>""</f>
        <v/>
      </c>
      <c r="AI1516" s="1" t="str">
        <f>""</f>
        <v/>
      </c>
      <c r="AJ1516" s="1" t="str">
        <f>""</f>
        <v/>
      </c>
      <c r="AK1516" s="1" t="str">
        <f>""</f>
        <v/>
      </c>
    </row>
    <row r="1517" spans="1:37" x14ac:dyDescent="0.2">
      <c r="A1517" s="1">
        <v>300000</v>
      </c>
      <c r="B1517" s="1">
        <v>951400033</v>
      </c>
      <c r="C1517" s="1" t="str">
        <f>"تخليه -خراسان جنوبي بيرجندكارخانه شماره 1"</f>
        <v>تخليه -خراسان جنوبي بيرجندكارخانه شماره 1</v>
      </c>
      <c r="D1517" s="1">
        <v>6250</v>
      </c>
      <c r="E1517" s="1">
        <v>300000</v>
      </c>
      <c r="F1517" s="1">
        <v>95</v>
      </c>
      <c r="G1517" s="1">
        <v>0</v>
      </c>
      <c r="H1517" s="1" t="str">
        <f>"95/04/05"</f>
        <v>95/04/05</v>
      </c>
      <c r="I1517" s="1" t="str">
        <f t="shared" si="390"/>
        <v>كيلوگرم</v>
      </c>
      <c r="J1517" s="1" t="str">
        <f t="shared" ref="J1517:J1527" si="407">"0000000091"</f>
        <v>0000000091</v>
      </c>
      <c r="K1517" s="1" t="str">
        <f t="shared" ref="K1517:K1527" si="408">"قير  PG64-22"</f>
        <v>قير  PG64-22</v>
      </c>
      <c r="L1517" s="1">
        <v>100</v>
      </c>
      <c r="M1517" s="1" t="str">
        <f t="shared" si="395"/>
        <v>مخازن قير اصفهان</v>
      </c>
      <c r="N1517" s="1">
        <v>4012</v>
      </c>
      <c r="O1517" s="1">
        <v>50031114</v>
      </c>
      <c r="P1517" s="1" t="str">
        <f t="shared" si="405"/>
        <v xml:space="preserve">  اداره كل راه و شهرسازي خراسان جنوبي</v>
      </c>
      <c r="Q1517" s="1">
        <v>14</v>
      </c>
      <c r="R1517" s="1" t="str">
        <f>"فروش داخلي - وزارت راه - حوزه راه روستايي ساخت"</f>
        <v>فروش داخلي - وزارت راه - حوزه راه روستايي ساخت</v>
      </c>
      <c r="S1517" s="1" t="str">
        <f t="shared" si="391"/>
        <v>قرارداد فروش</v>
      </c>
      <c r="T1517" s="1" t="str">
        <f t="shared" si="392"/>
        <v>ندارد</v>
      </c>
      <c r="U1517" s="1" t="str">
        <f>"بابامحمدي عنايت اله(4844000)"</f>
        <v>بابامحمدي عنايت اله(4844000)</v>
      </c>
      <c r="V1517" s="1">
        <v>951400033</v>
      </c>
      <c r="W1517" s="1">
        <v>951400033</v>
      </c>
      <c r="X1517" s="1" t="str">
        <f>"1395411198"</f>
        <v>1395411198</v>
      </c>
      <c r="Y1517" s="1" t="str">
        <f>"95/04/05"</f>
        <v>95/04/05</v>
      </c>
      <c r="Z1517" s="1" t="str">
        <f>"13015/510"</f>
        <v>13015/510</v>
      </c>
      <c r="AA1517" s="1" t="str">
        <f>"راه وروستايي -ساخت"</f>
        <v>راه وروستايي -ساخت</v>
      </c>
      <c r="AB1517" s="1" t="str">
        <f>"95/03/29"</f>
        <v>95/03/29</v>
      </c>
      <c r="AC1517" s="1" t="str">
        <f t="shared" si="406"/>
        <v>خراسان جنوبي</v>
      </c>
      <c r="AD1517" s="1" t="str">
        <f>"95/04/05"</f>
        <v>95/04/05</v>
      </c>
      <c r="AE1517" s="1" t="str">
        <f t="shared" si="400"/>
        <v>اختتام</v>
      </c>
      <c r="AF1517" s="1" t="str">
        <f>""</f>
        <v/>
      </c>
      <c r="AG1517" s="1" t="str">
        <f>""</f>
        <v/>
      </c>
      <c r="AH1517" s="1" t="str">
        <f>""</f>
        <v/>
      </c>
      <c r="AI1517" s="1" t="str">
        <f>""</f>
        <v/>
      </c>
      <c r="AJ1517" s="1" t="str">
        <f>""</f>
        <v/>
      </c>
      <c r="AK1517" s="1" t="str">
        <f>""</f>
        <v/>
      </c>
    </row>
    <row r="1518" spans="1:37" x14ac:dyDescent="0.2">
      <c r="A1518" s="1">
        <v>1000000</v>
      </c>
      <c r="B1518" s="1">
        <v>951900035</v>
      </c>
      <c r="C1518" s="1" t="str">
        <f>"تخليه -بيرجند-ادراه كل راه وشهرسازي خراسان جنوبي"</f>
        <v>تخليه -بيرجند-ادراه كل راه وشهرسازي خراسان جنوبي</v>
      </c>
      <c r="D1518" s="1">
        <v>6250</v>
      </c>
      <c r="E1518" s="1">
        <v>999240</v>
      </c>
      <c r="F1518" s="1">
        <v>95</v>
      </c>
      <c r="G1518" s="1">
        <v>760</v>
      </c>
      <c r="H1518" s="1" t="str">
        <f>"95/04/14"</f>
        <v>95/04/14</v>
      </c>
      <c r="I1518" s="1" t="str">
        <f t="shared" si="390"/>
        <v>كيلوگرم</v>
      </c>
      <c r="J1518" s="1" t="str">
        <f t="shared" si="407"/>
        <v>0000000091</v>
      </c>
      <c r="K1518" s="1" t="str">
        <f t="shared" si="408"/>
        <v>قير  PG64-22</v>
      </c>
      <c r="L1518" s="1">
        <v>100</v>
      </c>
      <c r="M1518" s="1" t="str">
        <f t="shared" si="395"/>
        <v>مخازن قير اصفهان</v>
      </c>
      <c r="N1518" s="1">
        <v>4012</v>
      </c>
      <c r="O1518" s="1">
        <v>50031198</v>
      </c>
      <c r="P1518" s="1" t="str">
        <f t="shared" si="405"/>
        <v xml:space="preserve">  اداره كل راه و شهرسازي خراسان جنوبي</v>
      </c>
      <c r="Q1518" s="1">
        <v>19</v>
      </c>
      <c r="R15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18" s="1" t="str">
        <f t="shared" si="391"/>
        <v>قرارداد فروش</v>
      </c>
      <c r="T1518" s="1" t="str">
        <f t="shared" si="392"/>
        <v>ندارد</v>
      </c>
      <c r="U1518" s="1" t="str">
        <f>"بابامحمدي عنايت اله(4844000)"</f>
        <v>بابامحمدي عنايت اله(4844000)</v>
      </c>
      <c r="V1518" s="1">
        <v>951900035</v>
      </c>
      <c r="W1518" s="1">
        <v>951900035</v>
      </c>
      <c r="X1518" s="1" t="str">
        <f>"1395412592"</f>
        <v>1395412592</v>
      </c>
      <c r="Y1518" s="1" t="str">
        <f>"95/04/14"</f>
        <v>95/04/14</v>
      </c>
      <c r="Z1518" s="1" t="str">
        <f>"14942/510"</f>
        <v>14942/510</v>
      </c>
      <c r="AA1518" s="1" t="str">
        <f>"سازمان راهداري وحمل نقل جاده اي"</f>
        <v>سازمان راهداري وحمل نقل جاده اي</v>
      </c>
      <c r="AB1518" s="1" t="str">
        <f>"95/04/08"</f>
        <v>95/04/08</v>
      </c>
      <c r="AC1518" s="1" t="str">
        <f t="shared" si="406"/>
        <v>خراسان جنوبي</v>
      </c>
      <c r="AD1518" s="1" t="str">
        <f>"95/04/12"</f>
        <v>95/04/12</v>
      </c>
      <c r="AE1518" s="1" t="str">
        <f t="shared" si="400"/>
        <v>اختتام</v>
      </c>
      <c r="AF1518" s="1" t="str">
        <f>""</f>
        <v/>
      </c>
      <c r="AG1518" s="1" t="str">
        <f>""</f>
        <v/>
      </c>
      <c r="AH1518" s="1" t="str">
        <f>""</f>
        <v/>
      </c>
      <c r="AI1518" s="1" t="str">
        <f>""</f>
        <v/>
      </c>
      <c r="AJ1518" s="1" t="str">
        <f>""</f>
        <v/>
      </c>
      <c r="AK1518" s="1" t="str">
        <f>""</f>
        <v/>
      </c>
    </row>
    <row r="1519" spans="1:37" x14ac:dyDescent="0.2">
      <c r="A1519" s="1">
        <v>101220</v>
      </c>
      <c r="B1519" s="1">
        <v>951700084</v>
      </c>
      <c r="C1519" s="1" t="str">
        <f>"تخليه -خراسان جنوبي بشرويه كارخانه آسفالت شهرداري بشرويه"</f>
        <v>تخليه -خراسان جنوبي بشرويه كارخانه آسفالت شهرداري بشرويه</v>
      </c>
      <c r="D1519" s="1">
        <v>6250</v>
      </c>
      <c r="E1519" s="1">
        <v>98020</v>
      </c>
      <c r="F1519" s="1">
        <v>95</v>
      </c>
      <c r="G1519" s="1">
        <v>3200</v>
      </c>
      <c r="H1519" s="1" t="str">
        <f>"95/04/19"</f>
        <v>95/04/19</v>
      </c>
      <c r="I1519" s="1" t="str">
        <f t="shared" si="390"/>
        <v>كيلوگرم</v>
      </c>
      <c r="J1519" s="1" t="str">
        <f t="shared" si="407"/>
        <v>0000000091</v>
      </c>
      <c r="K1519" s="1" t="str">
        <f t="shared" si="408"/>
        <v>قير  PG64-22</v>
      </c>
      <c r="L1519" s="1">
        <v>100</v>
      </c>
      <c r="M1519" s="1" t="str">
        <f t="shared" si="395"/>
        <v>مخازن قير اصفهان</v>
      </c>
      <c r="N1519" s="1">
        <v>4012</v>
      </c>
      <c r="O1519" s="1">
        <v>50031221</v>
      </c>
      <c r="P1519" s="1" t="str">
        <f t="shared" si="405"/>
        <v xml:space="preserve">  اداره كل راه و شهرسازي خراسان جنوبي</v>
      </c>
      <c r="Q1519" s="1">
        <v>17</v>
      </c>
      <c r="R1519" s="1" t="str">
        <f t="shared" ref="R1519:R1524" si="409">"فروش داخلي تهران - وزارت راه - راه روستايي - روکش"</f>
        <v>فروش داخلي تهران - وزارت راه - راه روستايي - روکش</v>
      </c>
      <c r="S1519" s="1" t="str">
        <f t="shared" si="391"/>
        <v>قرارداد فروش</v>
      </c>
      <c r="T1519" s="1" t="str">
        <f t="shared" si="392"/>
        <v>ندارد</v>
      </c>
      <c r="U1519" s="1" t="str">
        <f>"آقا علي منوچهر(1016ج89)"</f>
        <v>آقا علي منوچهر(1016ج89)</v>
      </c>
      <c r="V1519" s="1">
        <v>951700084</v>
      </c>
      <c r="W1519" s="1">
        <v>951700084</v>
      </c>
      <c r="X1519" s="1" t="str">
        <f>"1394390354"</f>
        <v>1394390354</v>
      </c>
      <c r="Y1519" s="1" t="str">
        <f>"95/04/19"</f>
        <v>95/04/19</v>
      </c>
      <c r="Z1519" s="1" t="str">
        <f>"61657/510"</f>
        <v>61657/510</v>
      </c>
      <c r="AA1519" s="1" t="str">
        <f t="shared" ref="AA1519:AA1524" si="410">"راه روستائي -روكش"</f>
        <v>راه روستائي -روكش</v>
      </c>
      <c r="AB1519" s="1" t="str">
        <f>"94/11/10"</f>
        <v>94/11/10</v>
      </c>
      <c r="AC1519" s="1" t="str">
        <f t="shared" si="406"/>
        <v>خراسان جنوبي</v>
      </c>
      <c r="AD1519" s="1" t="str">
        <f>"94/11/11"</f>
        <v>94/11/11</v>
      </c>
      <c r="AE1519" s="1" t="str">
        <f t="shared" si="400"/>
        <v>اختتام</v>
      </c>
      <c r="AF1519" s="1" t="str">
        <f>""</f>
        <v/>
      </c>
      <c r="AG1519" s="1" t="str">
        <f>""</f>
        <v/>
      </c>
      <c r="AH1519" s="1" t="str">
        <f>""</f>
        <v/>
      </c>
      <c r="AI1519" s="1" t="str">
        <f>""</f>
        <v/>
      </c>
      <c r="AJ1519" s="1" t="str">
        <f>""</f>
        <v/>
      </c>
      <c r="AK1519" s="1" t="str">
        <f>""</f>
        <v/>
      </c>
    </row>
    <row r="1520" spans="1:37" x14ac:dyDescent="0.2">
      <c r="A1520" s="1">
        <v>176000</v>
      </c>
      <c r="B1520" s="1">
        <v>951700132</v>
      </c>
      <c r="C1520" s="1" t="str">
        <f>"تخليه- خراسان جنوبي- حاجي آباد -کارخانه آسفالت شهرداري"</f>
        <v>تخليه- خراسان جنوبي- حاجي آباد -کارخانه آسفالت شهرداري</v>
      </c>
      <c r="D1520" s="1">
        <v>6726</v>
      </c>
      <c r="E1520" s="1">
        <v>173500</v>
      </c>
      <c r="F1520" s="1">
        <v>95</v>
      </c>
      <c r="G1520" s="1">
        <v>2500</v>
      </c>
      <c r="H1520" s="1" t="str">
        <f>"95/05/11"</f>
        <v>95/05/11</v>
      </c>
      <c r="I1520" s="1" t="str">
        <f t="shared" si="390"/>
        <v>كيلوگرم</v>
      </c>
      <c r="J1520" s="1" t="str">
        <f t="shared" si="407"/>
        <v>0000000091</v>
      </c>
      <c r="K1520" s="1" t="str">
        <f t="shared" si="408"/>
        <v>قير  PG64-22</v>
      </c>
      <c r="L1520" s="1">
        <v>100</v>
      </c>
      <c r="M1520" s="1" t="str">
        <f t="shared" si="395"/>
        <v>مخازن قير اصفهان</v>
      </c>
      <c r="N1520" s="1">
        <v>4012</v>
      </c>
      <c r="O1520" s="1">
        <v>50031398</v>
      </c>
      <c r="P1520" s="1" t="str">
        <f t="shared" si="405"/>
        <v xml:space="preserve">  اداره كل راه و شهرسازي خراسان جنوبي</v>
      </c>
      <c r="Q1520" s="1">
        <v>17</v>
      </c>
      <c r="R1520" s="1" t="str">
        <f t="shared" si="409"/>
        <v>فروش داخلي تهران - وزارت راه - راه روستايي - روکش</v>
      </c>
      <c r="S1520" s="1" t="str">
        <f t="shared" si="391"/>
        <v>قرارداد فروش</v>
      </c>
      <c r="T1520" s="1" t="str">
        <f t="shared" si="392"/>
        <v>ندارد</v>
      </c>
      <c r="U1520" s="1" t="str">
        <f>"بابامحمدي عنايت اله(4844000)"</f>
        <v>بابامحمدي عنايت اله(4844000)</v>
      </c>
      <c r="V1520" s="1">
        <v>951700132</v>
      </c>
      <c r="W1520" s="1">
        <v>951700132</v>
      </c>
      <c r="X1520" s="1" t="str">
        <f>"1395419804"</f>
        <v>1395419804</v>
      </c>
      <c r="Y1520" s="1" t="str">
        <f>"95/05/11"</f>
        <v>95/05/11</v>
      </c>
      <c r="Z1520" s="1" t="str">
        <f>"19964/510"</f>
        <v>19964/510</v>
      </c>
      <c r="AA1520" s="1" t="str">
        <f t="shared" si="410"/>
        <v>راه روستائي -روكش</v>
      </c>
      <c r="AB1520" s="1" t="str">
        <f>"95/05/05"</f>
        <v>95/05/05</v>
      </c>
      <c r="AC1520" s="1" t="str">
        <f t="shared" si="406"/>
        <v>خراسان جنوبي</v>
      </c>
      <c r="AD1520" s="1" t="str">
        <f>"95/05/11"</f>
        <v>95/05/11</v>
      </c>
      <c r="AE1520" s="1" t="str">
        <f t="shared" si="400"/>
        <v>اختتام</v>
      </c>
      <c r="AF1520" s="1" t="str">
        <f>""</f>
        <v/>
      </c>
      <c r="AG1520" s="1" t="str">
        <f>""</f>
        <v/>
      </c>
      <c r="AH1520" s="1" t="str">
        <f>""</f>
        <v/>
      </c>
      <c r="AI1520" s="1" t="str">
        <f>""</f>
        <v/>
      </c>
      <c r="AJ1520" s="1" t="str">
        <f>""</f>
        <v/>
      </c>
      <c r="AK1520" s="1" t="str">
        <f>""</f>
        <v/>
      </c>
    </row>
    <row r="1521" spans="1:37" x14ac:dyDescent="0.2">
      <c r="A1521" s="1">
        <v>64000</v>
      </c>
      <c r="B1521" s="1">
        <v>951700137</v>
      </c>
      <c r="C1521" s="1" t="str">
        <f>"تخليه-خراسان جنوبي-فردوس-کارخانه آسفالت شهرداري اسلاميه"</f>
        <v>تخليه-خراسان جنوبي-فردوس-کارخانه آسفالت شهرداري اسلاميه</v>
      </c>
      <c r="D1521" s="1">
        <v>6726</v>
      </c>
      <c r="E1521" s="1">
        <v>63480</v>
      </c>
      <c r="F1521" s="1">
        <v>95</v>
      </c>
      <c r="G1521" s="1">
        <v>520</v>
      </c>
      <c r="H1521" s="1" t="str">
        <f>"95/05/13"</f>
        <v>95/05/13</v>
      </c>
      <c r="I1521" s="1" t="str">
        <f t="shared" si="390"/>
        <v>كيلوگرم</v>
      </c>
      <c r="J1521" s="1" t="str">
        <f t="shared" si="407"/>
        <v>0000000091</v>
      </c>
      <c r="K1521" s="1" t="str">
        <f t="shared" si="408"/>
        <v>قير  PG64-22</v>
      </c>
      <c r="L1521" s="1">
        <v>100</v>
      </c>
      <c r="M1521" s="1" t="str">
        <f t="shared" si="395"/>
        <v>مخازن قير اصفهان</v>
      </c>
      <c r="N1521" s="1">
        <v>4012</v>
      </c>
      <c r="O1521" s="1">
        <v>50031426</v>
      </c>
      <c r="P1521" s="1" t="str">
        <f t="shared" si="405"/>
        <v xml:space="preserve">  اداره كل راه و شهرسازي خراسان جنوبي</v>
      </c>
      <c r="Q1521" s="1">
        <v>17</v>
      </c>
      <c r="R1521" s="1" t="str">
        <f t="shared" si="409"/>
        <v>فروش داخلي تهران - وزارت راه - راه روستايي - روکش</v>
      </c>
      <c r="S1521" s="1" t="str">
        <f t="shared" si="391"/>
        <v>قرارداد فروش</v>
      </c>
      <c r="T1521" s="1" t="str">
        <f t="shared" si="392"/>
        <v>ندارد</v>
      </c>
      <c r="U1521" s="1" t="str">
        <f>"كاردان اسپادان راه مصطفي  (1911100)"</f>
        <v>كاردان اسپادان راه مصطفي  (1911100)</v>
      </c>
      <c r="V1521" s="1">
        <v>951700137</v>
      </c>
      <c r="W1521" s="1">
        <v>951700137</v>
      </c>
      <c r="X1521" s="1" t="str">
        <f>"1395421159"</f>
        <v>1395421159</v>
      </c>
      <c r="Y1521" s="1" t="str">
        <f>"95/05/13"</f>
        <v>95/05/13</v>
      </c>
      <c r="Z1521" s="1" t="str">
        <f>"20201/510"</f>
        <v>20201/510</v>
      </c>
      <c r="AA1521" s="1" t="str">
        <f t="shared" si="410"/>
        <v>راه روستائي -روكش</v>
      </c>
      <c r="AB1521" s="1" t="str">
        <f>"95/05/06"</f>
        <v>95/05/06</v>
      </c>
      <c r="AC1521" s="1" t="str">
        <f t="shared" si="406"/>
        <v>خراسان جنوبي</v>
      </c>
      <c r="AD1521" s="1" t="str">
        <f>"95/05/13"</f>
        <v>95/05/13</v>
      </c>
      <c r="AE1521" s="1" t="str">
        <f t="shared" si="400"/>
        <v>اختتام</v>
      </c>
      <c r="AF1521" s="1" t="str">
        <f>""</f>
        <v/>
      </c>
      <c r="AG1521" s="1" t="str">
        <f>""</f>
        <v/>
      </c>
      <c r="AH1521" s="1" t="str">
        <f>""</f>
        <v/>
      </c>
      <c r="AI1521" s="1" t="str">
        <f>""</f>
        <v/>
      </c>
      <c r="AJ1521" s="1" t="str">
        <f>""</f>
        <v/>
      </c>
      <c r="AK1521" s="1" t="str">
        <f>""</f>
        <v/>
      </c>
    </row>
    <row r="1522" spans="1:37" x14ac:dyDescent="0.2">
      <c r="A1522" s="1">
        <v>200000</v>
      </c>
      <c r="B1522" s="1">
        <v>951700151</v>
      </c>
      <c r="C1522" s="1" t="str">
        <f>"تخليه -بيرجند-ادراه كل راه وشهرسازي خراسان جنوبي"</f>
        <v>تخليه -بيرجند-ادراه كل راه وشهرسازي خراسان جنوبي</v>
      </c>
      <c r="D1522" s="1">
        <v>6726</v>
      </c>
      <c r="E1522" s="1">
        <v>198960</v>
      </c>
      <c r="F1522" s="1">
        <v>95</v>
      </c>
      <c r="G1522" s="1">
        <v>1040</v>
      </c>
      <c r="H1522" s="1" t="str">
        <f>"95/05/23"</f>
        <v>95/05/23</v>
      </c>
      <c r="I1522" s="1" t="str">
        <f t="shared" si="390"/>
        <v>كيلوگرم</v>
      </c>
      <c r="J1522" s="1" t="str">
        <f t="shared" si="407"/>
        <v>0000000091</v>
      </c>
      <c r="K1522" s="1" t="str">
        <f t="shared" si="408"/>
        <v>قير  PG64-22</v>
      </c>
      <c r="L1522" s="1">
        <v>100</v>
      </c>
      <c r="M1522" s="1" t="str">
        <f t="shared" si="395"/>
        <v>مخازن قير اصفهان</v>
      </c>
      <c r="N1522" s="1">
        <v>4012</v>
      </c>
      <c r="O1522" s="1">
        <v>50031496</v>
      </c>
      <c r="P1522" s="1" t="str">
        <f t="shared" si="405"/>
        <v xml:space="preserve">  اداره كل راه و شهرسازي خراسان جنوبي</v>
      </c>
      <c r="Q1522" s="1">
        <v>17</v>
      </c>
      <c r="R1522" s="1" t="str">
        <f t="shared" si="409"/>
        <v>فروش داخلي تهران - وزارت راه - راه روستايي - روکش</v>
      </c>
      <c r="S1522" s="1" t="str">
        <f t="shared" si="391"/>
        <v>قرارداد فروش</v>
      </c>
      <c r="T1522" s="1" t="str">
        <f t="shared" si="392"/>
        <v>ندارد</v>
      </c>
      <c r="U1522" s="1" t="str">
        <f>"بابامحمدي عنايت اله(4844000)"</f>
        <v>بابامحمدي عنايت اله(4844000)</v>
      </c>
      <c r="V1522" s="1">
        <v>951700151</v>
      </c>
      <c r="W1522" s="1">
        <v>951700151</v>
      </c>
      <c r="X1522" s="1" t="str">
        <f>"1395421986"</f>
        <v>1395421986</v>
      </c>
      <c r="Y1522" s="1" t="str">
        <f>"95/05/23"</f>
        <v>95/05/23</v>
      </c>
      <c r="Z1522" s="1" t="str">
        <f>"21401/510"</f>
        <v>21401/510</v>
      </c>
      <c r="AA1522" s="1" t="str">
        <f t="shared" si="410"/>
        <v>راه روستائي -روكش</v>
      </c>
      <c r="AB1522" s="1" t="str">
        <f>"95/05/13"</f>
        <v>95/05/13</v>
      </c>
      <c r="AC1522" s="1" t="str">
        <f t="shared" si="406"/>
        <v>خراسان جنوبي</v>
      </c>
      <c r="AD1522" s="1" t="str">
        <f>"95/05/18"</f>
        <v>95/05/18</v>
      </c>
      <c r="AE1522" s="1" t="str">
        <f t="shared" si="400"/>
        <v>اختتام</v>
      </c>
      <c r="AF1522" s="1" t="str">
        <f>""</f>
        <v/>
      </c>
      <c r="AG1522" s="1" t="str">
        <f>""</f>
        <v/>
      </c>
      <c r="AH1522" s="1" t="str">
        <f>""</f>
        <v/>
      </c>
      <c r="AI1522" s="1" t="str">
        <f>""</f>
        <v/>
      </c>
      <c r="AJ1522" s="1" t="str">
        <f>""</f>
        <v/>
      </c>
      <c r="AK1522" s="1" t="str">
        <f>""</f>
        <v/>
      </c>
    </row>
    <row r="1523" spans="1:37" x14ac:dyDescent="0.2">
      <c r="A1523" s="1">
        <v>214000</v>
      </c>
      <c r="B1523" s="1">
        <v>951700196</v>
      </c>
      <c r="C1523" s="1" t="str">
        <f>"تخليه - خراسان جنوبي -کارخانه شهرداري طبس مسينا"</f>
        <v>تخليه - خراسان جنوبي -کارخانه شهرداري طبس مسينا</v>
      </c>
      <c r="D1523" s="1">
        <v>7176</v>
      </c>
      <c r="E1523" s="1">
        <v>165460</v>
      </c>
      <c r="F1523" s="1">
        <v>95</v>
      </c>
      <c r="G1523" s="1">
        <v>48540</v>
      </c>
      <c r="H1523" s="1" t="str">
        <f>"95/06/09"</f>
        <v>95/06/09</v>
      </c>
      <c r="I1523" s="1" t="str">
        <f t="shared" si="390"/>
        <v>كيلوگرم</v>
      </c>
      <c r="J1523" s="1" t="str">
        <f t="shared" si="407"/>
        <v>0000000091</v>
      </c>
      <c r="K1523" s="1" t="str">
        <f t="shared" si="408"/>
        <v>قير  PG64-22</v>
      </c>
      <c r="L1523" s="1">
        <v>100</v>
      </c>
      <c r="M1523" s="1" t="str">
        <f t="shared" si="395"/>
        <v>مخازن قير اصفهان</v>
      </c>
      <c r="N1523" s="1">
        <v>4012</v>
      </c>
      <c r="O1523" s="1">
        <v>50031731</v>
      </c>
      <c r="P1523" s="1" t="str">
        <f t="shared" si="405"/>
        <v xml:space="preserve">  اداره كل راه و شهرسازي خراسان جنوبي</v>
      </c>
      <c r="Q1523" s="1">
        <v>17</v>
      </c>
      <c r="R1523" s="1" t="str">
        <f t="shared" si="409"/>
        <v>فروش داخلي تهران - وزارت راه - راه روستايي - روکش</v>
      </c>
      <c r="S1523" s="1" t="str">
        <f t="shared" si="391"/>
        <v>قرارداد فروش</v>
      </c>
      <c r="T1523" s="1" t="str">
        <f t="shared" si="392"/>
        <v>ندارد</v>
      </c>
      <c r="U1523" s="1" t="str">
        <f>"آقا علي منوچهر(1016ج89)"</f>
        <v>آقا علي منوچهر(1016ج89)</v>
      </c>
      <c r="V1523" s="1">
        <v>951700196</v>
      </c>
      <c r="W1523" s="1">
        <v>951700196</v>
      </c>
      <c r="X1523" s="1" t="str">
        <f>"1395427781"</f>
        <v>1395427781</v>
      </c>
      <c r="Y1523" s="1" t="str">
        <f>"95/06/09"</f>
        <v>95/06/09</v>
      </c>
      <c r="Z1523" s="1" t="str">
        <f>"26336/510"</f>
        <v>26336/510</v>
      </c>
      <c r="AA1523" s="1" t="str">
        <f t="shared" si="410"/>
        <v>راه روستائي -روكش</v>
      </c>
      <c r="AB1523" s="1" t="str">
        <f>"95/06/07"</f>
        <v>95/06/07</v>
      </c>
      <c r="AC1523" s="1" t="str">
        <f t="shared" si="406"/>
        <v>خراسان جنوبي</v>
      </c>
      <c r="AD1523" s="1" t="str">
        <f>"95/06/09"</f>
        <v>95/06/09</v>
      </c>
      <c r="AE1523" s="1" t="str">
        <f t="shared" si="400"/>
        <v>اختتام</v>
      </c>
      <c r="AF1523" s="1" t="str">
        <f>""</f>
        <v/>
      </c>
      <c r="AG1523" s="1" t="str">
        <f>""</f>
        <v/>
      </c>
      <c r="AH1523" s="1" t="str">
        <f>""</f>
        <v/>
      </c>
      <c r="AI1523" s="1" t="str">
        <f>""</f>
        <v/>
      </c>
      <c r="AJ1523" s="1" t="str">
        <f>""</f>
        <v/>
      </c>
      <c r="AK1523" s="1" t="str">
        <f>""</f>
        <v/>
      </c>
    </row>
    <row r="1524" spans="1:37" x14ac:dyDescent="0.2">
      <c r="A1524" s="1">
        <v>45140</v>
      </c>
      <c r="B1524" s="1">
        <v>951700259</v>
      </c>
      <c r="C1524" s="1" t="str">
        <f>"تخليه -خراسان جنوبي بيرجندكارخانه محوربيرجند-خوسف"</f>
        <v>تخليه -خراسان جنوبي بيرجندكارخانه محوربيرجند-خوسف</v>
      </c>
      <c r="D1524" s="1">
        <v>8323</v>
      </c>
      <c r="E1524" s="1">
        <v>44780</v>
      </c>
      <c r="F1524" s="1">
        <v>95</v>
      </c>
      <c r="G1524" s="1">
        <v>360</v>
      </c>
      <c r="H1524" s="1" t="str">
        <f>"95/08/08"</f>
        <v>95/08/08</v>
      </c>
      <c r="I1524" s="1" t="str">
        <f t="shared" si="390"/>
        <v>كيلوگرم</v>
      </c>
      <c r="J1524" s="1" t="str">
        <f t="shared" si="407"/>
        <v>0000000091</v>
      </c>
      <c r="K1524" s="1" t="str">
        <f t="shared" si="408"/>
        <v>قير  PG64-22</v>
      </c>
      <c r="L1524" s="1">
        <v>100</v>
      </c>
      <c r="M1524" s="1" t="str">
        <f t="shared" si="395"/>
        <v>مخازن قير اصفهان</v>
      </c>
      <c r="N1524" s="1">
        <v>4012</v>
      </c>
      <c r="O1524" s="1">
        <v>50032383</v>
      </c>
      <c r="P1524" s="1" t="str">
        <f t="shared" si="405"/>
        <v xml:space="preserve">  اداره كل راه و شهرسازي خراسان جنوبي</v>
      </c>
      <c r="Q1524" s="1">
        <v>17</v>
      </c>
      <c r="R1524" s="1" t="str">
        <f t="shared" si="409"/>
        <v>فروش داخلي تهران - وزارت راه - راه روستايي - روکش</v>
      </c>
      <c r="S1524" s="1" t="str">
        <f t="shared" si="391"/>
        <v>قرارداد فروش</v>
      </c>
      <c r="T1524" s="1" t="str">
        <f t="shared" si="392"/>
        <v>ندارد</v>
      </c>
      <c r="U1524" s="1" t="str">
        <f>"كاردان اسپادان راه مصطفي  (1911100)"</f>
        <v>كاردان اسپادان راه مصطفي  (1911100)</v>
      </c>
      <c r="V1524" s="1">
        <v>951700259</v>
      </c>
      <c r="W1524" s="1">
        <v>951700259</v>
      </c>
      <c r="X1524" s="1" t="str">
        <f>"1395435599"</f>
        <v>1395435599</v>
      </c>
      <c r="Y1524" s="1" t="str">
        <f>"95/08/08"</f>
        <v>95/08/08</v>
      </c>
      <c r="Z1524" s="1" t="str">
        <f>"32933/510"</f>
        <v>32933/510</v>
      </c>
      <c r="AA1524" s="1" t="str">
        <f t="shared" si="410"/>
        <v>راه روستائي -روكش</v>
      </c>
      <c r="AB1524" s="1" t="str">
        <f>"95/07/11"</f>
        <v>95/07/11</v>
      </c>
      <c r="AC1524" s="1" t="str">
        <f t="shared" si="406"/>
        <v>خراسان جنوبي</v>
      </c>
      <c r="AD1524" s="1" t="str">
        <f>"95/07/13"</f>
        <v>95/07/13</v>
      </c>
      <c r="AE1524" s="1" t="str">
        <f t="shared" si="400"/>
        <v>اختتام</v>
      </c>
      <c r="AF1524" s="1" t="str">
        <f>""</f>
        <v/>
      </c>
      <c r="AG1524" s="1" t="str">
        <f>""</f>
        <v/>
      </c>
      <c r="AH1524" s="1" t="str">
        <f>""</f>
        <v/>
      </c>
      <c r="AI1524" s="1" t="str">
        <f>""</f>
        <v/>
      </c>
      <c r="AJ1524" s="1" t="str">
        <f>""</f>
        <v/>
      </c>
      <c r="AK1524" s="1" t="str">
        <f>""</f>
        <v/>
      </c>
    </row>
    <row r="1525" spans="1:37" x14ac:dyDescent="0.2">
      <c r="A1525" s="1">
        <v>360000</v>
      </c>
      <c r="B1525" s="1">
        <v>951400138</v>
      </c>
      <c r="C1525" s="1" t="str">
        <f>"تخليه -خراسان جنوبي -بيرجند-كارخانه آسفالت شماره 2"</f>
        <v>تخليه -خراسان جنوبي -بيرجند-كارخانه آسفالت شماره 2</v>
      </c>
      <c r="D1525" s="1">
        <v>8854</v>
      </c>
      <c r="E1525" s="1">
        <v>23220</v>
      </c>
      <c r="F1525" s="1">
        <v>95</v>
      </c>
      <c r="G1525" s="1">
        <v>336780</v>
      </c>
      <c r="H1525" s="1" t="str">
        <f>"95/11/03"</f>
        <v>95/11/03</v>
      </c>
      <c r="I1525" s="1" t="str">
        <f t="shared" si="390"/>
        <v>كيلوگرم</v>
      </c>
      <c r="J1525" s="1" t="str">
        <f t="shared" si="407"/>
        <v>0000000091</v>
      </c>
      <c r="K1525" s="1" t="str">
        <f t="shared" si="408"/>
        <v>قير  PG64-22</v>
      </c>
      <c r="L1525" s="1">
        <v>100</v>
      </c>
      <c r="M1525" s="1" t="str">
        <f t="shared" si="395"/>
        <v>مخازن قير اصفهان</v>
      </c>
      <c r="N1525" s="1">
        <v>4012</v>
      </c>
      <c r="O1525" s="1">
        <v>50033482</v>
      </c>
      <c r="P1525" s="1" t="str">
        <f t="shared" si="405"/>
        <v xml:space="preserve">  اداره كل راه و شهرسازي خراسان جنوبي</v>
      </c>
      <c r="Q1525" s="1">
        <v>14</v>
      </c>
      <c r="R1525" s="1" t="str">
        <f>"فروش داخلي - وزارت راه - حوزه راه روستايي ساخت"</f>
        <v>فروش داخلي - وزارت راه - حوزه راه روستايي ساخت</v>
      </c>
      <c r="S1525" s="1" t="str">
        <f t="shared" si="391"/>
        <v>قرارداد فروش</v>
      </c>
      <c r="T1525" s="1" t="str">
        <f t="shared" si="392"/>
        <v>ندارد</v>
      </c>
      <c r="U1525" s="1" t="str">
        <f>"بابامحمدي عنايت اله(4844000)"</f>
        <v>بابامحمدي عنايت اله(4844000)</v>
      </c>
      <c r="V1525" s="1">
        <v>951400138</v>
      </c>
      <c r="W1525" s="1">
        <v>951400138</v>
      </c>
      <c r="X1525" s="1" t="str">
        <f>"1395456363"</f>
        <v>1395456363</v>
      </c>
      <c r="Y1525" s="1" t="str">
        <f>"95/11/03"</f>
        <v>95/11/03</v>
      </c>
      <c r="Z1525" s="1" t="str">
        <f>"49485/710"</f>
        <v>49485/710</v>
      </c>
      <c r="AA1525" s="1" t="str">
        <f>"راه وروستايي -ساخت"</f>
        <v>راه وروستايي -ساخت</v>
      </c>
      <c r="AB1525" s="1" t="str">
        <f>"95/10/08"</f>
        <v>95/10/08</v>
      </c>
      <c r="AC1525" s="1" t="str">
        <f t="shared" si="406"/>
        <v>خراسان جنوبي</v>
      </c>
      <c r="AD1525" s="1" t="str">
        <f>"95/10/13"</f>
        <v>95/10/13</v>
      </c>
      <c r="AE1525" s="1" t="str">
        <f t="shared" si="400"/>
        <v>اختتام</v>
      </c>
      <c r="AF1525" s="1" t="str">
        <f>""</f>
        <v/>
      </c>
      <c r="AG1525" s="1" t="str">
        <f>""</f>
        <v/>
      </c>
      <c r="AH1525" s="1" t="str">
        <f>""</f>
        <v/>
      </c>
      <c r="AI1525" s="1" t="str">
        <f>""</f>
        <v/>
      </c>
      <c r="AJ1525" s="1" t="str">
        <f>""</f>
        <v/>
      </c>
      <c r="AK1525" s="1" t="str">
        <f>""</f>
        <v/>
      </c>
    </row>
    <row r="1526" spans="1:37" x14ac:dyDescent="0.2">
      <c r="A1526" s="1">
        <v>440000</v>
      </c>
      <c r="B1526" s="1">
        <v>951400169</v>
      </c>
      <c r="C1526" s="1" t="str">
        <f>"تخليه خراسان جنوبي شهرستان فردوس كارخانه پتروفردس"</f>
        <v>تخليه خراسان جنوبي شهرستان فردوس كارخانه پتروفردس</v>
      </c>
      <c r="D1526" s="1">
        <v>8998</v>
      </c>
      <c r="E1526" s="1">
        <v>437580</v>
      </c>
      <c r="F1526" s="1">
        <v>95</v>
      </c>
      <c r="G1526" s="1">
        <v>2420</v>
      </c>
      <c r="H1526" s="1" t="str">
        <f>"95/12/03"</f>
        <v>95/12/03</v>
      </c>
      <c r="I1526" s="1" t="str">
        <f t="shared" si="390"/>
        <v>كيلوگرم</v>
      </c>
      <c r="J1526" s="1" t="str">
        <f t="shared" si="407"/>
        <v>0000000091</v>
      </c>
      <c r="K1526" s="1" t="str">
        <f t="shared" si="408"/>
        <v>قير  PG64-22</v>
      </c>
      <c r="L1526" s="1">
        <v>100</v>
      </c>
      <c r="M1526" s="1" t="str">
        <f t="shared" si="395"/>
        <v>مخازن قير اصفهان</v>
      </c>
      <c r="N1526" s="1">
        <v>4012</v>
      </c>
      <c r="O1526" s="1">
        <v>50033819</v>
      </c>
      <c r="P1526" s="1" t="str">
        <f t="shared" si="405"/>
        <v xml:space="preserve">  اداره كل راه و شهرسازي خراسان جنوبي</v>
      </c>
      <c r="Q1526" s="1">
        <v>14</v>
      </c>
      <c r="R1526" s="1" t="str">
        <f>"فروش داخلي - وزارت راه - حوزه راه روستايي ساخت"</f>
        <v>فروش داخلي - وزارت راه - حوزه راه روستايي ساخت</v>
      </c>
      <c r="S1526" s="1" t="str">
        <f t="shared" si="391"/>
        <v>قرارداد فروش</v>
      </c>
      <c r="T1526" s="1" t="str">
        <f t="shared" si="392"/>
        <v>ندارد</v>
      </c>
      <c r="U1526" s="1" t="str">
        <f>"بابامحمدي عنايت اله(4844000)"</f>
        <v>بابامحمدي عنايت اله(4844000)</v>
      </c>
      <c r="V1526" s="1">
        <v>951400169</v>
      </c>
      <c r="W1526" s="1">
        <v>951400169</v>
      </c>
      <c r="X1526" s="1" t="str">
        <f>"1395466577"</f>
        <v>1395466577</v>
      </c>
      <c r="Y1526" s="1" t="str">
        <f>"95/12/03"</f>
        <v>95/12/03</v>
      </c>
      <c r="Z1526" s="1" t="str">
        <f>"59766/710"</f>
        <v>59766/710</v>
      </c>
      <c r="AA1526" s="1" t="str">
        <f>"راه وروستايي -ساخت"</f>
        <v>راه وروستايي -ساخت</v>
      </c>
      <c r="AB1526" s="1" t="str">
        <f>"95/11/27"</f>
        <v>95/11/27</v>
      </c>
      <c r="AC1526" s="1" t="str">
        <f t="shared" si="406"/>
        <v>خراسان جنوبي</v>
      </c>
      <c r="AD1526" s="1" t="str">
        <f>"95/12/03"</f>
        <v>95/12/03</v>
      </c>
      <c r="AE1526" s="1" t="str">
        <f t="shared" si="400"/>
        <v>اختتام</v>
      </c>
      <c r="AF1526" s="1" t="str">
        <f>""</f>
        <v/>
      </c>
      <c r="AG1526" s="1" t="str">
        <f>""</f>
        <v/>
      </c>
      <c r="AH1526" s="1" t="str">
        <f>""</f>
        <v/>
      </c>
      <c r="AI1526" s="1" t="str">
        <f>""</f>
        <v/>
      </c>
      <c r="AJ1526" s="1" t="str">
        <f>""</f>
        <v/>
      </c>
      <c r="AK1526" s="1" t="str">
        <f>""</f>
        <v/>
      </c>
    </row>
    <row r="1527" spans="1:37" x14ac:dyDescent="0.2">
      <c r="A1527" s="1">
        <v>100000</v>
      </c>
      <c r="B1527" s="1">
        <v>951400184</v>
      </c>
      <c r="C1527" s="1" t="str">
        <f>"تخليه -خراسان جنوبي -بيرجند-كارخانه آسفالت شماره 2"</f>
        <v>تخليه -خراسان جنوبي -بيرجند-كارخانه آسفالت شماره 2</v>
      </c>
      <c r="D1527" s="1">
        <v>8854</v>
      </c>
      <c r="E1527" s="1">
        <v>100000</v>
      </c>
      <c r="F1527" s="1">
        <v>95</v>
      </c>
      <c r="G1527" s="1">
        <v>0</v>
      </c>
      <c r="H1527" s="1" t="str">
        <f>"95/12/24"</f>
        <v>95/12/24</v>
      </c>
      <c r="I1527" s="1" t="str">
        <f t="shared" si="390"/>
        <v>كيلوگرم</v>
      </c>
      <c r="J1527" s="1" t="str">
        <f t="shared" si="407"/>
        <v>0000000091</v>
      </c>
      <c r="K1527" s="1" t="str">
        <f t="shared" si="408"/>
        <v>قير  PG64-22</v>
      </c>
      <c r="L1527" s="1">
        <v>100</v>
      </c>
      <c r="M1527" s="1" t="str">
        <f t="shared" si="395"/>
        <v>مخازن قير اصفهان</v>
      </c>
      <c r="N1527" s="1">
        <v>4012</v>
      </c>
      <c r="O1527" s="1">
        <v>50034951</v>
      </c>
      <c r="P1527" s="1" t="str">
        <f t="shared" si="405"/>
        <v xml:space="preserve">  اداره كل راه و شهرسازي خراسان جنوبي</v>
      </c>
      <c r="Q1527" s="1">
        <v>14</v>
      </c>
      <c r="R1527" s="1" t="str">
        <f>"فروش داخلي - وزارت راه - حوزه راه روستايي ساخت"</f>
        <v>فروش داخلي - وزارت راه - حوزه راه روستايي ساخت</v>
      </c>
      <c r="S1527" s="1" t="str">
        <f t="shared" si="391"/>
        <v>قرارداد فروش</v>
      </c>
      <c r="T1527" s="1" t="str">
        <f t="shared" si="392"/>
        <v>ندارد</v>
      </c>
      <c r="U1527" s="1" t="str">
        <f>"شيخي خيراله (1841012)"</f>
        <v>شيخي خيراله (1841012)</v>
      </c>
      <c r="V1527" s="1">
        <v>951400184</v>
      </c>
      <c r="W1527" s="1">
        <v>951400184</v>
      </c>
      <c r="X1527" s="1" t="str">
        <f>"1395470430"</f>
        <v>1395470430</v>
      </c>
      <c r="Y1527" s="1" t="str">
        <f>"95/12/24"</f>
        <v>95/12/24</v>
      </c>
      <c r="Z1527" s="1" t="str">
        <f>"65429/710"</f>
        <v>65429/710</v>
      </c>
      <c r="AA1527" s="1" t="str">
        <f>"راه وروستايي -ساخت"</f>
        <v>راه وروستايي -ساخت</v>
      </c>
      <c r="AB1527" s="1" t="str">
        <f>"95/12/21"</f>
        <v>95/12/21</v>
      </c>
      <c r="AC1527" s="1" t="str">
        <f t="shared" si="406"/>
        <v>خراسان جنوبي</v>
      </c>
      <c r="AD1527" s="1" t="str">
        <f>"95/12/22"</f>
        <v>95/12/22</v>
      </c>
      <c r="AE1527" s="1" t="str">
        <f t="shared" ref="AE1527:AE1558" si="411">"اختتام"</f>
        <v>اختتام</v>
      </c>
      <c r="AF1527" s="1" t="str">
        <f>""</f>
        <v/>
      </c>
      <c r="AG1527" s="1" t="str">
        <f>""</f>
        <v/>
      </c>
      <c r="AH1527" s="1" t="str">
        <f>""</f>
        <v/>
      </c>
      <c r="AI1527" s="1" t="str">
        <f>""</f>
        <v/>
      </c>
      <c r="AJ1527" s="1" t="str">
        <f>""</f>
        <v/>
      </c>
      <c r="AK1527" s="1" t="str">
        <f>""</f>
        <v/>
      </c>
    </row>
    <row r="1528" spans="1:37" x14ac:dyDescent="0.2">
      <c r="A1528" s="1">
        <v>429160</v>
      </c>
      <c r="B1528" s="1">
        <v>951700092</v>
      </c>
      <c r="C1528" s="1" t="str">
        <f>"تخليه -پروژه لكه گيري ودرزگيري راههاي روستايي استان اصفهان -مخازن قيرادارات تابعه استان اصفهان"</f>
        <v>تخليه -پروژه لكه گيري ودرزگيري راههاي روستايي استان اصفهان -مخازن قيرادارات تابعه استان اصفهان</v>
      </c>
      <c r="D1528" s="1">
        <v>9980</v>
      </c>
      <c r="E1528" s="1">
        <v>428140</v>
      </c>
      <c r="F1528" s="1">
        <v>95</v>
      </c>
      <c r="G1528" s="1">
        <v>1020</v>
      </c>
      <c r="H1528" s="1" t="str">
        <f>"95/04/19"</f>
        <v>95/04/19</v>
      </c>
      <c r="I1528" s="1" t="str">
        <f t="shared" si="390"/>
        <v>كيلوگرم</v>
      </c>
      <c r="J1528" s="1" t="str">
        <f>"1000000003"</f>
        <v>1000000003</v>
      </c>
      <c r="K1528" s="1" t="str">
        <f>"قير MC250"</f>
        <v>قير MC250</v>
      </c>
      <c r="L1528" s="1">
        <v>100</v>
      </c>
      <c r="M1528" s="1" t="str">
        <f t="shared" si="395"/>
        <v>مخازن قير اصفهان</v>
      </c>
      <c r="N1528" s="1">
        <v>8091</v>
      </c>
      <c r="O1528" s="1">
        <v>50031232</v>
      </c>
      <c r="P1528" s="1" t="str">
        <f>"  اداره كل راه وشهرسازي اصفهان"</f>
        <v xml:space="preserve">  اداره كل راه وشهرسازي اصفهان</v>
      </c>
      <c r="Q1528" s="1">
        <v>17</v>
      </c>
      <c r="R1528" s="1" t="str">
        <f>"فروش داخلي تهران - وزارت راه - راه روستايي - روکش"</f>
        <v>فروش داخلي تهران - وزارت راه - راه روستايي - روکش</v>
      </c>
      <c r="S1528" s="1" t="str">
        <f t="shared" si="391"/>
        <v>قرارداد فروش</v>
      </c>
      <c r="T1528" s="1" t="str">
        <f t="shared" si="392"/>
        <v>ندارد</v>
      </c>
      <c r="U1528" s="1" t="str">
        <f>"شهبازي محمدرضا(1029ج89)"</f>
        <v>شهبازي محمدرضا(1029ج89)</v>
      </c>
      <c r="V1528" s="1">
        <v>951700092</v>
      </c>
      <c r="W1528" s="1">
        <v>951700092</v>
      </c>
      <c r="X1528" s="1" t="str">
        <f>"1394391520"</f>
        <v>1394391520</v>
      </c>
      <c r="Y1528" s="1" t="str">
        <f>"95/04/19"</f>
        <v>95/04/19</v>
      </c>
      <c r="Z1528" s="1" t="str">
        <f>"61659/510"</f>
        <v>61659/510</v>
      </c>
      <c r="AA1528" s="1" t="str">
        <f>"راه روستائي -روكش"</f>
        <v>راه روستائي -روكش</v>
      </c>
      <c r="AB1528" s="1" t="str">
        <f>"94/11/10"</f>
        <v>94/11/10</v>
      </c>
      <c r="AC1528" s="1" t="str">
        <f>"استان اصفهان"</f>
        <v>استان اصفهان</v>
      </c>
      <c r="AD1528" s="1" t="str">
        <f>"94/11/19"</f>
        <v>94/11/19</v>
      </c>
      <c r="AE1528" s="1" t="str">
        <f t="shared" si="411"/>
        <v>اختتام</v>
      </c>
      <c r="AF1528" s="1" t="str">
        <f>""</f>
        <v/>
      </c>
      <c r="AG1528" s="1" t="str">
        <f>""</f>
        <v/>
      </c>
      <c r="AH1528" s="1" t="str">
        <f>""</f>
        <v/>
      </c>
      <c r="AI1528" s="1" t="str">
        <f>""</f>
        <v/>
      </c>
      <c r="AJ1528" s="1" t="str">
        <f>""</f>
        <v/>
      </c>
      <c r="AK1528" s="1" t="str">
        <f>""</f>
        <v/>
      </c>
    </row>
    <row r="1529" spans="1:37" x14ac:dyDescent="0.2">
      <c r="A1529" s="1">
        <v>235000</v>
      </c>
      <c r="B1529" s="1">
        <v>951700080</v>
      </c>
      <c r="C1529" s="1" t="str">
        <f>"تخليه خراسان جنوبي -اداره راه وشهرسازي شهرستان بشرويه"</f>
        <v>تخليه خراسان جنوبي -اداره راه وشهرسازي شهرستان بشرويه</v>
      </c>
      <c r="D1529" s="1">
        <v>9980</v>
      </c>
      <c r="E1529" s="1">
        <v>229900</v>
      </c>
      <c r="F1529" s="1">
        <v>95</v>
      </c>
      <c r="G1529" s="1">
        <v>5100</v>
      </c>
      <c r="H1529" s="1" t="str">
        <f>"95/04/14"</f>
        <v>95/04/14</v>
      </c>
      <c r="I1529" s="1" t="str">
        <f t="shared" si="390"/>
        <v>كيلوگرم</v>
      </c>
      <c r="J1529" s="1" t="str">
        <f>"1000000003"</f>
        <v>1000000003</v>
      </c>
      <c r="K1529" s="1" t="str">
        <f>"قير MC250"</f>
        <v>قير MC250</v>
      </c>
      <c r="L1529" s="1">
        <v>100</v>
      </c>
      <c r="M1529" s="1" t="str">
        <f t="shared" si="395"/>
        <v>مخازن قير اصفهان</v>
      </c>
      <c r="N1529" s="1">
        <v>4012</v>
      </c>
      <c r="O1529" s="1">
        <v>50031199</v>
      </c>
      <c r="P1529" s="1" t="str">
        <f>"  اداره كل راه و شهرسازي خراسان جنوبي"</f>
        <v xml:space="preserve">  اداره كل راه و شهرسازي خراسان جنوبي</v>
      </c>
      <c r="Q1529" s="1">
        <v>17</v>
      </c>
      <c r="R1529" s="1" t="str">
        <f>"فروش داخلي تهران - وزارت راه - راه روستايي - روکش"</f>
        <v>فروش داخلي تهران - وزارت راه - راه روستايي - روکش</v>
      </c>
      <c r="S1529" s="1" t="str">
        <f t="shared" si="391"/>
        <v>قرارداد فروش</v>
      </c>
      <c r="T1529" s="1" t="str">
        <f t="shared" si="392"/>
        <v>ندارد</v>
      </c>
      <c r="U1529" s="1" t="str">
        <f>"بابامحمدي عنايت اله(4844000)"</f>
        <v>بابامحمدي عنايت اله(4844000)</v>
      </c>
      <c r="V1529" s="1">
        <v>951700080</v>
      </c>
      <c r="W1529" s="1">
        <v>951700080</v>
      </c>
      <c r="X1529" s="1" t="str">
        <f>"1395412582"</f>
        <v>1395412582</v>
      </c>
      <c r="Y1529" s="1" t="str">
        <f>"95/04/14"</f>
        <v>95/04/14</v>
      </c>
      <c r="Z1529" s="1" t="str">
        <f>"14955/510"</f>
        <v>14955/510</v>
      </c>
      <c r="AA1529" s="1" t="str">
        <f>"راه روستائي -روكش"</f>
        <v>راه روستائي -روكش</v>
      </c>
      <c r="AB1529" s="1" t="str">
        <f>"95/04/08"</f>
        <v>95/04/08</v>
      </c>
      <c r="AC1529" s="1" t="str">
        <f>"خراسان جنوبي"</f>
        <v>خراسان جنوبي</v>
      </c>
      <c r="AD1529" s="1" t="str">
        <f>"95/04/12"</f>
        <v>95/04/12</v>
      </c>
      <c r="AE1529" s="1" t="str">
        <f t="shared" si="411"/>
        <v>اختتام</v>
      </c>
      <c r="AF1529" s="1" t="str">
        <f>""</f>
        <v/>
      </c>
      <c r="AG1529" s="1" t="str">
        <f>""</f>
        <v/>
      </c>
      <c r="AH1529" s="1" t="str">
        <f>""</f>
        <v/>
      </c>
      <c r="AI1529" s="1" t="str">
        <f>""</f>
        <v/>
      </c>
      <c r="AJ1529" s="1" t="str">
        <f>""</f>
        <v/>
      </c>
      <c r="AK1529" s="1" t="str">
        <f>""</f>
        <v/>
      </c>
    </row>
    <row r="1530" spans="1:37" x14ac:dyDescent="0.2">
      <c r="A1530" s="1">
        <v>48000</v>
      </c>
      <c r="B1530" s="1">
        <v>951100096</v>
      </c>
      <c r="C1530" s="1" t="str">
        <f>"تخليه -يزد-طبس 5كيلومترمانده به روستاي خرانق"</f>
        <v>تخليه -يزد-طبس 5كيلومترمانده به روستاي خرانق</v>
      </c>
      <c r="D1530" s="1">
        <v>10200</v>
      </c>
      <c r="E1530" s="1">
        <v>47640</v>
      </c>
      <c r="F1530" s="1">
        <v>95</v>
      </c>
      <c r="G1530" s="1">
        <v>360</v>
      </c>
      <c r="H1530" s="1" t="str">
        <f>"95/05/16"</f>
        <v>95/05/16</v>
      </c>
      <c r="I1530" s="1" t="str">
        <f t="shared" si="390"/>
        <v>كيلوگرم</v>
      </c>
      <c r="J1530" s="1" t="str">
        <f>"1000000003"</f>
        <v>1000000003</v>
      </c>
      <c r="K1530" s="1" t="str">
        <f>"قير MC250"</f>
        <v>قير MC250</v>
      </c>
      <c r="L1530" s="1">
        <v>100</v>
      </c>
      <c r="M1530" s="1" t="str">
        <f t="shared" si="395"/>
        <v>مخازن قير اصفهان</v>
      </c>
      <c r="N1530" s="1">
        <v>8106</v>
      </c>
      <c r="O1530" s="1">
        <v>50031428</v>
      </c>
      <c r="P1530" s="1" t="str">
        <f>"  سامان محيط"</f>
        <v xml:space="preserve">  سامان محيط</v>
      </c>
      <c r="Q1530" s="1">
        <v>11</v>
      </c>
      <c r="R1530" s="1" t="str">
        <f>"فروش داخلي تهران - بورس"</f>
        <v>فروش داخلي تهران - بورس</v>
      </c>
      <c r="S1530" s="1" t="str">
        <f t="shared" si="391"/>
        <v>قرارداد فروش</v>
      </c>
      <c r="T1530" s="1" t="str">
        <f t="shared" si="392"/>
        <v>ندارد</v>
      </c>
      <c r="U1530" s="1" t="str">
        <f>"عظيمي محمد(2842015)"</f>
        <v>عظيمي محمد(2842015)</v>
      </c>
      <c r="V1530" s="1">
        <v>951100096</v>
      </c>
      <c r="W1530" s="1">
        <v>951100096</v>
      </c>
      <c r="X1530" s="1" t="str">
        <f>"1395421141"</f>
        <v>1395421141</v>
      </c>
      <c r="Y1530" s="1" t="str">
        <f>"95/05/13"</f>
        <v>95/05/13</v>
      </c>
      <c r="Z1530" s="1" t="str">
        <f>"3/519/ص"</f>
        <v>3/519/ص</v>
      </c>
      <c r="AA1530" s="1" t="str">
        <f>"راه سازي"</f>
        <v>راه سازي</v>
      </c>
      <c r="AB1530" s="1" t="str">
        <f>"95/05/11"</f>
        <v>95/05/11</v>
      </c>
      <c r="AC1530" s="1" t="str">
        <f>"استان يزد"</f>
        <v>استان يزد</v>
      </c>
      <c r="AD1530" s="1" t="str">
        <f>"95/05/13"</f>
        <v>95/05/13</v>
      </c>
      <c r="AE1530" s="1" t="str">
        <f t="shared" si="411"/>
        <v>اختتام</v>
      </c>
      <c r="AF1530" s="1" t="str">
        <f>""</f>
        <v/>
      </c>
      <c r="AG1530" s="1" t="str">
        <f>""</f>
        <v/>
      </c>
      <c r="AH1530" s="1" t="str">
        <f>""</f>
        <v/>
      </c>
      <c r="AI1530" s="1" t="str">
        <f>""</f>
        <v/>
      </c>
      <c r="AJ1530" s="1" t="str">
        <f>""</f>
        <v/>
      </c>
      <c r="AK1530" s="1" t="str">
        <f>""</f>
        <v/>
      </c>
    </row>
    <row r="1531" spans="1:37" x14ac:dyDescent="0.2">
      <c r="A1531" s="1">
        <v>39000</v>
      </c>
      <c r="B1531" s="1">
        <v>951100127</v>
      </c>
      <c r="C1531" s="1" t="str">
        <f>"تخليه -يزد-طبس 5كيلومترمانده به روستاي خرانق"</f>
        <v>تخليه -يزد-طبس 5كيلومترمانده به روستاي خرانق</v>
      </c>
      <c r="D1531" s="1">
        <v>11000</v>
      </c>
      <c r="E1531" s="1">
        <v>38280</v>
      </c>
      <c r="F1531" s="1">
        <v>95</v>
      </c>
      <c r="G1531" s="1">
        <v>720</v>
      </c>
      <c r="H1531" s="1" t="str">
        <f>"95/07/17"</f>
        <v>95/07/17</v>
      </c>
      <c r="I1531" s="1" t="str">
        <f t="shared" si="390"/>
        <v>كيلوگرم</v>
      </c>
      <c r="J1531" s="1" t="str">
        <f>"1000000003"</f>
        <v>1000000003</v>
      </c>
      <c r="K1531" s="1" t="str">
        <f>"قير MC250"</f>
        <v>قير MC250</v>
      </c>
      <c r="L1531" s="1">
        <v>100</v>
      </c>
      <c r="M1531" s="1" t="str">
        <f t="shared" si="395"/>
        <v>مخازن قير اصفهان</v>
      </c>
      <c r="N1531" s="1">
        <v>8106</v>
      </c>
      <c r="O1531" s="1">
        <v>50032126</v>
      </c>
      <c r="P1531" s="1" t="str">
        <f>"  سامان محيط"</f>
        <v xml:space="preserve">  سامان محيط</v>
      </c>
      <c r="Q1531" s="1">
        <v>11</v>
      </c>
      <c r="R1531" s="1" t="str">
        <f>"فروش داخلي تهران - بورس"</f>
        <v>فروش داخلي تهران - بورس</v>
      </c>
      <c r="S1531" s="1" t="str">
        <f t="shared" si="391"/>
        <v>قرارداد فروش</v>
      </c>
      <c r="T1531" s="1" t="str">
        <f t="shared" si="392"/>
        <v>ندارد</v>
      </c>
      <c r="U1531" s="1" t="str">
        <f>"عظيمي محمد(2842015)"</f>
        <v>عظيمي محمد(2842015)</v>
      </c>
      <c r="V1531" s="1">
        <v>951100127</v>
      </c>
      <c r="W1531" s="1">
        <v>951100127</v>
      </c>
      <c r="X1531" s="1" t="str">
        <f>"1395436738"</f>
        <v>1395436738</v>
      </c>
      <c r="Y1531" s="1" t="str">
        <f>"95/07/17"</f>
        <v>95/07/17</v>
      </c>
      <c r="Z1531" s="1" t="str">
        <f>"3/720/ص"</f>
        <v>3/720/ص</v>
      </c>
      <c r="AA1531" s="1" t="str">
        <f>"راه سازي"</f>
        <v>راه سازي</v>
      </c>
      <c r="AB1531" s="1" t="str">
        <f>"95/07/14"</f>
        <v>95/07/14</v>
      </c>
      <c r="AC1531" s="1" t="str">
        <f>"استان يزد"</f>
        <v>استان يزد</v>
      </c>
      <c r="AD1531" s="1" t="str">
        <f>"95/07/17"</f>
        <v>95/07/17</v>
      </c>
      <c r="AE1531" s="1" t="str">
        <f t="shared" si="411"/>
        <v>اختتام</v>
      </c>
      <c r="AF1531" s="1" t="str">
        <f>""</f>
        <v/>
      </c>
      <c r="AG1531" s="1" t="str">
        <f>""</f>
        <v/>
      </c>
      <c r="AH1531" s="1" t="str">
        <f>""</f>
        <v/>
      </c>
      <c r="AI1531" s="1" t="str">
        <f>""</f>
        <v/>
      </c>
      <c r="AJ1531" s="1" t="str">
        <f>""</f>
        <v/>
      </c>
      <c r="AK1531" s="1" t="str">
        <f>""</f>
        <v/>
      </c>
    </row>
    <row r="1532" spans="1:37" x14ac:dyDescent="0.2">
      <c r="A1532" s="1">
        <v>819000</v>
      </c>
      <c r="B1532" s="1">
        <v>951700008</v>
      </c>
      <c r="C1532" s="1" t="str">
        <f>"تخليه -خراسان رضوي -شهرستان كاشمر-كارخانه آسفالت كيمياسروش پاسارگاد-اداره راه وشهرسازي مه ولات"</f>
        <v>تخليه -خراسان رضوي -شهرستان كاشمر-كارخانه آسفالت كيمياسروش پاسارگاد-اداره راه وشهرسازي مه ولات</v>
      </c>
      <c r="D1532" s="1">
        <v>5650</v>
      </c>
      <c r="E1532" s="1">
        <v>819000</v>
      </c>
      <c r="F1532" s="1">
        <v>95</v>
      </c>
      <c r="G1532" s="1">
        <v>0</v>
      </c>
      <c r="H1532" s="1" t="str">
        <f>"95/02/15"</f>
        <v>95/02/15</v>
      </c>
      <c r="I1532" s="1" t="str">
        <f t="shared" si="390"/>
        <v>كيلوگرم</v>
      </c>
      <c r="J1532" s="1" t="str">
        <f t="shared" ref="J1532:J1541" si="412">"0000000091"</f>
        <v>0000000091</v>
      </c>
      <c r="K1532" s="1" t="str">
        <f t="shared" ref="K1532:K1541" si="413">"قير  PG64-22"</f>
        <v>قير  PG64-22</v>
      </c>
      <c r="L1532" s="1">
        <v>100</v>
      </c>
      <c r="M1532" s="1" t="str">
        <f t="shared" si="395"/>
        <v>مخازن قير اصفهان</v>
      </c>
      <c r="N1532" s="1">
        <v>4026</v>
      </c>
      <c r="O1532" s="1">
        <v>50030750</v>
      </c>
      <c r="P1532" s="1" t="str">
        <f t="shared" ref="P1532:P1540" si="414">"  اداره كل راه و شهرسازي خراسان رضوي"</f>
        <v xml:space="preserve">  اداره كل راه و شهرسازي خراسان رضوي</v>
      </c>
      <c r="Q1532" s="1">
        <v>17</v>
      </c>
      <c r="R1532" s="1" t="str">
        <f t="shared" ref="R1532:R1538" si="415">"فروش داخلي تهران - وزارت راه - راه روستايي - روکش"</f>
        <v>فروش داخلي تهران - وزارت راه - راه روستايي - روکش</v>
      </c>
      <c r="S1532" s="1" t="str">
        <f t="shared" si="391"/>
        <v>قرارداد فروش</v>
      </c>
      <c r="T1532" s="1" t="str">
        <f t="shared" si="392"/>
        <v>ندارد</v>
      </c>
      <c r="U1532" s="1" t="str">
        <f>"ترك شاهسوندي مهدي(1022ج89)"</f>
        <v>ترك شاهسوندي مهدي(1022ج89)</v>
      </c>
      <c r="V1532" s="1">
        <v>951700008</v>
      </c>
      <c r="W1532" s="1">
        <v>951700008</v>
      </c>
      <c r="X1532" s="1" t="str">
        <f>"1395401990"</f>
        <v>1395401990</v>
      </c>
      <c r="Y1532" s="1" t="str">
        <f>"95/02/15"</f>
        <v>95/02/15</v>
      </c>
      <c r="Z1532" s="1" t="str">
        <f>"66670/510"</f>
        <v>66670/510</v>
      </c>
      <c r="AA1532" s="1" t="str">
        <f t="shared" ref="AA1532:AA1538" si="416">"راه روستائي -روكش"</f>
        <v>راه روستائي -روكش</v>
      </c>
      <c r="AB1532" s="1" t="str">
        <f>"94/12/04"</f>
        <v>94/12/04</v>
      </c>
      <c r="AC1532" s="1" t="str">
        <f t="shared" ref="AC1532:AC1541" si="417">"خراسان رضوي"</f>
        <v>خراسان رضوي</v>
      </c>
      <c r="AD1532" s="1" t="str">
        <f>"95/02/11"</f>
        <v>95/02/11</v>
      </c>
      <c r="AE1532" s="1" t="str">
        <f t="shared" si="411"/>
        <v>اختتام</v>
      </c>
      <c r="AF1532" s="1" t="str">
        <f>""</f>
        <v/>
      </c>
      <c r="AG1532" s="1" t="str">
        <f>""</f>
        <v/>
      </c>
      <c r="AH1532" s="1" t="str">
        <f>""</f>
        <v/>
      </c>
      <c r="AI1532" s="1" t="str">
        <f>""</f>
        <v/>
      </c>
      <c r="AJ1532" s="1" t="str">
        <f>""</f>
        <v/>
      </c>
      <c r="AK1532" s="1" t="str">
        <f>""</f>
        <v/>
      </c>
    </row>
    <row r="1533" spans="1:37" x14ac:dyDescent="0.2">
      <c r="A1533" s="1">
        <v>576000</v>
      </c>
      <c r="B1533" s="1">
        <v>951700014</v>
      </c>
      <c r="C1533" s="1" t="str">
        <f>"تخليه -خراسان رضوي -جاده كلات كارخانه آسفالت مشكين راه توس"</f>
        <v>تخليه -خراسان رضوي -جاده كلات كارخانه آسفالت مشكين راه توس</v>
      </c>
      <c r="D1533" s="1">
        <v>5650</v>
      </c>
      <c r="E1533" s="1">
        <v>574360</v>
      </c>
      <c r="F1533" s="1">
        <v>95</v>
      </c>
      <c r="G1533" s="1">
        <v>1640</v>
      </c>
      <c r="H1533" s="1" t="str">
        <f>"95/02/15"</f>
        <v>95/02/15</v>
      </c>
      <c r="I1533" s="1" t="str">
        <f t="shared" si="390"/>
        <v>كيلوگرم</v>
      </c>
      <c r="J1533" s="1" t="str">
        <f t="shared" si="412"/>
        <v>0000000091</v>
      </c>
      <c r="K1533" s="1" t="str">
        <f t="shared" si="413"/>
        <v>قير  PG64-22</v>
      </c>
      <c r="L1533" s="1">
        <v>100</v>
      </c>
      <c r="M1533" s="1" t="str">
        <f t="shared" si="395"/>
        <v>مخازن قير اصفهان</v>
      </c>
      <c r="N1533" s="1">
        <v>4026</v>
      </c>
      <c r="O1533" s="1">
        <v>50030759</v>
      </c>
      <c r="P1533" s="1" t="str">
        <f t="shared" si="414"/>
        <v xml:space="preserve">  اداره كل راه و شهرسازي خراسان رضوي</v>
      </c>
      <c r="Q1533" s="1">
        <v>17</v>
      </c>
      <c r="R1533" s="1" t="str">
        <f t="shared" si="415"/>
        <v>فروش داخلي تهران - وزارت راه - راه روستايي - روکش</v>
      </c>
      <c r="S1533" s="1" t="str">
        <f t="shared" si="391"/>
        <v>قرارداد فروش</v>
      </c>
      <c r="T1533" s="1" t="str">
        <f t="shared" si="392"/>
        <v>ندارد</v>
      </c>
      <c r="U1533" s="1" t="str">
        <f>"حسيني سيدجواد(1841076)"</f>
        <v>حسيني سيدجواد(1841076)</v>
      </c>
      <c r="V1533" s="1">
        <v>951700014</v>
      </c>
      <c r="W1533" s="1">
        <v>951700014</v>
      </c>
      <c r="X1533" s="1" t="str">
        <f>"1395401990"</f>
        <v>1395401990</v>
      </c>
      <c r="Y1533" s="1" t="str">
        <f>"95/02/15"</f>
        <v>95/02/15</v>
      </c>
      <c r="Z1533" s="1" t="str">
        <f>"67364/510"</f>
        <v>67364/510</v>
      </c>
      <c r="AA1533" s="1" t="str">
        <f t="shared" si="416"/>
        <v>راه روستائي -روكش</v>
      </c>
      <c r="AB1533" s="1" t="str">
        <f>"94/12/09"</f>
        <v>94/12/09</v>
      </c>
      <c r="AC1533" s="1" t="str">
        <f t="shared" si="417"/>
        <v>خراسان رضوي</v>
      </c>
      <c r="AD1533" s="1" t="str">
        <f>"95/02/11"</f>
        <v>95/02/11</v>
      </c>
      <c r="AE1533" s="1" t="str">
        <f t="shared" si="411"/>
        <v>اختتام</v>
      </c>
      <c r="AF1533" s="1" t="str">
        <f>""</f>
        <v/>
      </c>
      <c r="AG1533" s="1" t="str">
        <f>""</f>
        <v/>
      </c>
      <c r="AH1533" s="1" t="str">
        <f>""</f>
        <v/>
      </c>
      <c r="AI1533" s="1" t="str">
        <f>""</f>
        <v/>
      </c>
      <c r="AJ1533" s="1" t="str">
        <f>""</f>
        <v/>
      </c>
      <c r="AK1533" s="1" t="str">
        <f>""</f>
        <v/>
      </c>
    </row>
    <row r="1534" spans="1:37" x14ac:dyDescent="0.2">
      <c r="A1534" s="1">
        <v>790000</v>
      </c>
      <c r="B1534" s="1">
        <v>951700019</v>
      </c>
      <c r="C1534" s="1" t="str">
        <f>"تخليه -خراسان رضوي -نيشابور-فيروزه -كيلومتر12جاده قوچان -كارخانه آسفالت دل حفره"</f>
        <v>تخليه -خراسان رضوي -نيشابور-فيروزه -كيلومتر12جاده قوچان -كارخانه آسفالت دل حفره</v>
      </c>
      <c r="D1534" s="1">
        <v>5650</v>
      </c>
      <c r="E1534" s="1">
        <v>790000</v>
      </c>
      <c r="F1534" s="1">
        <v>95</v>
      </c>
      <c r="G1534" s="1">
        <v>0</v>
      </c>
      <c r="H1534" s="1" t="str">
        <f>"95/02/15"</f>
        <v>95/02/15</v>
      </c>
      <c r="I1534" s="1" t="str">
        <f t="shared" si="390"/>
        <v>كيلوگرم</v>
      </c>
      <c r="J1534" s="1" t="str">
        <f t="shared" si="412"/>
        <v>0000000091</v>
      </c>
      <c r="K1534" s="1" t="str">
        <f t="shared" si="413"/>
        <v>قير  PG64-22</v>
      </c>
      <c r="L1534" s="1">
        <v>100</v>
      </c>
      <c r="M1534" s="1" t="str">
        <f t="shared" si="395"/>
        <v>مخازن قير اصفهان</v>
      </c>
      <c r="N1534" s="1">
        <v>4026</v>
      </c>
      <c r="O1534" s="1">
        <v>50030768</v>
      </c>
      <c r="P1534" s="1" t="str">
        <f t="shared" si="414"/>
        <v xml:space="preserve">  اداره كل راه و شهرسازي خراسان رضوي</v>
      </c>
      <c r="Q1534" s="1">
        <v>17</v>
      </c>
      <c r="R1534" s="1" t="str">
        <f t="shared" si="415"/>
        <v>فروش داخلي تهران - وزارت راه - راه روستايي - روکش</v>
      </c>
      <c r="S1534" s="1" t="str">
        <f t="shared" si="391"/>
        <v>قرارداد فروش</v>
      </c>
      <c r="T1534" s="1" t="str">
        <f t="shared" si="392"/>
        <v>ندارد</v>
      </c>
      <c r="U1534" s="1" t="str">
        <f>"حسيني سيدجواد(1841076)"</f>
        <v>حسيني سيدجواد(1841076)</v>
      </c>
      <c r="V1534" s="1">
        <v>951700019</v>
      </c>
      <c r="W1534" s="1">
        <v>951700019</v>
      </c>
      <c r="X1534" s="1" t="str">
        <f>"1395401990"</f>
        <v>1395401990</v>
      </c>
      <c r="Y1534" s="1" t="str">
        <f>"95/02/15"</f>
        <v>95/02/15</v>
      </c>
      <c r="Z1534" s="1" t="str">
        <f>"66822/510"</f>
        <v>66822/510</v>
      </c>
      <c r="AA1534" s="1" t="str">
        <f t="shared" si="416"/>
        <v>راه روستائي -روكش</v>
      </c>
      <c r="AB1534" s="1" t="str">
        <f>"94/12/04"</f>
        <v>94/12/04</v>
      </c>
      <c r="AC1534" s="1" t="str">
        <f t="shared" si="417"/>
        <v>خراسان رضوي</v>
      </c>
      <c r="AD1534" s="1" t="str">
        <f>"95/02/11"</f>
        <v>95/02/11</v>
      </c>
      <c r="AE1534" s="1" t="str">
        <f t="shared" si="411"/>
        <v>اختتام</v>
      </c>
      <c r="AF1534" s="1" t="str">
        <f>""</f>
        <v/>
      </c>
      <c r="AG1534" s="1" t="str">
        <f>""</f>
        <v/>
      </c>
      <c r="AH1534" s="1" t="str">
        <f>""</f>
        <v/>
      </c>
      <c r="AI1534" s="1" t="str">
        <f>""</f>
        <v/>
      </c>
      <c r="AJ1534" s="1" t="str">
        <f>""</f>
        <v/>
      </c>
      <c r="AK1534" s="1" t="str">
        <f>""</f>
        <v/>
      </c>
    </row>
    <row r="1535" spans="1:37" x14ac:dyDescent="0.2">
      <c r="A1535" s="1">
        <v>549000</v>
      </c>
      <c r="B1535" s="1">
        <v>951700076</v>
      </c>
      <c r="C1535" s="1" t="str">
        <f>"تخليه -خراسان رضوي كيلومتر2محورروستايي براكوه كارخانه آسفالت شركت نيكچه"</f>
        <v>تخليه -خراسان رضوي كيلومتر2محورروستايي براكوه كارخانه آسفالت شركت نيكچه</v>
      </c>
      <c r="D1535" s="1">
        <v>6250</v>
      </c>
      <c r="E1535" s="1">
        <v>549000</v>
      </c>
      <c r="F1535" s="1">
        <v>95</v>
      </c>
      <c r="G1535" s="1">
        <v>0</v>
      </c>
      <c r="H1535" s="1" t="str">
        <f>"95/04/08"</f>
        <v>95/04/08</v>
      </c>
      <c r="I1535" s="1" t="str">
        <f t="shared" si="390"/>
        <v>كيلوگرم</v>
      </c>
      <c r="J1535" s="1" t="str">
        <f t="shared" si="412"/>
        <v>0000000091</v>
      </c>
      <c r="K1535" s="1" t="str">
        <f t="shared" si="413"/>
        <v>قير  PG64-22</v>
      </c>
      <c r="L1535" s="1">
        <v>100</v>
      </c>
      <c r="M1535" s="1" t="str">
        <f t="shared" si="395"/>
        <v>مخازن قير اصفهان</v>
      </c>
      <c r="N1535" s="1">
        <v>4026</v>
      </c>
      <c r="O1535" s="1">
        <v>50031157</v>
      </c>
      <c r="P1535" s="1" t="str">
        <f t="shared" si="414"/>
        <v xml:space="preserve">  اداره كل راه و شهرسازي خراسان رضوي</v>
      </c>
      <c r="Q1535" s="1">
        <v>17</v>
      </c>
      <c r="R1535" s="1" t="str">
        <f t="shared" si="415"/>
        <v>فروش داخلي تهران - وزارت راه - راه روستايي - روکش</v>
      </c>
      <c r="S1535" s="1" t="str">
        <f t="shared" si="391"/>
        <v>قرارداد فروش</v>
      </c>
      <c r="T1535" s="1" t="str">
        <f t="shared" si="392"/>
        <v>ندارد</v>
      </c>
      <c r="U1535" s="1" t="str">
        <f>"نظام دوست امين (1911102)"</f>
        <v>نظام دوست امين (1911102)</v>
      </c>
      <c r="V1535" s="1">
        <v>951700076</v>
      </c>
      <c r="W1535" s="1">
        <v>951700076</v>
      </c>
      <c r="X1535" s="1" t="str">
        <f>"1395411402"</f>
        <v>1395411402</v>
      </c>
      <c r="Y1535" s="1" t="str">
        <f>"95/04/08"</f>
        <v>95/04/08</v>
      </c>
      <c r="Z1535" s="1" t="str">
        <f>"13819/510"</f>
        <v>13819/510</v>
      </c>
      <c r="AA1535" s="1" t="str">
        <f t="shared" si="416"/>
        <v>راه روستائي -روكش</v>
      </c>
      <c r="AB1535" s="1" t="str">
        <f>"95/04/01"</f>
        <v>95/04/01</v>
      </c>
      <c r="AC1535" s="1" t="str">
        <f t="shared" si="417"/>
        <v>خراسان رضوي</v>
      </c>
      <c r="AD1535" s="1" t="str">
        <f>"95/04/06"</f>
        <v>95/04/06</v>
      </c>
      <c r="AE1535" s="1" t="str">
        <f t="shared" si="411"/>
        <v>اختتام</v>
      </c>
      <c r="AF1535" s="1" t="str">
        <f>""</f>
        <v/>
      </c>
      <c r="AG1535" s="1" t="str">
        <f>""</f>
        <v/>
      </c>
      <c r="AH1535" s="1" t="str">
        <f>""</f>
        <v/>
      </c>
      <c r="AI1535" s="1" t="str">
        <f>""</f>
        <v/>
      </c>
      <c r="AJ1535" s="1" t="str">
        <f>""</f>
        <v/>
      </c>
      <c r="AK1535" s="1" t="str">
        <f>""</f>
        <v/>
      </c>
    </row>
    <row r="1536" spans="1:37" x14ac:dyDescent="0.2">
      <c r="A1536" s="1">
        <v>76260</v>
      </c>
      <c r="B1536" s="1">
        <v>951700096</v>
      </c>
      <c r="C1536" s="1" t="str">
        <f>"تخليه-کارخانه عطاملک جاده سبزوار-اسفراين"</f>
        <v>تخليه-کارخانه عطاملک جاده سبزوار-اسفراين</v>
      </c>
      <c r="D1536" s="1">
        <v>6250</v>
      </c>
      <c r="E1536" s="1">
        <v>72140</v>
      </c>
      <c r="F1536" s="1">
        <v>95</v>
      </c>
      <c r="G1536" s="1">
        <v>4120</v>
      </c>
      <c r="H1536" s="1" t="str">
        <f>"95/04/19"</f>
        <v>95/04/19</v>
      </c>
      <c r="I1536" s="1" t="str">
        <f t="shared" si="390"/>
        <v>كيلوگرم</v>
      </c>
      <c r="J1536" s="1" t="str">
        <f t="shared" si="412"/>
        <v>0000000091</v>
      </c>
      <c r="K1536" s="1" t="str">
        <f t="shared" si="413"/>
        <v>قير  PG64-22</v>
      </c>
      <c r="L1536" s="1">
        <v>100</v>
      </c>
      <c r="M1536" s="1" t="str">
        <f t="shared" si="395"/>
        <v>مخازن قير اصفهان</v>
      </c>
      <c r="N1536" s="1">
        <v>4026</v>
      </c>
      <c r="O1536" s="1">
        <v>50031237</v>
      </c>
      <c r="P1536" s="1" t="str">
        <f t="shared" si="414"/>
        <v xml:space="preserve">  اداره كل راه و شهرسازي خراسان رضوي</v>
      </c>
      <c r="Q1536" s="1">
        <v>17</v>
      </c>
      <c r="R1536" s="1" t="str">
        <f t="shared" si="415"/>
        <v>فروش داخلي تهران - وزارت راه - راه روستايي - روکش</v>
      </c>
      <c r="S1536" s="1" t="str">
        <f t="shared" si="391"/>
        <v>قرارداد فروش</v>
      </c>
      <c r="T1536" s="1" t="str">
        <f t="shared" si="392"/>
        <v>ندارد</v>
      </c>
      <c r="U1536" s="1" t="str">
        <f>"معماريان سعيد(1004ج89)"</f>
        <v>معماريان سعيد(1004ج89)</v>
      </c>
      <c r="V1536" s="1">
        <v>951700096</v>
      </c>
      <c r="W1536" s="1">
        <v>951700096</v>
      </c>
      <c r="X1536" s="1" t="str">
        <f>"1394392175"</f>
        <v>1394392175</v>
      </c>
      <c r="Y1536" s="1" t="str">
        <f>"95/04/19"</f>
        <v>95/04/19</v>
      </c>
      <c r="Z1536" s="1" t="str">
        <f>"63790/510"</f>
        <v>63790/510</v>
      </c>
      <c r="AA1536" s="1" t="str">
        <f t="shared" si="416"/>
        <v>راه روستائي -روكش</v>
      </c>
      <c r="AB1536" s="1" t="str">
        <f>"94/11/19"</f>
        <v>94/11/19</v>
      </c>
      <c r="AC1536" s="1" t="str">
        <f t="shared" si="417"/>
        <v>خراسان رضوي</v>
      </c>
      <c r="AD1536" s="1" t="str">
        <f>"94/11/21"</f>
        <v>94/11/21</v>
      </c>
      <c r="AE1536" s="1" t="str">
        <f t="shared" si="411"/>
        <v>اختتام</v>
      </c>
      <c r="AF1536" s="1" t="str">
        <f>""</f>
        <v/>
      </c>
      <c r="AG1536" s="1" t="str">
        <f>""</f>
        <v/>
      </c>
      <c r="AH1536" s="1" t="str">
        <f>""</f>
        <v/>
      </c>
      <c r="AI1536" s="1" t="str">
        <f>""</f>
        <v/>
      </c>
      <c r="AJ1536" s="1" t="str">
        <f>""</f>
        <v/>
      </c>
      <c r="AK1536" s="1" t="str">
        <f>""</f>
        <v/>
      </c>
    </row>
    <row r="1537" spans="1:37" x14ac:dyDescent="0.2">
      <c r="A1537" s="1">
        <v>400000</v>
      </c>
      <c r="B1537" s="1">
        <v>951700155</v>
      </c>
      <c r="C1537" s="1" t="str">
        <f>"تخليه خراسان رضوي كيلومتر3محورباخرزدولت آبادكارخانه آسفالت توس راديه"</f>
        <v>تخليه خراسان رضوي كيلومتر3محورباخرزدولت آبادكارخانه آسفالت توس راديه</v>
      </c>
      <c r="D1537" s="1">
        <v>6726</v>
      </c>
      <c r="E1537" s="1">
        <v>399860</v>
      </c>
      <c r="F1537" s="1">
        <v>95</v>
      </c>
      <c r="G1537" s="1">
        <v>140</v>
      </c>
      <c r="H1537" s="1" t="str">
        <f>"95/05/24"</f>
        <v>95/05/24</v>
      </c>
      <c r="I1537" s="1" t="str">
        <f t="shared" si="390"/>
        <v>كيلوگرم</v>
      </c>
      <c r="J1537" s="1" t="str">
        <f t="shared" si="412"/>
        <v>0000000091</v>
      </c>
      <c r="K1537" s="1" t="str">
        <f t="shared" si="413"/>
        <v>قير  PG64-22</v>
      </c>
      <c r="L1537" s="1">
        <v>100</v>
      </c>
      <c r="M1537" s="1" t="str">
        <f t="shared" si="395"/>
        <v>مخازن قير اصفهان</v>
      </c>
      <c r="N1537" s="1">
        <v>4026</v>
      </c>
      <c r="O1537" s="1">
        <v>50031520</v>
      </c>
      <c r="P1537" s="1" t="str">
        <f t="shared" si="414"/>
        <v xml:space="preserve">  اداره كل راه و شهرسازي خراسان رضوي</v>
      </c>
      <c r="Q1537" s="1">
        <v>17</v>
      </c>
      <c r="R1537" s="1" t="str">
        <f t="shared" si="415"/>
        <v>فروش داخلي تهران - وزارت راه - راه روستايي - روکش</v>
      </c>
      <c r="S1537" s="1" t="str">
        <f t="shared" si="391"/>
        <v>قرارداد فروش</v>
      </c>
      <c r="T1537" s="1" t="str">
        <f t="shared" si="392"/>
        <v>ندارد</v>
      </c>
      <c r="U1537" s="1" t="str">
        <f>"بابامحمدي عنايت اله(4844000)"</f>
        <v>بابامحمدي عنايت اله(4844000)</v>
      </c>
      <c r="V1537" s="1">
        <v>951700155</v>
      </c>
      <c r="W1537" s="1">
        <v>951700155</v>
      </c>
      <c r="X1537" s="1" t="str">
        <f>"1395423491"</f>
        <v>1395423491</v>
      </c>
      <c r="Y1537" s="1" t="str">
        <f>"95/05/24"</f>
        <v>95/05/24</v>
      </c>
      <c r="Z1537" s="1" t="str">
        <f>"22307/510"</f>
        <v>22307/510</v>
      </c>
      <c r="AA1537" s="1" t="str">
        <f t="shared" si="416"/>
        <v>راه روستائي -روكش</v>
      </c>
      <c r="AB1537" s="1" t="str">
        <f>"95/05/18"</f>
        <v>95/05/18</v>
      </c>
      <c r="AC1537" s="1" t="str">
        <f t="shared" si="417"/>
        <v>خراسان رضوي</v>
      </c>
      <c r="AD1537" s="1" t="str">
        <f>"95/05/23"</f>
        <v>95/05/23</v>
      </c>
      <c r="AE1537" s="1" t="str">
        <f t="shared" si="411"/>
        <v>اختتام</v>
      </c>
      <c r="AF1537" s="1" t="str">
        <f>""</f>
        <v/>
      </c>
      <c r="AG1537" s="1" t="str">
        <f>""</f>
        <v/>
      </c>
      <c r="AH1537" s="1" t="str">
        <f>""</f>
        <v/>
      </c>
      <c r="AI1537" s="1" t="str">
        <f>""</f>
        <v/>
      </c>
      <c r="AJ1537" s="1" t="str">
        <f>""</f>
        <v/>
      </c>
      <c r="AK1537" s="1" t="str">
        <f>""</f>
        <v/>
      </c>
    </row>
    <row r="1538" spans="1:37" x14ac:dyDescent="0.2">
      <c r="A1538" s="1">
        <v>650000</v>
      </c>
      <c r="B1538" s="1">
        <v>951700177</v>
      </c>
      <c r="C1538" s="1" t="str">
        <f>"تخليه - خراسان رضوي-تقاطع کندر محور ايرج آباد کارخانه آسفالت طوفان"</f>
        <v>تخليه - خراسان رضوي-تقاطع کندر محور ايرج آباد کارخانه آسفالت طوفان</v>
      </c>
      <c r="D1538" s="1">
        <v>7176</v>
      </c>
      <c r="E1538" s="1">
        <v>68400</v>
      </c>
      <c r="F1538" s="1">
        <v>95</v>
      </c>
      <c r="G1538" s="1">
        <v>581600</v>
      </c>
      <c r="H1538" s="1" t="str">
        <f>"95/06/06"</f>
        <v>95/06/06</v>
      </c>
      <c r="I1538" s="1" t="str">
        <f t="shared" ref="I1538:I1601" si="418">"كيلوگرم"</f>
        <v>كيلوگرم</v>
      </c>
      <c r="J1538" s="1" t="str">
        <f t="shared" si="412"/>
        <v>0000000091</v>
      </c>
      <c r="K1538" s="1" t="str">
        <f t="shared" si="413"/>
        <v>قير  PG64-22</v>
      </c>
      <c r="L1538" s="1">
        <v>100</v>
      </c>
      <c r="M1538" s="1" t="str">
        <f t="shared" si="395"/>
        <v>مخازن قير اصفهان</v>
      </c>
      <c r="N1538" s="1">
        <v>4026</v>
      </c>
      <c r="O1538" s="1">
        <v>50031660</v>
      </c>
      <c r="P1538" s="1" t="str">
        <f t="shared" si="414"/>
        <v xml:space="preserve">  اداره كل راه و شهرسازي خراسان رضوي</v>
      </c>
      <c r="Q1538" s="1">
        <v>17</v>
      </c>
      <c r="R1538" s="1" t="str">
        <f t="shared" si="415"/>
        <v>فروش داخلي تهران - وزارت راه - راه روستايي - روکش</v>
      </c>
      <c r="S1538" s="1" t="str">
        <f t="shared" ref="S1538:S1601" si="419">"قرارداد فروش"</f>
        <v>قرارداد فروش</v>
      </c>
      <c r="T1538" s="1" t="str">
        <f t="shared" ref="T1538:T1601" si="420">"ندارد"</f>
        <v>ندارد</v>
      </c>
      <c r="U1538" s="1" t="str">
        <f>"بابامحمدي عنايت اله(4844000)"</f>
        <v>بابامحمدي عنايت اله(4844000)</v>
      </c>
      <c r="V1538" s="1">
        <v>951700177</v>
      </c>
      <c r="W1538" s="1">
        <v>951700177</v>
      </c>
      <c r="X1538" s="1" t="str">
        <f>"1395426941"</f>
        <v>1395426941</v>
      </c>
      <c r="Y1538" s="1" t="str">
        <f>"95/06/06"</f>
        <v>95/06/06</v>
      </c>
      <c r="Z1538" s="1" t="str">
        <f>"23824/510"</f>
        <v>23824/510</v>
      </c>
      <c r="AA1538" s="1" t="str">
        <f t="shared" si="416"/>
        <v>راه روستائي -روكش</v>
      </c>
      <c r="AB1538" s="1" t="str">
        <f>"95/05/26"</f>
        <v>95/05/26</v>
      </c>
      <c r="AC1538" s="1" t="str">
        <f t="shared" si="417"/>
        <v>خراسان رضوي</v>
      </c>
      <c r="AD1538" s="1" t="str">
        <f>"95/06/06"</f>
        <v>95/06/06</v>
      </c>
      <c r="AE1538" s="1" t="str">
        <f t="shared" si="411"/>
        <v>اختتام</v>
      </c>
      <c r="AF1538" s="1" t="str">
        <f>""</f>
        <v/>
      </c>
      <c r="AG1538" s="1" t="str">
        <f>""</f>
        <v/>
      </c>
      <c r="AH1538" s="1" t="str">
        <f>""</f>
        <v/>
      </c>
      <c r="AI1538" s="1" t="str">
        <f>""</f>
        <v/>
      </c>
      <c r="AJ1538" s="1" t="str">
        <f>""</f>
        <v/>
      </c>
      <c r="AK1538" s="1" t="str">
        <f>""</f>
        <v/>
      </c>
    </row>
    <row r="1539" spans="1:37" x14ac:dyDescent="0.2">
      <c r="A1539" s="1">
        <v>21000</v>
      </c>
      <c r="B1539" s="1">
        <v>951400074</v>
      </c>
      <c r="C1539" s="1" t="str">
        <f>"تخليه -سبزوار-كارخانه آسفالت ثامن الحجج"</f>
        <v>تخليه -سبزوار-كارخانه آسفالت ثامن الحجج</v>
      </c>
      <c r="D1539" s="1">
        <v>7276</v>
      </c>
      <c r="E1539" s="1">
        <v>20500</v>
      </c>
      <c r="F1539" s="1">
        <v>95</v>
      </c>
      <c r="G1539" s="1">
        <v>500</v>
      </c>
      <c r="H1539" s="1" t="str">
        <f>"95/07/06"</f>
        <v>95/07/06</v>
      </c>
      <c r="I1539" s="1" t="str">
        <f t="shared" si="418"/>
        <v>كيلوگرم</v>
      </c>
      <c r="J1539" s="1" t="str">
        <f t="shared" si="412"/>
        <v>0000000091</v>
      </c>
      <c r="K1539" s="1" t="str">
        <f t="shared" si="413"/>
        <v>قير  PG64-22</v>
      </c>
      <c r="L1539" s="1">
        <v>100</v>
      </c>
      <c r="M1539" s="1" t="str">
        <f t="shared" si="395"/>
        <v>مخازن قير اصفهان</v>
      </c>
      <c r="N1539" s="1">
        <v>4026</v>
      </c>
      <c r="O1539" s="1">
        <v>50032002</v>
      </c>
      <c r="P1539" s="1" t="str">
        <f t="shared" si="414"/>
        <v xml:space="preserve">  اداره كل راه و شهرسازي خراسان رضوي</v>
      </c>
      <c r="Q1539" s="1">
        <v>14</v>
      </c>
      <c r="R1539" s="1" t="str">
        <f>"فروش داخلي - وزارت راه - حوزه راه روستايي ساخت"</f>
        <v>فروش داخلي - وزارت راه - حوزه راه روستايي ساخت</v>
      </c>
      <c r="S1539" s="1" t="str">
        <f t="shared" si="419"/>
        <v>قرارداد فروش</v>
      </c>
      <c r="T1539" s="1" t="str">
        <f t="shared" si="420"/>
        <v>ندارد</v>
      </c>
      <c r="U1539" s="1" t="str">
        <f>"فتحي حميد(1901090)"</f>
        <v>فتحي حميد(1901090)</v>
      </c>
      <c r="V1539" s="1">
        <v>951400074</v>
      </c>
      <c r="W1539" s="1">
        <v>951400074</v>
      </c>
      <c r="X1539" s="1" t="str">
        <f>"1395433846"</f>
        <v>1395433846</v>
      </c>
      <c r="Y1539" s="1" t="str">
        <f>"95/07/06"</f>
        <v>95/07/06</v>
      </c>
      <c r="Z1539" s="1" t="str">
        <f>"31274/510"</f>
        <v>31274/510</v>
      </c>
      <c r="AA1539" s="1" t="str">
        <f>"راه وروستايي -ساخت"</f>
        <v>راه وروستايي -ساخت</v>
      </c>
      <c r="AB1539" s="1" t="str">
        <f>"95/06/31"</f>
        <v>95/06/31</v>
      </c>
      <c r="AC1539" s="1" t="str">
        <f t="shared" si="417"/>
        <v>خراسان رضوي</v>
      </c>
      <c r="AD1539" s="1" t="str">
        <f>"95/07/05"</f>
        <v>95/07/05</v>
      </c>
      <c r="AE1539" s="1" t="str">
        <f t="shared" si="411"/>
        <v>اختتام</v>
      </c>
      <c r="AF1539" s="1" t="str">
        <f>""</f>
        <v/>
      </c>
      <c r="AG1539" s="1" t="str">
        <f>""</f>
        <v/>
      </c>
      <c r="AH1539" s="1" t="str">
        <f>""</f>
        <v/>
      </c>
      <c r="AI1539" s="1" t="str">
        <f>""</f>
        <v/>
      </c>
      <c r="AJ1539" s="1" t="str">
        <f>""</f>
        <v/>
      </c>
      <c r="AK1539" s="1" t="str">
        <f>""</f>
        <v/>
      </c>
    </row>
    <row r="1540" spans="1:37" x14ac:dyDescent="0.2">
      <c r="A1540" s="1">
        <v>22000</v>
      </c>
      <c r="B1540" s="1">
        <v>951400090</v>
      </c>
      <c r="C1540" s="1" t="str">
        <f>"تخليه -خراسان رضوي -نيشابور-فيروزه -كيلومتر12جاده قوچان -كارخانه آسفالت دل حفره"</f>
        <v>تخليه -خراسان رضوي -نيشابور-فيروزه -كيلومتر12جاده قوچان -كارخانه آسفالت دل حفره</v>
      </c>
      <c r="D1540" s="1">
        <v>8323</v>
      </c>
      <c r="E1540" s="1">
        <v>21880</v>
      </c>
      <c r="F1540" s="1">
        <v>95</v>
      </c>
      <c r="G1540" s="1">
        <v>120</v>
      </c>
      <c r="H1540" s="1" t="str">
        <f>"95/08/08"</f>
        <v>95/08/08</v>
      </c>
      <c r="I1540" s="1" t="str">
        <f t="shared" si="418"/>
        <v>كيلوگرم</v>
      </c>
      <c r="J1540" s="1" t="str">
        <f t="shared" si="412"/>
        <v>0000000091</v>
      </c>
      <c r="K1540" s="1" t="str">
        <f t="shared" si="413"/>
        <v>قير  PG64-22</v>
      </c>
      <c r="L1540" s="1">
        <v>100</v>
      </c>
      <c r="M1540" s="1" t="str">
        <f t="shared" si="395"/>
        <v>مخازن قير اصفهان</v>
      </c>
      <c r="N1540" s="1">
        <v>4026</v>
      </c>
      <c r="O1540" s="1">
        <v>50032405</v>
      </c>
      <c r="P1540" s="1" t="str">
        <f t="shared" si="414"/>
        <v xml:space="preserve">  اداره كل راه و شهرسازي خراسان رضوي</v>
      </c>
      <c r="Q1540" s="1">
        <v>14</v>
      </c>
      <c r="R1540" s="1" t="str">
        <f>"فروش داخلي - وزارت راه - حوزه راه روستايي ساخت"</f>
        <v>فروش داخلي - وزارت راه - حوزه راه روستايي ساخت</v>
      </c>
      <c r="S1540" s="1" t="str">
        <f t="shared" si="419"/>
        <v>قرارداد فروش</v>
      </c>
      <c r="T1540" s="1" t="str">
        <f t="shared" si="420"/>
        <v>ندارد</v>
      </c>
      <c r="U1540" s="1" t="str">
        <f>"هيزچي مرتضي(1841036)"</f>
        <v>هيزچي مرتضي(1841036)</v>
      </c>
      <c r="V1540" s="1">
        <v>951400090</v>
      </c>
      <c r="W1540" s="1">
        <v>951400090</v>
      </c>
      <c r="X1540" s="1" t="str">
        <f>"1395433846"</f>
        <v>1395433846</v>
      </c>
      <c r="Y1540" s="1" t="str">
        <f>"95/08/08"</f>
        <v>95/08/08</v>
      </c>
      <c r="Z1540" s="1" t="str">
        <f>"31274/510"</f>
        <v>31274/510</v>
      </c>
      <c r="AA1540" s="1" t="str">
        <f>"راه وروستايي -ساخت"</f>
        <v>راه وروستايي -ساخت</v>
      </c>
      <c r="AB1540" s="1" t="str">
        <f>"95/06/31"</f>
        <v>95/06/31</v>
      </c>
      <c r="AC1540" s="1" t="str">
        <f t="shared" si="417"/>
        <v>خراسان رضوي</v>
      </c>
      <c r="AD1540" s="1" t="str">
        <f>"95/07/05"</f>
        <v>95/07/05</v>
      </c>
      <c r="AE1540" s="1" t="str">
        <f t="shared" si="411"/>
        <v>اختتام</v>
      </c>
      <c r="AF1540" s="1" t="str">
        <f>""</f>
        <v/>
      </c>
      <c r="AG1540" s="1" t="str">
        <f>""</f>
        <v/>
      </c>
      <c r="AH1540" s="1" t="str">
        <f>""</f>
        <v/>
      </c>
      <c r="AI1540" s="1" t="str">
        <f>""</f>
        <v/>
      </c>
      <c r="AJ1540" s="1" t="str">
        <f>""</f>
        <v/>
      </c>
      <c r="AK1540" s="1" t="str">
        <f>""</f>
        <v/>
      </c>
    </row>
    <row r="1541" spans="1:37" x14ac:dyDescent="0.2">
      <c r="A1541" s="1">
        <v>500000</v>
      </c>
      <c r="B1541" s="1">
        <v>951600069</v>
      </c>
      <c r="C1541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1541" s="1">
        <v>9061</v>
      </c>
      <c r="E1541" s="1">
        <v>499000</v>
      </c>
      <c r="F1541" s="1">
        <v>95</v>
      </c>
      <c r="G1541" s="1">
        <v>1000</v>
      </c>
      <c r="H1541" s="1" t="str">
        <f>"95/10/11"</f>
        <v>95/10/11</v>
      </c>
      <c r="I1541" s="1" t="str">
        <f t="shared" si="418"/>
        <v>كيلوگرم</v>
      </c>
      <c r="J1541" s="1" t="str">
        <f t="shared" si="412"/>
        <v>0000000091</v>
      </c>
      <c r="K1541" s="1" t="str">
        <f t="shared" si="413"/>
        <v>قير  PG64-22</v>
      </c>
      <c r="L1541" s="1">
        <v>100</v>
      </c>
      <c r="M1541" s="1" t="str">
        <f t="shared" si="395"/>
        <v>مخازن قير اصفهان</v>
      </c>
      <c r="N1541" s="1">
        <v>4060</v>
      </c>
      <c r="O1541" s="1">
        <v>50033224</v>
      </c>
      <c r="P1541" s="1" t="str">
        <f>"  توس راديه"</f>
        <v xml:space="preserve">  توس راديه</v>
      </c>
      <c r="Q1541" s="1">
        <v>16</v>
      </c>
      <c r="R1541" s="1" t="str">
        <f>"فروش داخلي تهران - وزارت راه - معاونت اقتصاد"</f>
        <v>فروش داخلي تهران - وزارت راه - معاونت اقتصاد</v>
      </c>
      <c r="S1541" s="1" t="str">
        <f t="shared" si="419"/>
        <v>قرارداد فروش</v>
      </c>
      <c r="T1541" s="1" t="str">
        <f t="shared" si="420"/>
        <v>ندارد</v>
      </c>
      <c r="U1541" s="1" t="str">
        <f>"هيزچي مرتضي(1841036)"</f>
        <v>هيزچي مرتضي(1841036)</v>
      </c>
      <c r="V1541" s="1">
        <v>951600069</v>
      </c>
      <c r="W1541" s="1">
        <v>951600069</v>
      </c>
      <c r="X1541" s="1" t="str">
        <f>"1395454585"</f>
        <v>1395454585</v>
      </c>
      <c r="Y1541" s="1" t="str">
        <f>"95/10/11"</f>
        <v>95/10/11</v>
      </c>
      <c r="Z1541" s="1" t="str">
        <f>"46380/710"</f>
        <v>46380/710</v>
      </c>
      <c r="AA1541" s="1" t="str">
        <f>"معاونت اقتصادوزارت راه وشهرسازي"</f>
        <v>معاونت اقتصادوزارت راه وشهرسازي</v>
      </c>
      <c r="AB1541" s="1" t="str">
        <f>"95/09/23"</f>
        <v>95/09/23</v>
      </c>
      <c r="AC1541" s="1" t="str">
        <f t="shared" si="417"/>
        <v>خراسان رضوي</v>
      </c>
      <c r="AD1541" s="1" t="str">
        <f>"95/10/06"</f>
        <v>95/10/06</v>
      </c>
      <c r="AE1541" s="1" t="str">
        <f t="shared" si="411"/>
        <v>اختتام</v>
      </c>
      <c r="AF1541" s="1" t="str">
        <f>""</f>
        <v/>
      </c>
      <c r="AG1541" s="1" t="str">
        <f>""</f>
        <v/>
      </c>
      <c r="AH1541" s="1" t="str">
        <f>""</f>
        <v/>
      </c>
      <c r="AI1541" s="1" t="str">
        <f>""</f>
        <v/>
      </c>
      <c r="AJ1541" s="1" t="str">
        <f>""</f>
        <v/>
      </c>
      <c r="AK1541" s="1" t="str">
        <f>""</f>
        <v/>
      </c>
    </row>
    <row r="1542" spans="1:37" x14ac:dyDescent="0.2">
      <c r="A1542" s="1">
        <v>24000</v>
      </c>
      <c r="B1542" s="1">
        <v>951100125</v>
      </c>
      <c r="C1542" s="1" t="str">
        <f>"يزد-تفت -كيلومتر5-شركت ناورود"</f>
        <v>يزد-تفت -كيلومتر5-شركت ناورود</v>
      </c>
      <c r="D1542" s="1">
        <v>11000</v>
      </c>
      <c r="E1542" s="1">
        <v>21580</v>
      </c>
      <c r="F1542" s="1">
        <v>95</v>
      </c>
      <c r="G1542" s="1">
        <v>2420</v>
      </c>
      <c r="H1542" s="1" t="str">
        <f>"95/07/12"</f>
        <v>95/07/12</v>
      </c>
      <c r="I1542" s="1" t="str">
        <f t="shared" si="418"/>
        <v>كيلوگرم</v>
      </c>
      <c r="J1542" s="1" t="str">
        <f>"1000000003"</f>
        <v>1000000003</v>
      </c>
      <c r="K1542" s="1" t="str">
        <f>"قير MC250"</f>
        <v>قير MC250</v>
      </c>
      <c r="L1542" s="1">
        <v>100</v>
      </c>
      <c r="M1542" s="1" t="str">
        <f t="shared" si="395"/>
        <v>مخازن قير اصفهان</v>
      </c>
      <c r="N1542" s="1">
        <v>4062</v>
      </c>
      <c r="O1542" s="1">
        <v>50032069</v>
      </c>
      <c r="P1542" s="1" t="str">
        <f>"  ناورود"</f>
        <v xml:space="preserve">  ناورود</v>
      </c>
      <c r="Q1542" s="1">
        <v>11</v>
      </c>
      <c r="R1542" s="1" t="str">
        <f>"فروش داخلي تهران - بورس"</f>
        <v>فروش داخلي تهران - بورس</v>
      </c>
      <c r="S1542" s="1" t="str">
        <f t="shared" si="419"/>
        <v>قرارداد فروش</v>
      </c>
      <c r="T1542" s="1" t="str">
        <f t="shared" si="420"/>
        <v>ندارد</v>
      </c>
      <c r="U1542" s="1" t="str">
        <f>"فتاح زاده سيداحمد(3843011)"</f>
        <v>فتاح زاده سيداحمد(3843011)</v>
      </c>
      <c r="V1542" s="1">
        <v>951100125</v>
      </c>
      <c r="W1542" s="1">
        <v>951100125</v>
      </c>
      <c r="X1542" s="1" t="str">
        <f>"1395435383"</f>
        <v>1395435383</v>
      </c>
      <c r="Y1542" s="1" t="str">
        <f>"95/07/12"</f>
        <v>95/07/12</v>
      </c>
      <c r="Z1542" s="1" t="str">
        <f>"93/203/1469"</f>
        <v>93/203/1469</v>
      </c>
      <c r="AA1542" s="1" t="str">
        <f>"وزارت راه و ترابري-استانها"</f>
        <v>وزارت راه و ترابري-استانها</v>
      </c>
      <c r="AB1542" s="1" t="str">
        <f>"95/06/29"</f>
        <v>95/06/29</v>
      </c>
      <c r="AC1542" s="1" t="str">
        <f>"استان يزد"</f>
        <v>استان يزد</v>
      </c>
      <c r="AD1542" s="1" t="str">
        <f>"95/07/12"</f>
        <v>95/07/12</v>
      </c>
      <c r="AE1542" s="1" t="str">
        <f t="shared" si="411"/>
        <v>اختتام</v>
      </c>
      <c r="AF1542" s="1" t="str">
        <f>""</f>
        <v/>
      </c>
      <c r="AG1542" s="1" t="str">
        <f>""</f>
        <v/>
      </c>
      <c r="AH1542" s="1" t="str">
        <f>""</f>
        <v/>
      </c>
      <c r="AI1542" s="1" t="str">
        <f>""</f>
        <v/>
      </c>
      <c r="AJ1542" s="1" t="str">
        <f>""</f>
        <v/>
      </c>
      <c r="AK1542" s="1" t="str">
        <f>""</f>
        <v/>
      </c>
    </row>
    <row r="1543" spans="1:37" x14ac:dyDescent="0.2">
      <c r="A1543" s="1">
        <v>400000</v>
      </c>
      <c r="B1543" s="1">
        <v>951700168</v>
      </c>
      <c r="C1543" s="1" t="str">
        <f>"تخليه كرمان -جاده سيرجان -كرمان كارخانه آسفالت شركت بهبر"</f>
        <v>تخليه كرمان -جاده سيرجان -كرمان كارخانه آسفالت شركت بهبر</v>
      </c>
      <c r="D1543" s="1">
        <v>7176</v>
      </c>
      <c r="E1543" s="1">
        <v>400000</v>
      </c>
      <c r="F1543" s="1">
        <v>95</v>
      </c>
      <c r="G1543" s="1">
        <v>0</v>
      </c>
      <c r="H1543" s="1" t="str">
        <f>"95/06/04"</f>
        <v>95/06/04</v>
      </c>
      <c r="I1543" s="1" t="str">
        <f t="shared" si="418"/>
        <v>كيلوگرم</v>
      </c>
      <c r="J1543" s="1" t="str">
        <f t="shared" ref="J1543:J1548" si="421">"0000000091"</f>
        <v>0000000091</v>
      </c>
      <c r="K1543" s="1" t="str">
        <f t="shared" ref="K1543:K1548" si="422">"قير  PG64-22"</f>
        <v>قير  PG64-22</v>
      </c>
      <c r="L1543" s="1">
        <v>100</v>
      </c>
      <c r="M1543" s="1" t="str">
        <f t="shared" si="395"/>
        <v>مخازن قير اصفهان</v>
      </c>
      <c r="N1543" s="1">
        <v>7034</v>
      </c>
      <c r="O1543" s="1">
        <v>50031633</v>
      </c>
      <c r="P1543" s="1" t="str">
        <f>"  اداره كل راه وشهرسازي كرمان"</f>
        <v xml:space="preserve">  اداره كل راه وشهرسازي كرمان</v>
      </c>
      <c r="Q1543" s="1">
        <v>17</v>
      </c>
      <c r="R1543" s="1" t="str">
        <f>"فروش داخلي تهران - وزارت راه - راه روستايي - روکش"</f>
        <v>فروش داخلي تهران - وزارت راه - راه روستايي - روکش</v>
      </c>
      <c r="S1543" s="1" t="str">
        <f t="shared" si="419"/>
        <v>قرارداد فروش</v>
      </c>
      <c r="T1543" s="1" t="str">
        <f t="shared" si="420"/>
        <v>ندارد</v>
      </c>
      <c r="U1543" s="1" t="str">
        <f>"حاصليان ترابرجنوب مرتضي حاصلي (4844006)"</f>
        <v>حاصليان ترابرجنوب مرتضي حاصلي (4844006)</v>
      </c>
      <c r="V1543" s="1">
        <v>951700168</v>
      </c>
      <c r="W1543" s="1">
        <v>951700168</v>
      </c>
      <c r="X1543" s="1" t="str">
        <f>"1395426703"</f>
        <v>1395426703</v>
      </c>
      <c r="Y1543" s="1" t="str">
        <f>"95/06/04"</f>
        <v>95/06/04</v>
      </c>
      <c r="Z1543" s="1" t="str">
        <f>"24788/510"</f>
        <v>24788/510</v>
      </c>
      <c r="AA1543" s="1" t="str">
        <f>"راه روستائي -روكش"</f>
        <v>راه روستائي -روكش</v>
      </c>
      <c r="AB1543" s="1" t="str">
        <f>"95/05/31"</f>
        <v>95/05/31</v>
      </c>
      <c r="AC1543" s="1" t="str">
        <f>"استان كرمان"</f>
        <v>استان كرمان</v>
      </c>
      <c r="AD1543" s="1" t="str">
        <f>"95/06/03"</f>
        <v>95/06/03</v>
      </c>
      <c r="AE1543" s="1" t="str">
        <f t="shared" si="411"/>
        <v>اختتام</v>
      </c>
      <c r="AF1543" s="1" t="str">
        <f>""</f>
        <v/>
      </c>
      <c r="AG1543" s="1" t="str">
        <f>""</f>
        <v/>
      </c>
      <c r="AH1543" s="1" t="str">
        <f>""</f>
        <v/>
      </c>
      <c r="AI1543" s="1" t="str">
        <f>""</f>
        <v/>
      </c>
      <c r="AJ1543" s="1" t="str">
        <f>""</f>
        <v/>
      </c>
      <c r="AK1543" s="1" t="str">
        <f>""</f>
        <v/>
      </c>
    </row>
    <row r="1544" spans="1:37" x14ac:dyDescent="0.2">
      <c r="A1544" s="1">
        <v>76160</v>
      </c>
      <c r="B1544" s="1">
        <v>951700271</v>
      </c>
      <c r="C1544" s="1" t="str">
        <f>"تخليه -كرمان كيلومتر10جاده اختيارآبادكوه باداموئيه كارخانه كرمان بيس"</f>
        <v>تخليه -كرمان كيلومتر10جاده اختيارآبادكوه باداموئيه كارخانه كرمان بيس</v>
      </c>
      <c r="D1544" s="1">
        <v>8323</v>
      </c>
      <c r="E1544" s="1">
        <v>75400</v>
      </c>
      <c r="F1544" s="1">
        <v>95</v>
      </c>
      <c r="G1544" s="1">
        <v>760</v>
      </c>
      <c r="H1544" s="1" t="str">
        <f>"95/08/09"</f>
        <v>95/08/09</v>
      </c>
      <c r="I1544" s="1" t="str">
        <f t="shared" si="418"/>
        <v>كيلوگرم</v>
      </c>
      <c r="J1544" s="1" t="str">
        <f t="shared" si="421"/>
        <v>0000000091</v>
      </c>
      <c r="K1544" s="1" t="str">
        <f t="shared" si="422"/>
        <v>قير  PG64-22</v>
      </c>
      <c r="L1544" s="1">
        <v>100</v>
      </c>
      <c r="M1544" s="1" t="str">
        <f t="shared" ref="M1544:M1607" si="423">"مخازن قير اصفهان"</f>
        <v>مخازن قير اصفهان</v>
      </c>
      <c r="N1544" s="1">
        <v>7034</v>
      </c>
      <c r="O1544" s="1">
        <v>50032398</v>
      </c>
      <c r="P1544" s="1" t="str">
        <f>"  اداره كل راه وشهرسازي كرمان"</f>
        <v xml:space="preserve">  اداره كل راه وشهرسازي كرمان</v>
      </c>
      <c r="Q1544" s="1">
        <v>17</v>
      </c>
      <c r="R1544" s="1" t="str">
        <f>"فروش داخلي تهران - وزارت راه - راه روستايي - روکش"</f>
        <v>فروش داخلي تهران - وزارت راه - راه روستايي - روکش</v>
      </c>
      <c r="S1544" s="1" t="str">
        <f t="shared" si="419"/>
        <v>قرارداد فروش</v>
      </c>
      <c r="T1544" s="1" t="str">
        <f t="shared" si="420"/>
        <v>ندارد</v>
      </c>
      <c r="U1544" s="1" t="str">
        <f>"پورباقري ترابر (4914036)"</f>
        <v>پورباقري ترابر (4914036)</v>
      </c>
      <c r="V1544" s="1">
        <v>951700271</v>
      </c>
      <c r="W1544" s="1">
        <v>951700271</v>
      </c>
      <c r="X1544" s="1" t="str">
        <f>"1395433835"</f>
        <v>1395433835</v>
      </c>
      <c r="Y1544" s="1" t="str">
        <f>"95/08/09"</f>
        <v>95/08/09</v>
      </c>
      <c r="Z1544" s="1" t="str">
        <f>"31187/510"</f>
        <v>31187/510</v>
      </c>
      <c r="AA1544" s="1" t="str">
        <f>"راه روستائي -روكش"</f>
        <v>راه روستائي -روكش</v>
      </c>
      <c r="AB1544" s="1" t="str">
        <f>"95/06/31"</f>
        <v>95/06/31</v>
      </c>
      <c r="AC1544" s="1" t="str">
        <f>"استان كرمان"</f>
        <v>استان كرمان</v>
      </c>
      <c r="AD1544" s="1" t="str">
        <f>"95/07/05"</f>
        <v>95/07/05</v>
      </c>
      <c r="AE1544" s="1" t="str">
        <f t="shared" si="411"/>
        <v>اختتام</v>
      </c>
      <c r="AF1544" s="1" t="str">
        <f>""</f>
        <v/>
      </c>
      <c r="AG1544" s="1" t="str">
        <f>""</f>
        <v/>
      </c>
      <c r="AH1544" s="1" t="str">
        <f>""</f>
        <v/>
      </c>
      <c r="AI1544" s="1" t="str">
        <f>""</f>
        <v/>
      </c>
      <c r="AJ1544" s="1" t="str">
        <f>""</f>
        <v/>
      </c>
      <c r="AK1544" s="1" t="str">
        <f>""</f>
        <v/>
      </c>
    </row>
    <row r="1545" spans="1:37" x14ac:dyDescent="0.2">
      <c r="A1545" s="1">
        <v>92000</v>
      </c>
      <c r="B1545" s="1">
        <v>951700356</v>
      </c>
      <c r="C1545" s="1" t="str">
        <f>"تخليه كرمان پروژه مشاركتي دهياري همت آبادكارخانه آسفالت گستران زنگلان"</f>
        <v>تخليه كرمان پروژه مشاركتي دهياري همت آبادكارخانه آسفالت گستران زنگلان</v>
      </c>
      <c r="D1545" s="1">
        <v>8348</v>
      </c>
      <c r="E1545" s="1">
        <v>91480</v>
      </c>
      <c r="F1545" s="1">
        <v>95</v>
      </c>
      <c r="G1545" s="1">
        <v>520</v>
      </c>
      <c r="H1545" s="1" t="str">
        <f>"95/12/22"</f>
        <v>95/12/22</v>
      </c>
      <c r="I1545" s="1" t="str">
        <f t="shared" si="418"/>
        <v>كيلوگرم</v>
      </c>
      <c r="J1545" s="1" t="str">
        <f t="shared" si="421"/>
        <v>0000000091</v>
      </c>
      <c r="K1545" s="1" t="str">
        <f t="shared" si="422"/>
        <v>قير  PG64-22</v>
      </c>
      <c r="L1545" s="1">
        <v>100</v>
      </c>
      <c r="M1545" s="1" t="str">
        <f t="shared" si="423"/>
        <v>مخازن قير اصفهان</v>
      </c>
      <c r="N1545" s="1">
        <v>7034</v>
      </c>
      <c r="O1545" s="1">
        <v>50034124</v>
      </c>
      <c r="P1545" s="1" t="str">
        <f>"  اداره كل راه وشهرسازي كرمان"</f>
        <v xml:space="preserve">  اداره كل راه وشهرسازي كرمان</v>
      </c>
      <c r="Q1545" s="1">
        <v>17</v>
      </c>
      <c r="R1545" s="1" t="str">
        <f>"فروش داخلي تهران - وزارت راه - راه روستايي - روکش"</f>
        <v>فروش داخلي تهران - وزارت راه - راه روستايي - روکش</v>
      </c>
      <c r="S1545" s="1" t="str">
        <f t="shared" si="419"/>
        <v>قرارداد فروش</v>
      </c>
      <c r="T1545" s="1" t="str">
        <f t="shared" si="420"/>
        <v>ندارد</v>
      </c>
      <c r="U1545" s="1" t="str">
        <f>"دهقانيان بيژن (4954038)"</f>
        <v>دهقانيان بيژن (4954038)</v>
      </c>
      <c r="V1545" s="1">
        <v>951700356</v>
      </c>
      <c r="W1545" s="1">
        <v>951700356</v>
      </c>
      <c r="X1545" s="1" t="str">
        <f>"1395470431"</f>
        <v>1395470431</v>
      </c>
      <c r="Y1545" s="1" t="str">
        <f>"95/12/22"</f>
        <v>95/12/22</v>
      </c>
      <c r="Z1545" s="1" t="str">
        <f>"65395/710"</f>
        <v>65395/710</v>
      </c>
      <c r="AA1545" s="1" t="str">
        <f>"راه روستائي -روكش"</f>
        <v>راه روستائي -روكش</v>
      </c>
      <c r="AB1545" s="1" t="str">
        <f>"95/12/21"</f>
        <v>95/12/21</v>
      </c>
      <c r="AC1545" s="1" t="str">
        <f>"استان كرمان"</f>
        <v>استان كرمان</v>
      </c>
      <c r="AD1545" s="1" t="str">
        <f>"95/12/22"</f>
        <v>95/12/22</v>
      </c>
      <c r="AE1545" s="1" t="str">
        <f t="shared" si="411"/>
        <v>اختتام</v>
      </c>
      <c r="AF1545" s="1" t="str">
        <f>""</f>
        <v/>
      </c>
      <c r="AG1545" s="1" t="str">
        <f>""</f>
        <v/>
      </c>
      <c r="AH1545" s="1" t="str">
        <f>""</f>
        <v/>
      </c>
      <c r="AI1545" s="1" t="str">
        <f>""</f>
        <v/>
      </c>
      <c r="AJ1545" s="1" t="str">
        <f>""</f>
        <v/>
      </c>
      <c r="AK1545" s="1" t="str">
        <f>""</f>
        <v/>
      </c>
    </row>
    <row r="1546" spans="1:37" x14ac:dyDescent="0.2">
      <c r="A1546" s="1">
        <v>337380</v>
      </c>
      <c r="B1546" s="1">
        <v>951900225</v>
      </c>
      <c r="C1546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1546" s="1">
        <v>9061</v>
      </c>
      <c r="E1546" s="1">
        <v>296700</v>
      </c>
      <c r="F1546" s="1">
        <v>95</v>
      </c>
      <c r="G1546" s="1">
        <v>40680</v>
      </c>
      <c r="H1546" s="1" t="str">
        <f>"95/10/02"</f>
        <v>95/10/02</v>
      </c>
      <c r="I1546" s="1" t="str">
        <f t="shared" si="418"/>
        <v>كيلوگرم</v>
      </c>
      <c r="J1546" s="1" t="str">
        <f t="shared" si="421"/>
        <v>0000000091</v>
      </c>
      <c r="K1546" s="1" t="str">
        <f t="shared" si="422"/>
        <v>قير  PG64-22</v>
      </c>
      <c r="L1546" s="1">
        <v>100</v>
      </c>
      <c r="M1546" s="1" t="str">
        <f t="shared" si="423"/>
        <v>مخازن قير اصفهان</v>
      </c>
      <c r="N1546" s="1">
        <v>7035</v>
      </c>
      <c r="O1546" s="1">
        <v>50033117</v>
      </c>
      <c r="P1546" s="1" t="str">
        <f>"  سازمان همياري شهرداريهاي يزد"</f>
        <v xml:space="preserve">  سازمان همياري شهرداريهاي يزد</v>
      </c>
      <c r="Q1546" s="1">
        <v>19</v>
      </c>
      <c r="R154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46" s="1" t="str">
        <f t="shared" si="419"/>
        <v>قرارداد فروش</v>
      </c>
      <c r="T1546" s="1" t="str">
        <f t="shared" si="420"/>
        <v>ندارد</v>
      </c>
      <c r="U1546" s="1" t="str">
        <f>"قانعي محمدرضا(1011ج89)"</f>
        <v>قانعي محمدرضا(1011ج89)</v>
      </c>
      <c r="V1546" s="1">
        <v>951900225</v>
      </c>
      <c r="W1546" s="1">
        <v>951900225</v>
      </c>
      <c r="X1546" s="1" t="str">
        <f>"1395447615"</f>
        <v>1395447615</v>
      </c>
      <c r="Y1546" s="1" t="str">
        <f>"95/10/02"</f>
        <v>95/10/02</v>
      </c>
      <c r="Z1546" s="1" t="str">
        <f>"42118/710"</f>
        <v>42118/710</v>
      </c>
      <c r="AA1546" s="1" t="str">
        <f>"سازمان راهداري وحمل نقل جاده اي"</f>
        <v>سازمان راهداري وحمل نقل جاده اي</v>
      </c>
      <c r="AB1546" s="1" t="str">
        <f>"95/08/29"</f>
        <v>95/08/29</v>
      </c>
      <c r="AC1546" s="1" t="str">
        <f>"استان يزد"</f>
        <v>استان يزد</v>
      </c>
      <c r="AD1546" s="1" t="str">
        <f>"95/09/06"</f>
        <v>95/09/06</v>
      </c>
      <c r="AE1546" s="1" t="str">
        <f t="shared" si="411"/>
        <v>اختتام</v>
      </c>
      <c r="AF1546" s="1" t="str">
        <f>""</f>
        <v/>
      </c>
      <c r="AG1546" s="1" t="str">
        <f>""</f>
        <v/>
      </c>
      <c r="AH1546" s="1" t="str">
        <f>""</f>
        <v/>
      </c>
      <c r="AI1546" s="1" t="str">
        <f>""</f>
        <v/>
      </c>
      <c r="AJ1546" s="1" t="str">
        <f>""</f>
        <v/>
      </c>
      <c r="AK1546" s="1" t="str">
        <f>""</f>
        <v/>
      </c>
    </row>
    <row r="1547" spans="1:37" x14ac:dyDescent="0.2">
      <c r="A1547" s="1">
        <v>2000000</v>
      </c>
      <c r="B1547" s="1">
        <v>951800078</v>
      </c>
      <c r="C1547" s="1" t="str">
        <f>"تخليه -خراسان رضوي مشهدشهرك شهيدرجايي جاده دست كردان كارگاه شركت مسكن وعمران قدس رضوي"</f>
        <v>تخليه -خراسان رضوي مشهدشهرك شهيدرجايي جاده دست كردان كارگاه شركت مسكن وعمران قدس رضوي</v>
      </c>
      <c r="D1547" s="1">
        <v>7276</v>
      </c>
      <c r="E1547" s="1">
        <v>972720</v>
      </c>
      <c r="F1547" s="1">
        <v>95</v>
      </c>
      <c r="G1547" s="1">
        <v>1027280</v>
      </c>
      <c r="H1547" s="1" t="str">
        <f>"95/07/19"</f>
        <v>95/07/19</v>
      </c>
      <c r="I1547" s="1" t="str">
        <f t="shared" si="418"/>
        <v>كيلوگرم</v>
      </c>
      <c r="J1547" s="1" t="str">
        <f t="shared" si="421"/>
        <v>0000000091</v>
      </c>
      <c r="K1547" s="1" t="str">
        <f t="shared" si="422"/>
        <v>قير  PG64-22</v>
      </c>
      <c r="L1547" s="1">
        <v>100</v>
      </c>
      <c r="M1547" s="1" t="str">
        <f t="shared" si="423"/>
        <v>مخازن قير اصفهان</v>
      </c>
      <c r="N1547" s="1">
        <v>7091</v>
      </c>
      <c r="O1547" s="1">
        <v>50032166</v>
      </c>
      <c r="P1547" s="1" t="str">
        <f>"  مسكن وعمران قدس رضوي"</f>
        <v xml:space="preserve">  مسكن وعمران قدس رضوي</v>
      </c>
      <c r="Q1547" s="1">
        <v>18</v>
      </c>
      <c r="R1547" s="1" t="str">
        <f>"فروش داخلي تهران - وزارت راه - شرکت ساخت و توسعه راهها"</f>
        <v>فروش داخلي تهران - وزارت راه - شرکت ساخت و توسعه راهها</v>
      </c>
      <c r="S1547" s="1" t="str">
        <f t="shared" si="419"/>
        <v>قرارداد فروش</v>
      </c>
      <c r="T1547" s="1" t="str">
        <f t="shared" si="420"/>
        <v>ندارد</v>
      </c>
      <c r="U1547" s="1" t="str">
        <f>"عابدي محمود(1018ج89)"</f>
        <v>عابدي محمود(1018ج89)</v>
      </c>
      <c r="V1547" s="1">
        <v>951800078</v>
      </c>
      <c r="W1547" s="1">
        <v>951800078</v>
      </c>
      <c r="X1547" s="1" t="str">
        <f>"1395437813"</f>
        <v>1395437813</v>
      </c>
      <c r="Y1547" s="1" t="str">
        <f>"95/07/19"</f>
        <v>95/07/19</v>
      </c>
      <c r="Z1547" s="1" t="str">
        <f>"34574/510"</f>
        <v>34574/510</v>
      </c>
      <c r="AA1547" s="1" t="str">
        <f>"شركت  ساخت وتوسعه راهها"</f>
        <v>شركت  ساخت وتوسعه راهها</v>
      </c>
      <c r="AB1547" s="1" t="str">
        <f>"95/07/18"</f>
        <v>95/07/18</v>
      </c>
      <c r="AC1547" s="1" t="str">
        <f>"خراسان رضوي"</f>
        <v>خراسان رضوي</v>
      </c>
      <c r="AD1547" s="1" t="str">
        <f>"95/07/19"</f>
        <v>95/07/19</v>
      </c>
      <c r="AE1547" s="1" t="str">
        <f t="shared" si="411"/>
        <v>اختتام</v>
      </c>
      <c r="AF1547" s="1" t="str">
        <f>""</f>
        <v/>
      </c>
      <c r="AG1547" s="1" t="str">
        <f>""</f>
        <v/>
      </c>
      <c r="AH1547" s="1" t="str">
        <f>""</f>
        <v/>
      </c>
      <c r="AI1547" s="1" t="str">
        <f>""</f>
        <v/>
      </c>
      <c r="AJ1547" s="1" t="str">
        <f>""</f>
        <v/>
      </c>
      <c r="AK1547" s="1" t="str">
        <f>""</f>
        <v/>
      </c>
    </row>
    <row r="1548" spans="1:37" x14ac:dyDescent="0.2">
      <c r="A1548" s="1">
        <v>22180</v>
      </c>
      <c r="B1548" s="1">
        <v>951800114</v>
      </c>
      <c r="C1548" s="1" t="str">
        <f>"تخليه -خراسان رضوي مشهدشهرك شهيدرجايي جاده دست كردان كارگاه شركت مسكن وعمران قدس رضوي"</f>
        <v>تخليه -خراسان رضوي مشهدشهرك شهيدرجايي جاده دست كردان كارگاه شركت مسكن وعمران قدس رضوي</v>
      </c>
      <c r="D1548" s="1">
        <v>9061</v>
      </c>
      <c r="E1548" s="1">
        <v>21640</v>
      </c>
      <c r="F1548" s="1">
        <v>95</v>
      </c>
      <c r="G1548" s="1">
        <v>540</v>
      </c>
      <c r="H1548" s="1" t="str">
        <f>"95/10/05"</f>
        <v>95/10/05</v>
      </c>
      <c r="I1548" s="1" t="str">
        <f t="shared" si="418"/>
        <v>كيلوگرم</v>
      </c>
      <c r="J1548" s="1" t="str">
        <f t="shared" si="421"/>
        <v>0000000091</v>
      </c>
      <c r="K1548" s="1" t="str">
        <f t="shared" si="422"/>
        <v>قير  PG64-22</v>
      </c>
      <c r="L1548" s="1">
        <v>100</v>
      </c>
      <c r="M1548" s="1" t="str">
        <f t="shared" si="423"/>
        <v>مخازن قير اصفهان</v>
      </c>
      <c r="N1548" s="1">
        <v>7091</v>
      </c>
      <c r="O1548" s="1">
        <v>50033182</v>
      </c>
      <c r="P1548" s="1" t="str">
        <f>"  مسكن وعمران قدس رضوي"</f>
        <v xml:space="preserve">  مسكن وعمران قدس رضوي</v>
      </c>
      <c r="Q1548" s="1">
        <v>18</v>
      </c>
      <c r="R1548" s="1" t="str">
        <f>"فروش داخلي تهران - وزارت راه - شرکت ساخت و توسعه راهها"</f>
        <v>فروش داخلي تهران - وزارت راه - شرکت ساخت و توسعه راهها</v>
      </c>
      <c r="S1548" s="1" t="str">
        <f t="shared" si="419"/>
        <v>قرارداد فروش</v>
      </c>
      <c r="T1548" s="1" t="str">
        <f t="shared" si="420"/>
        <v>ندارد</v>
      </c>
      <c r="U1548" s="1" t="str">
        <f>"عابدي محمود(1018ج89)"</f>
        <v>عابدي محمود(1018ج89)</v>
      </c>
      <c r="V1548" s="1">
        <v>951800114</v>
      </c>
      <c r="W1548" s="1">
        <v>951800114</v>
      </c>
      <c r="X1548" s="1" t="str">
        <f>"1395437813"</f>
        <v>1395437813</v>
      </c>
      <c r="Y1548" s="1" t="str">
        <f>"95/10/05"</f>
        <v>95/10/05</v>
      </c>
      <c r="Z1548" s="1" t="str">
        <f>"34574/510"</f>
        <v>34574/510</v>
      </c>
      <c r="AA1548" s="1" t="str">
        <f>"شركت  ساخت وتوسعه راهها"</f>
        <v>شركت  ساخت وتوسعه راهها</v>
      </c>
      <c r="AB1548" s="1" t="str">
        <f>"95/07/18"</f>
        <v>95/07/18</v>
      </c>
      <c r="AC1548" s="1" t="str">
        <f>"خراسان رضوي"</f>
        <v>خراسان رضوي</v>
      </c>
      <c r="AD1548" s="1" t="str">
        <f>"95/07/19"</f>
        <v>95/07/19</v>
      </c>
      <c r="AE1548" s="1" t="str">
        <f t="shared" si="411"/>
        <v>اختتام</v>
      </c>
      <c r="AF1548" s="1" t="str">
        <f>""</f>
        <v/>
      </c>
      <c r="AG1548" s="1" t="str">
        <f>""</f>
        <v/>
      </c>
      <c r="AH1548" s="1" t="str">
        <f>""</f>
        <v/>
      </c>
      <c r="AI1548" s="1" t="str">
        <f>""</f>
        <v/>
      </c>
      <c r="AJ1548" s="1" t="str">
        <f>""</f>
        <v/>
      </c>
      <c r="AK1548" s="1" t="str">
        <f>""</f>
        <v/>
      </c>
    </row>
    <row r="1549" spans="1:37" x14ac:dyDescent="0.2">
      <c r="A1549" s="1">
        <v>136000</v>
      </c>
      <c r="B1549" s="1">
        <v>951100124</v>
      </c>
      <c r="C1549" s="1" t="str">
        <f>"تخليه -لرستان -خرم آبادكيلومتر19جاده پلدختر-انبارشورآب"</f>
        <v>تخليه -لرستان -خرم آبادكيلومتر19جاده پلدختر-انبارشورآب</v>
      </c>
      <c r="D1549" s="1">
        <v>11000</v>
      </c>
      <c r="E1549" s="1">
        <v>128780</v>
      </c>
      <c r="F1549" s="1">
        <v>95</v>
      </c>
      <c r="G1549" s="1">
        <v>7220</v>
      </c>
      <c r="H1549" s="1" t="str">
        <f>"95/07/12"</f>
        <v>95/07/12</v>
      </c>
      <c r="I1549" s="1" t="str">
        <f t="shared" si="418"/>
        <v>كيلوگرم</v>
      </c>
      <c r="J1549" s="1" t="str">
        <f>"1000000003"</f>
        <v>1000000003</v>
      </c>
      <c r="K1549" s="1" t="str">
        <f>"قير MC250"</f>
        <v>قير MC250</v>
      </c>
      <c r="L1549" s="1">
        <v>100</v>
      </c>
      <c r="M1549" s="1" t="str">
        <f t="shared" si="423"/>
        <v>مخازن قير اصفهان</v>
      </c>
      <c r="N1549" s="1">
        <v>4074</v>
      </c>
      <c r="O1549" s="1">
        <v>50032068</v>
      </c>
      <c r="P1549" s="1" t="str">
        <f>"  اداره كل راه و  شهرسازي لرستان"</f>
        <v xml:space="preserve">  اداره كل راه و  شهرسازي لرستان</v>
      </c>
      <c r="Q1549" s="1">
        <v>11</v>
      </c>
      <c r="R1549" s="1" t="str">
        <f>"فروش داخلي تهران - بورس"</f>
        <v>فروش داخلي تهران - بورس</v>
      </c>
      <c r="S1549" s="1" t="str">
        <f t="shared" si="419"/>
        <v>قرارداد فروش</v>
      </c>
      <c r="T1549" s="1" t="str">
        <f t="shared" si="420"/>
        <v>ندارد</v>
      </c>
      <c r="U1549" s="1" t="str">
        <f>"ريسماني حسن(1007ج89)"</f>
        <v>ريسماني حسن(1007ج89)</v>
      </c>
      <c r="V1549" s="1">
        <v>951100124</v>
      </c>
      <c r="W1549" s="1">
        <v>951100124</v>
      </c>
      <c r="X1549" s="1" t="str">
        <f>"1395435384"</f>
        <v>1395435384</v>
      </c>
      <c r="Y1549" s="1" t="str">
        <f>"95/07/12"</f>
        <v>95/07/12</v>
      </c>
      <c r="Z1549" s="1" t="str">
        <f>"17/26083"</f>
        <v>17/26083</v>
      </c>
      <c r="AA1549" s="1" t="str">
        <f>"وزارت راه و ترابري-استانها"</f>
        <v>وزارت راه و ترابري-استانها</v>
      </c>
      <c r="AB1549" s="1" t="str">
        <f>"95/07/03"</f>
        <v>95/07/03</v>
      </c>
      <c r="AC1549" s="1" t="str">
        <f>"لرستان"</f>
        <v>لرستان</v>
      </c>
      <c r="AD1549" s="1" t="str">
        <f>"95/07/12"</f>
        <v>95/07/12</v>
      </c>
      <c r="AE1549" s="1" t="str">
        <f t="shared" si="411"/>
        <v>اختتام</v>
      </c>
      <c r="AF1549" s="1" t="str">
        <f>""</f>
        <v/>
      </c>
      <c r="AG1549" s="1" t="str">
        <f>""</f>
        <v/>
      </c>
      <c r="AH1549" s="1" t="str">
        <f>""</f>
        <v/>
      </c>
      <c r="AI1549" s="1" t="str">
        <f>""</f>
        <v/>
      </c>
      <c r="AJ1549" s="1" t="str">
        <f>""</f>
        <v/>
      </c>
      <c r="AK1549" s="1" t="str">
        <f>""</f>
        <v/>
      </c>
    </row>
    <row r="1550" spans="1:37" x14ac:dyDescent="0.2">
      <c r="A1550" s="1">
        <v>670000</v>
      </c>
      <c r="B1550" s="1">
        <v>951400002</v>
      </c>
      <c r="C1550" s="1" t="str">
        <f>"تخليه سيستان وبلوچستان زاهدان -اداره راه وشهرسازي زاهدان"</f>
        <v>تخليه سيستان وبلوچستان زاهدان -اداره راه وشهرسازي زاهدان</v>
      </c>
      <c r="D1550" s="1">
        <v>9324</v>
      </c>
      <c r="E1550" s="1">
        <v>655960</v>
      </c>
      <c r="F1550" s="1">
        <v>95</v>
      </c>
      <c r="G1550" s="1">
        <v>14040</v>
      </c>
      <c r="H1550" s="1" t="str">
        <f>"95/02/11"</f>
        <v>95/02/11</v>
      </c>
      <c r="I1550" s="1" t="str">
        <f t="shared" si="418"/>
        <v>كيلوگرم</v>
      </c>
      <c r="J1550" s="1" t="str">
        <f>"1000000003"</f>
        <v>1000000003</v>
      </c>
      <c r="K1550" s="1" t="str">
        <f>"قير MC250"</f>
        <v>قير MC250</v>
      </c>
      <c r="L1550" s="1">
        <v>100</v>
      </c>
      <c r="M1550" s="1" t="str">
        <f t="shared" si="423"/>
        <v>مخازن قير اصفهان</v>
      </c>
      <c r="N1550" s="1">
        <v>4095</v>
      </c>
      <c r="O1550" s="1">
        <v>50030669</v>
      </c>
      <c r="P1550" s="1" t="str">
        <f>"  اداره كل راه وشهرسازي سيستان وبلوچستان"</f>
        <v xml:space="preserve">  اداره كل راه وشهرسازي سيستان وبلوچستان</v>
      </c>
      <c r="Q1550" s="1">
        <v>14</v>
      </c>
      <c r="R1550" s="1" t="str">
        <f>"فروش داخلي - وزارت راه - حوزه راه روستايي ساخت"</f>
        <v>فروش داخلي - وزارت راه - حوزه راه روستايي ساخت</v>
      </c>
      <c r="S1550" s="1" t="str">
        <f t="shared" si="419"/>
        <v>قرارداد فروش</v>
      </c>
      <c r="T1550" s="1" t="str">
        <f t="shared" si="420"/>
        <v>ندارد</v>
      </c>
      <c r="U1550" s="1" t="str">
        <f>"ميرحسيني چاپارحقيقت كرمان(4844008)"</f>
        <v>ميرحسيني چاپارحقيقت كرمان(4844008)</v>
      </c>
      <c r="V1550" s="1">
        <v>951400002</v>
      </c>
      <c r="W1550" s="1">
        <v>951400002</v>
      </c>
      <c r="X1550" s="1" t="str">
        <f>"1395401942"</f>
        <v>1395401942</v>
      </c>
      <c r="Y1550" s="1" t="str">
        <f>"95/02/11"</f>
        <v>95/02/11</v>
      </c>
      <c r="Z1550" s="1" t="str">
        <f>"65713/510"</f>
        <v>65713/510</v>
      </c>
      <c r="AA1550" s="1" t="str">
        <f>"راه وروستايي -ساخت"</f>
        <v>راه وروستايي -ساخت</v>
      </c>
      <c r="AB1550" s="1" t="str">
        <f>"94/11/28"</f>
        <v>94/11/28</v>
      </c>
      <c r="AC1550" s="1" t="str">
        <f>"استان سيستان بلوچستان"</f>
        <v>استان سيستان بلوچستان</v>
      </c>
      <c r="AD1550" s="1" t="str">
        <f>"95/02/11"</f>
        <v>95/02/11</v>
      </c>
      <c r="AE1550" s="1" t="str">
        <f t="shared" si="411"/>
        <v>اختتام</v>
      </c>
      <c r="AF1550" s="1" t="str">
        <f>""</f>
        <v/>
      </c>
      <c r="AG1550" s="1" t="str">
        <f>""</f>
        <v/>
      </c>
      <c r="AH1550" s="1" t="str">
        <f>""</f>
        <v/>
      </c>
      <c r="AI1550" s="1" t="str">
        <f>""</f>
        <v/>
      </c>
      <c r="AJ1550" s="1" t="str">
        <f>""</f>
        <v/>
      </c>
      <c r="AK1550" s="1" t="str">
        <f>""</f>
        <v/>
      </c>
    </row>
    <row r="1551" spans="1:37" x14ac:dyDescent="0.2">
      <c r="A1551" s="1">
        <v>3000000</v>
      </c>
      <c r="B1551" s="1">
        <v>951400030</v>
      </c>
      <c r="C1551" s="1" t="str">
        <f>"تخليه سيستان وبلوچستان -ادارات تابعه وشركت هاي طرف قراردادبااداره كل راه وشهرسازي سيستان وبلوچستان"</f>
        <v>تخليه سيستان وبلوچستان -ادارات تابعه وشركت هاي طرف قراردادبااداره كل راه وشهرسازي سيستان وبلوچستان</v>
      </c>
      <c r="D1551" s="1">
        <v>9980</v>
      </c>
      <c r="E1551" s="1">
        <v>2308400</v>
      </c>
      <c r="F1551" s="1">
        <v>95</v>
      </c>
      <c r="G1551" s="1">
        <v>691600</v>
      </c>
      <c r="H1551" s="1" t="str">
        <f>"95/04/05"</f>
        <v>95/04/05</v>
      </c>
      <c r="I1551" s="1" t="str">
        <f t="shared" si="418"/>
        <v>كيلوگرم</v>
      </c>
      <c r="J1551" s="1" t="str">
        <f>"1000000003"</f>
        <v>1000000003</v>
      </c>
      <c r="K1551" s="1" t="str">
        <f>"قير MC250"</f>
        <v>قير MC250</v>
      </c>
      <c r="L1551" s="1">
        <v>100</v>
      </c>
      <c r="M1551" s="1" t="str">
        <f t="shared" si="423"/>
        <v>مخازن قير اصفهان</v>
      </c>
      <c r="N1551" s="1">
        <v>4095</v>
      </c>
      <c r="O1551" s="1">
        <v>50031111</v>
      </c>
      <c r="P1551" s="1" t="str">
        <f>"  اداره كل راه وشهرسازي سيستان وبلوچستان"</f>
        <v xml:space="preserve">  اداره كل راه وشهرسازي سيستان وبلوچستان</v>
      </c>
      <c r="Q1551" s="1">
        <v>14</v>
      </c>
      <c r="R1551" s="1" t="str">
        <f>"فروش داخلي - وزارت راه - حوزه راه روستايي ساخت"</f>
        <v>فروش داخلي - وزارت راه - حوزه راه روستايي ساخت</v>
      </c>
      <c r="S1551" s="1" t="str">
        <f t="shared" si="419"/>
        <v>قرارداد فروش</v>
      </c>
      <c r="T1551" s="1" t="str">
        <f t="shared" si="420"/>
        <v>ندارد</v>
      </c>
      <c r="U1551" s="1" t="str">
        <f>"ميرحسيني چاپارحقيقت كرمان(4844008)"</f>
        <v>ميرحسيني چاپارحقيقت كرمان(4844008)</v>
      </c>
      <c r="V1551" s="1">
        <v>951400030</v>
      </c>
      <c r="W1551" s="1">
        <v>951400030</v>
      </c>
      <c r="X1551" s="1" t="str">
        <f>"1395411196"</f>
        <v>1395411196</v>
      </c>
      <c r="Y1551" s="1" t="str">
        <f>"95/04/05"</f>
        <v>95/04/05</v>
      </c>
      <c r="Z1551" s="1" t="str">
        <f>"12458/510"</f>
        <v>12458/510</v>
      </c>
      <c r="AA1551" s="1" t="str">
        <f>"راه روستائي -روكش"</f>
        <v>راه روستائي -روكش</v>
      </c>
      <c r="AB1551" s="1" t="str">
        <f>"95/03/26"</f>
        <v>95/03/26</v>
      </c>
      <c r="AC1551" s="1" t="str">
        <f>"استان سيستان بلوچستان"</f>
        <v>استان سيستان بلوچستان</v>
      </c>
      <c r="AD1551" s="1" t="str">
        <f>"95/04/05"</f>
        <v>95/04/05</v>
      </c>
      <c r="AE1551" s="1" t="str">
        <f t="shared" si="411"/>
        <v>اختتام</v>
      </c>
      <c r="AF1551" s="1" t="str">
        <f>""</f>
        <v/>
      </c>
      <c r="AG1551" s="1" t="str">
        <f>""</f>
        <v/>
      </c>
      <c r="AH1551" s="1" t="str">
        <f>""</f>
        <v/>
      </c>
      <c r="AI1551" s="1" t="str">
        <f>""</f>
        <v/>
      </c>
      <c r="AJ1551" s="1" t="str">
        <f>""</f>
        <v/>
      </c>
      <c r="AK1551" s="1" t="str">
        <f>""</f>
        <v/>
      </c>
    </row>
    <row r="1552" spans="1:37" x14ac:dyDescent="0.2">
      <c r="A1552" s="1">
        <v>296960</v>
      </c>
      <c r="B1552" s="1">
        <v>951700098</v>
      </c>
      <c r="C1552" s="1" t="str">
        <f>"تخليه سيستان وبلوچستان -ادارات تابعه وشركت هاي طرف قراردادبااداره كل راه وشهرسازي سيستان وبلوچستان"</f>
        <v>تخليه سيستان وبلوچستان -ادارات تابعه وشركت هاي طرف قراردادبااداره كل راه وشهرسازي سيستان وبلوچستان</v>
      </c>
      <c r="D1552" s="1">
        <v>9980</v>
      </c>
      <c r="E1552" s="1">
        <v>294060</v>
      </c>
      <c r="F1552" s="1">
        <v>95</v>
      </c>
      <c r="G1552" s="1">
        <v>2900</v>
      </c>
      <c r="H1552" s="1" t="str">
        <f>"95/04/19"</f>
        <v>95/04/19</v>
      </c>
      <c r="I1552" s="1" t="str">
        <f t="shared" si="418"/>
        <v>كيلوگرم</v>
      </c>
      <c r="J1552" s="1" t="str">
        <f>"1000000003"</f>
        <v>1000000003</v>
      </c>
      <c r="K1552" s="1" t="str">
        <f>"قير MC250"</f>
        <v>قير MC250</v>
      </c>
      <c r="L1552" s="1">
        <v>100</v>
      </c>
      <c r="M1552" s="1" t="str">
        <f t="shared" si="423"/>
        <v>مخازن قير اصفهان</v>
      </c>
      <c r="N1552" s="1">
        <v>4095</v>
      </c>
      <c r="O1552" s="1">
        <v>50031239</v>
      </c>
      <c r="P1552" s="1" t="str">
        <f>"  اداره كل راه وشهرسازي سيستان وبلوچستان"</f>
        <v xml:space="preserve">  اداره كل راه وشهرسازي سيستان وبلوچستان</v>
      </c>
      <c r="Q1552" s="1">
        <v>17</v>
      </c>
      <c r="R1552" s="1" t="str">
        <f>"فروش داخلي تهران - وزارت راه - راه روستايي - روکش"</f>
        <v>فروش داخلي تهران - وزارت راه - راه روستايي - روکش</v>
      </c>
      <c r="S1552" s="1" t="str">
        <f t="shared" si="419"/>
        <v>قرارداد فروش</v>
      </c>
      <c r="T1552" s="1" t="str">
        <f t="shared" si="420"/>
        <v>ندارد</v>
      </c>
      <c r="U1552" s="1" t="str">
        <f>"نگهبان چاپارسبزجاده عليرضا(1043ج 94)"</f>
        <v>نگهبان چاپارسبزجاده عليرضا(1043ج 94)</v>
      </c>
      <c r="V1552" s="1">
        <v>951700098</v>
      </c>
      <c r="W1552" s="1">
        <v>951700098</v>
      </c>
      <c r="X1552" s="1" t="str">
        <f>"1394392410"</f>
        <v>1394392410</v>
      </c>
      <c r="Y1552" s="1" t="str">
        <f>"95/04/19"</f>
        <v>95/04/19</v>
      </c>
      <c r="Z1552" s="1" t="str">
        <f>"64014/510"</f>
        <v>64014/510</v>
      </c>
      <c r="AA1552" s="1" t="str">
        <f>"راه روستائي -روكش"</f>
        <v>راه روستائي -روكش</v>
      </c>
      <c r="AB1552" s="1" t="str">
        <f>"94/11/20"</f>
        <v>94/11/20</v>
      </c>
      <c r="AC1552" s="1" t="str">
        <f>"استان سيستان بلوچستان"</f>
        <v>استان سيستان بلوچستان</v>
      </c>
      <c r="AD1552" s="1" t="str">
        <f>"94/11/25"</f>
        <v>94/11/25</v>
      </c>
      <c r="AE1552" s="1" t="str">
        <f t="shared" si="411"/>
        <v>اختتام</v>
      </c>
      <c r="AF1552" s="1" t="str">
        <f>""</f>
        <v/>
      </c>
      <c r="AG1552" s="1" t="str">
        <f>""</f>
        <v/>
      </c>
      <c r="AH1552" s="1" t="str">
        <f>""</f>
        <v/>
      </c>
      <c r="AI1552" s="1" t="str">
        <f>""</f>
        <v/>
      </c>
      <c r="AJ1552" s="1" t="str">
        <f>""</f>
        <v/>
      </c>
      <c r="AK1552" s="1" t="str">
        <f>""</f>
        <v/>
      </c>
    </row>
    <row r="1553" spans="1:37" x14ac:dyDescent="0.2">
      <c r="A1553" s="1">
        <v>500000</v>
      </c>
      <c r="B1553" s="1">
        <v>951800041</v>
      </c>
      <c r="C1553" s="1" t="str">
        <f>"تخليه -كرمانشاه -كيلومتر13جاده اسلام آباد-بعدازپليس راه -كارگاه راهسازي شركت بنادر"</f>
        <v>تخليه -كرمانشاه -كيلومتر13جاده اسلام آباد-بعدازپليس راه -كارگاه راهسازي شركت بنادر</v>
      </c>
      <c r="D1553" s="1">
        <v>6726</v>
      </c>
      <c r="E1553" s="1">
        <v>498760</v>
      </c>
      <c r="F1553" s="1">
        <v>95</v>
      </c>
      <c r="G1553" s="1">
        <v>1240</v>
      </c>
      <c r="H1553" s="1" t="str">
        <f>"95/05/16"</f>
        <v>95/05/16</v>
      </c>
      <c r="I1553" s="1" t="str">
        <f t="shared" si="418"/>
        <v>كيلوگرم</v>
      </c>
      <c r="J1553" s="1" t="str">
        <f>"0000000091"</f>
        <v>0000000091</v>
      </c>
      <c r="K1553" s="1" t="str">
        <f>"قير  PG64-22"</f>
        <v>قير  PG64-22</v>
      </c>
      <c r="L1553" s="1">
        <v>100</v>
      </c>
      <c r="M1553" s="1" t="str">
        <f t="shared" si="423"/>
        <v>مخازن قير اصفهان</v>
      </c>
      <c r="N1553" s="1">
        <v>8072</v>
      </c>
      <c r="O1553" s="1">
        <v>50031427</v>
      </c>
      <c r="P1553" s="1" t="str">
        <f>"  بنادر"</f>
        <v xml:space="preserve">  بنادر</v>
      </c>
      <c r="Q1553" s="1">
        <v>18</v>
      </c>
      <c r="R1553" s="1" t="str">
        <f>"فروش داخلي تهران - وزارت راه - شرکت ساخت و توسعه راهها"</f>
        <v>فروش داخلي تهران - وزارت راه - شرکت ساخت و توسعه راهها</v>
      </c>
      <c r="S1553" s="1" t="str">
        <f t="shared" si="419"/>
        <v>قرارداد فروش</v>
      </c>
      <c r="T1553" s="1" t="str">
        <f t="shared" si="420"/>
        <v>ندارد</v>
      </c>
      <c r="U1553" s="1" t="str">
        <f>"عزيزي صفر(1006ج 89)"</f>
        <v>عزيزي صفر(1006ج 89)</v>
      </c>
      <c r="V1553" s="1">
        <v>951800041</v>
      </c>
      <c r="W1553" s="1">
        <v>951800041</v>
      </c>
      <c r="X1553" s="1" t="str">
        <f>"1395421153"</f>
        <v>1395421153</v>
      </c>
      <c r="Y1553" s="1" t="str">
        <f>"95/05/16"</f>
        <v>95/05/16</v>
      </c>
      <c r="Z1553" s="1" t="str">
        <f>"20821/510"</f>
        <v>20821/510</v>
      </c>
      <c r="AA1553" s="1" t="str">
        <f>"شركت  ساخت وتوسعه راهها"</f>
        <v>شركت  ساخت وتوسعه راهها</v>
      </c>
      <c r="AB1553" s="1" t="str">
        <f>"95/05/11"</f>
        <v>95/05/11</v>
      </c>
      <c r="AC1553" s="1" t="str">
        <f>"استان كرمانشاه"</f>
        <v>استان كرمانشاه</v>
      </c>
      <c r="AD1553" s="1" t="str">
        <f>"95/05/13"</f>
        <v>95/05/13</v>
      </c>
      <c r="AE1553" s="1" t="str">
        <f t="shared" si="411"/>
        <v>اختتام</v>
      </c>
      <c r="AF1553" s="1" t="str">
        <f>""</f>
        <v/>
      </c>
      <c r="AG1553" s="1" t="str">
        <f>""</f>
        <v/>
      </c>
      <c r="AH1553" s="1" t="str">
        <f>""</f>
        <v/>
      </c>
      <c r="AI1553" s="1" t="str">
        <f>""</f>
        <v/>
      </c>
      <c r="AJ1553" s="1" t="str">
        <f>""</f>
        <v/>
      </c>
      <c r="AK1553" s="1" t="str">
        <f>""</f>
        <v/>
      </c>
    </row>
    <row r="1554" spans="1:37" x14ac:dyDescent="0.2">
      <c r="A1554" s="1">
        <v>80000</v>
      </c>
      <c r="B1554" s="1">
        <v>951100002</v>
      </c>
      <c r="C1554" s="1" t="str">
        <f>"تخليه -تهران -فرودگاه بين المللي امام خميني"</f>
        <v>تخليه -تهران -فرودگاه بين المللي امام خميني</v>
      </c>
      <c r="D1554" s="1">
        <v>7223</v>
      </c>
      <c r="E1554" s="1">
        <v>77780</v>
      </c>
      <c r="F1554" s="1">
        <v>95</v>
      </c>
      <c r="G1554" s="1">
        <v>2220</v>
      </c>
      <c r="H1554" s="1" t="str">
        <f>"95/01/15"</f>
        <v>95/01/15</v>
      </c>
      <c r="I1554" s="1" t="str">
        <f t="shared" si="418"/>
        <v>كيلوگرم</v>
      </c>
      <c r="J1554" s="1" t="str">
        <f>"1000000003"</f>
        <v>1000000003</v>
      </c>
      <c r="K1554" s="1" t="str">
        <f>"قير MC250"</f>
        <v>قير MC250</v>
      </c>
      <c r="L1554" s="1">
        <v>100</v>
      </c>
      <c r="M1554" s="1" t="str">
        <f t="shared" si="423"/>
        <v>مخازن قير اصفهان</v>
      </c>
      <c r="N1554" s="1">
        <v>8025</v>
      </c>
      <c r="O1554" s="1">
        <v>50030445</v>
      </c>
      <c r="P1554" s="1" t="str">
        <f>"  ملي ساختمان"</f>
        <v xml:space="preserve">  ملي ساختمان</v>
      </c>
      <c r="Q1554" s="1">
        <v>11</v>
      </c>
      <c r="R1554" s="1" t="str">
        <f>"فروش داخلي تهران - بورس"</f>
        <v>فروش داخلي تهران - بورس</v>
      </c>
      <c r="S1554" s="1" t="str">
        <f t="shared" si="419"/>
        <v>قرارداد فروش</v>
      </c>
      <c r="T1554" s="1" t="str">
        <f t="shared" si="420"/>
        <v>ندارد</v>
      </c>
      <c r="U1554" s="1" t="str">
        <f>"حسيني علي(1841001)"</f>
        <v>حسيني علي(1841001)</v>
      </c>
      <c r="V1554" s="1">
        <v>951100002</v>
      </c>
      <c r="W1554" s="1">
        <v>951100002</v>
      </c>
      <c r="X1554" s="1" t="str">
        <f>"1394396736"</f>
        <v>1394396736</v>
      </c>
      <c r="Y1554" s="1" t="str">
        <f>"95/01/14"</f>
        <v>95/01/14</v>
      </c>
      <c r="Z1554" s="1" t="str">
        <f>"95-34136"</f>
        <v>95-34136</v>
      </c>
      <c r="AA1554" s="1" t="str">
        <f>"راه سازي"</f>
        <v>راه سازي</v>
      </c>
      <c r="AB1554" s="1" t="str">
        <f>"95/01/10"</f>
        <v>95/01/10</v>
      </c>
      <c r="AC1554" s="1" t="str">
        <f>"استان تهران"</f>
        <v>استان تهران</v>
      </c>
      <c r="AD1554" s="1" t="str">
        <f>"94/12/19"</f>
        <v>94/12/19</v>
      </c>
      <c r="AE1554" s="1" t="str">
        <f t="shared" si="411"/>
        <v>اختتام</v>
      </c>
      <c r="AF1554" s="1" t="str">
        <f>""</f>
        <v/>
      </c>
      <c r="AG1554" s="1" t="str">
        <f>""</f>
        <v/>
      </c>
      <c r="AH1554" s="1" t="str">
        <f>""</f>
        <v/>
      </c>
      <c r="AI1554" s="1" t="str">
        <f>""</f>
        <v/>
      </c>
      <c r="AJ1554" s="1" t="str">
        <f>""</f>
        <v/>
      </c>
      <c r="AK1554" s="1" t="str">
        <f>""</f>
        <v/>
      </c>
    </row>
    <row r="1555" spans="1:37" x14ac:dyDescent="0.2">
      <c r="A1555" s="1">
        <v>105000</v>
      </c>
      <c r="B1555" s="1">
        <v>951700209</v>
      </c>
      <c r="C1555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1555" s="1">
        <v>7176</v>
      </c>
      <c r="E1555" s="1">
        <v>21480</v>
      </c>
      <c r="F1555" s="1">
        <v>95</v>
      </c>
      <c r="G1555" s="1">
        <v>83520</v>
      </c>
      <c r="H1555" s="1" t="str">
        <f>"95/06/24"</f>
        <v>95/06/24</v>
      </c>
      <c r="I1555" s="1" t="str">
        <f t="shared" si="418"/>
        <v>كيلوگرم</v>
      </c>
      <c r="J1555" s="1" t="str">
        <f>"0000000091"</f>
        <v>0000000091</v>
      </c>
      <c r="K1555" s="1" t="str">
        <f>"قير  PG64-22"</f>
        <v>قير  PG64-22</v>
      </c>
      <c r="L1555" s="1">
        <v>100</v>
      </c>
      <c r="M1555" s="1" t="str">
        <f t="shared" si="423"/>
        <v>مخازن قير اصفهان</v>
      </c>
      <c r="N1555" s="1">
        <v>8091</v>
      </c>
      <c r="O1555" s="1">
        <v>50031864</v>
      </c>
      <c r="P1555" s="1" t="str">
        <f>"  اداره كل راه وشهرسازي اصفهان"</f>
        <v xml:space="preserve">  اداره كل راه وشهرسازي اصفهان</v>
      </c>
      <c r="Q1555" s="1">
        <v>17</v>
      </c>
      <c r="R1555" s="1" t="str">
        <f>"فروش داخلي تهران - وزارت راه - راه روستايي - روکش"</f>
        <v>فروش داخلي تهران - وزارت راه - راه روستايي - روکش</v>
      </c>
      <c r="S1555" s="1" t="str">
        <f t="shared" si="419"/>
        <v>قرارداد فروش</v>
      </c>
      <c r="T1555" s="1" t="str">
        <f t="shared" si="420"/>
        <v>ندارد</v>
      </c>
      <c r="U1555" s="1" t="str">
        <f>"اسماعيلي پور امين (1013ج89)"</f>
        <v>اسماعيلي پور امين (1013ج89)</v>
      </c>
      <c r="V1555" s="1">
        <v>951700209</v>
      </c>
      <c r="W1555" s="1">
        <v>951700209</v>
      </c>
      <c r="X1555" s="1" t="str">
        <f>"1395430856"</f>
        <v>1395430856</v>
      </c>
      <c r="Y1555" s="1" t="str">
        <f>"95/06/24"</f>
        <v>95/06/24</v>
      </c>
      <c r="Z1555" s="1" t="str">
        <f>"29117/510"</f>
        <v>29117/510</v>
      </c>
      <c r="AA1555" s="1" t="str">
        <f>"راه روستائي -روكش"</f>
        <v>راه روستائي -روكش</v>
      </c>
      <c r="AB1555" s="1" t="str">
        <f>"95/06/17"</f>
        <v>95/06/17</v>
      </c>
      <c r="AC1555" s="1" t="str">
        <f>"استان اصفهان"</f>
        <v>استان اصفهان</v>
      </c>
      <c r="AD1555" s="1" t="str">
        <f>"95/06/23"</f>
        <v>95/06/23</v>
      </c>
      <c r="AE1555" s="1" t="str">
        <f t="shared" si="411"/>
        <v>اختتام</v>
      </c>
      <c r="AF1555" s="1" t="str">
        <f>""</f>
        <v/>
      </c>
      <c r="AG1555" s="1" t="str">
        <f>""</f>
        <v/>
      </c>
      <c r="AH1555" s="1" t="str">
        <f>""</f>
        <v/>
      </c>
      <c r="AI1555" s="1" t="str">
        <f>""</f>
        <v/>
      </c>
      <c r="AJ1555" s="1" t="str">
        <f>""</f>
        <v/>
      </c>
      <c r="AK1555" s="1" t="str">
        <f>""</f>
        <v/>
      </c>
    </row>
    <row r="1556" spans="1:37" x14ac:dyDescent="0.2">
      <c r="A1556" s="1">
        <v>83520</v>
      </c>
      <c r="B1556" s="1">
        <v>951700274</v>
      </c>
      <c r="C1556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1556" s="1">
        <v>8323</v>
      </c>
      <c r="E1556" s="1">
        <v>82760</v>
      </c>
      <c r="F1556" s="1">
        <v>95</v>
      </c>
      <c r="G1556" s="1">
        <v>760</v>
      </c>
      <c r="H1556" s="1" t="str">
        <f>"95/08/09"</f>
        <v>95/08/09</v>
      </c>
      <c r="I1556" s="1" t="str">
        <f t="shared" si="418"/>
        <v>كيلوگرم</v>
      </c>
      <c r="J1556" s="1" t="str">
        <f>"0000000091"</f>
        <v>0000000091</v>
      </c>
      <c r="K1556" s="1" t="str">
        <f>"قير  PG64-22"</f>
        <v>قير  PG64-22</v>
      </c>
      <c r="L1556" s="1">
        <v>100</v>
      </c>
      <c r="M1556" s="1" t="str">
        <f t="shared" si="423"/>
        <v>مخازن قير اصفهان</v>
      </c>
      <c r="N1556" s="1">
        <v>8091</v>
      </c>
      <c r="O1556" s="1">
        <v>50032411</v>
      </c>
      <c r="P1556" s="1" t="str">
        <f>"  اداره كل راه وشهرسازي اصفهان"</f>
        <v xml:space="preserve">  اداره كل راه وشهرسازي اصفهان</v>
      </c>
      <c r="Q1556" s="1">
        <v>17</v>
      </c>
      <c r="R1556" s="1" t="str">
        <f>"فروش داخلي تهران - وزارت راه - راه روستايي - روکش"</f>
        <v>فروش داخلي تهران - وزارت راه - راه روستايي - روکش</v>
      </c>
      <c r="S1556" s="1" t="str">
        <f t="shared" si="419"/>
        <v>قرارداد فروش</v>
      </c>
      <c r="T1556" s="1" t="str">
        <f t="shared" si="420"/>
        <v>ندارد</v>
      </c>
      <c r="U1556" s="1" t="str">
        <f>"اسماعيلي پور امين (1013ج89)"</f>
        <v>اسماعيلي پور امين (1013ج89)</v>
      </c>
      <c r="V1556" s="1">
        <v>951700274</v>
      </c>
      <c r="W1556" s="1">
        <v>951700274</v>
      </c>
      <c r="X1556" s="1" t="str">
        <f>"1395430856"</f>
        <v>1395430856</v>
      </c>
      <c r="Y1556" s="1" t="str">
        <f>"95/08/09"</f>
        <v>95/08/09</v>
      </c>
      <c r="Z1556" s="1" t="str">
        <f>"29117/510"</f>
        <v>29117/510</v>
      </c>
      <c r="AA1556" s="1" t="str">
        <f>"راه روستائي -روكش"</f>
        <v>راه روستائي -روكش</v>
      </c>
      <c r="AB1556" s="1" t="str">
        <f>"95/06/17"</f>
        <v>95/06/17</v>
      </c>
      <c r="AC1556" s="1" t="str">
        <f>"استان اصفهان"</f>
        <v>استان اصفهان</v>
      </c>
      <c r="AD1556" s="1" t="str">
        <f>"95/06/23"</f>
        <v>95/06/23</v>
      </c>
      <c r="AE1556" s="1" t="str">
        <f t="shared" si="411"/>
        <v>اختتام</v>
      </c>
      <c r="AF1556" s="1" t="str">
        <f>""</f>
        <v/>
      </c>
      <c r="AG1556" s="1" t="str">
        <f>""</f>
        <v/>
      </c>
      <c r="AH1556" s="1" t="str">
        <f>""</f>
        <v/>
      </c>
      <c r="AI1556" s="1" t="str">
        <f>""</f>
        <v/>
      </c>
      <c r="AJ1556" s="1" t="str">
        <f>""</f>
        <v/>
      </c>
      <c r="AK1556" s="1" t="str">
        <f>""</f>
        <v/>
      </c>
    </row>
    <row r="1557" spans="1:37" x14ac:dyDescent="0.2">
      <c r="A1557" s="1">
        <v>100000</v>
      </c>
      <c r="B1557" s="1">
        <v>951100142</v>
      </c>
      <c r="C1557" s="1" t="str">
        <f>"تخليه كرمانشاه محوركرمانشاه -هرسين ازپليس راه كيلومتر9روبروي روستاي چهر"</f>
        <v>تخليه كرمانشاه محوركرمانشاه -هرسين ازپليس راه كيلومتر9روبروي روستاي چهر</v>
      </c>
      <c r="D1557" s="1">
        <v>9273</v>
      </c>
      <c r="E1557" s="1">
        <v>100000</v>
      </c>
      <c r="F1557" s="1">
        <v>95</v>
      </c>
      <c r="G1557" s="1">
        <v>0</v>
      </c>
      <c r="H1557" s="1" t="str">
        <f>"95/08/19"</f>
        <v>95/08/19</v>
      </c>
      <c r="I1557" s="1" t="str">
        <f t="shared" si="418"/>
        <v>كيلوگرم</v>
      </c>
      <c r="J1557" s="1" t="str">
        <f>"0000000091"</f>
        <v>0000000091</v>
      </c>
      <c r="K1557" s="1" t="str">
        <f>"قير  PG64-22"</f>
        <v>قير  PG64-22</v>
      </c>
      <c r="L1557" s="1">
        <v>100</v>
      </c>
      <c r="M1557" s="1" t="str">
        <f t="shared" si="423"/>
        <v>مخازن قير اصفهان</v>
      </c>
      <c r="N1557" s="1">
        <v>8120</v>
      </c>
      <c r="O1557" s="1">
        <v>50032573</v>
      </c>
      <c r="P1557" s="1" t="str">
        <f>"  مرزراه"</f>
        <v xml:space="preserve">  مرزراه</v>
      </c>
      <c r="Q1557" s="1">
        <v>11</v>
      </c>
      <c r="R1557" s="1" t="str">
        <f>"فروش داخلي تهران - بورس"</f>
        <v>فروش داخلي تهران - بورس</v>
      </c>
      <c r="S1557" s="1" t="str">
        <f t="shared" si="419"/>
        <v>قرارداد فروش</v>
      </c>
      <c r="T1557" s="1" t="str">
        <f t="shared" si="420"/>
        <v>ندارد</v>
      </c>
      <c r="U1557" s="1" t="str">
        <f>"شمسيان پور حبيب اله(2842034)"</f>
        <v>شمسيان پور حبيب اله(2842034)</v>
      </c>
      <c r="V1557" s="1">
        <v>951100142</v>
      </c>
      <c r="W1557" s="1">
        <v>951100142</v>
      </c>
      <c r="X1557" s="1" t="str">
        <f>"1395443381"</f>
        <v>1395443381</v>
      </c>
      <c r="Y1557" s="1" t="str">
        <f>"95/08/19"</f>
        <v>95/08/19</v>
      </c>
      <c r="Z1557" s="1" t="str">
        <f>"95-34793"</f>
        <v>95-34793</v>
      </c>
      <c r="AA1557" s="1" t="str">
        <f>"راه سازي"</f>
        <v>راه سازي</v>
      </c>
      <c r="AB1557" s="1" t="str">
        <f>"95/08/18"</f>
        <v>95/08/18</v>
      </c>
      <c r="AC1557" s="1" t="str">
        <f>"استان كرمانشاه"</f>
        <v>استان كرمانشاه</v>
      </c>
      <c r="AD1557" s="1" t="str">
        <f>"95/08/17"</f>
        <v>95/08/17</v>
      </c>
      <c r="AE1557" s="1" t="str">
        <f t="shared" si="411"/>
        <v>اختتام</v>
      </c>
      <c r="AF1557" s="1" t="str">
        <f>""</f>
        <v/>
      </c>
      <c r="AG1557" s="1" t="str">
        <f>""</f>
        <v/>
      </c>
      <c r="AH1557" s="1" t="str">
        <f>""</f>
        <v/>
      </c>
      <c r="AI1557" s="1" t="str">
        <f>""</f>
        <v/>
      </c>
      <c r="AJ1557" s="1" t="str">
        <f>""</f>
        <v/>
      </c>
      <c r="AK1557" s="1" t="str">
        <f>""</f>
        <v/>
      </c>
    </row>
    <row r="1558" spans="1:37" x14ac:dyDescent="0.2">
      <c r="A1558" s="1">
        <v>24000</v>
      </c>
      <c r="B1558" s="1">
        <v>956200154</v>
      </c>
      <c r="C1558" s="1" t="str">
        <f>"تخليه -اصفهان - كاشان - كيلومتر 19محور كاشان - قم شركت درم"</f>
        <v>تخليه -اصفهان - كاشان - كيلومتر 19محور كاشان - قم شركت درم</v>
      </c>
      <c r="D1558" s="1">
        <v>12507</v>
      </c>
      <c r="E1558" s="1">
        <v>21180</v>
      </c>
      <c r="F1558" s="1">
        <v>95</v>
      </c>
      <c r="G1558" s="1">
        <v>2820</v>
      </c>
      <c r="H1558" s="1" t="str">
        <f>"95/10/23"</f>
        <v>95/10/23</v>
      </c>
      <c r="I1558" s="1" t="str">
        <f t="shared" si="418"/>
        <v>كيلوگرم</v>
      </c>
      <c r="J1558" s="1" t="str">
        <f>"1000000003"</f>
        <v>1000000003</v>
      </c>
      <c r="K1558" s="1" t="str">
        <f>"قير MC250"</f>
        <v>قير MC250</v>
      </c>
      <c r="L1558" s="1">
        <v>100</v>
      </c>
      <c r="M1558" s="1" t="str">
        <f t="shared" si="423"/>
        <v>مخازن قير اصفهان</v>
      </c>
      <c r="N1558" s="1">
        <v>8073</v>
      </c>
      <c r="O1558" s="1">
        <v>50033373</v>
      </c>
      <c r="P1558" s="1" t="str">
        <f>"  درم"</f>
        <v xml:space="preserve">  درم</v>
      </c>
      <c r="Q1558" s="1">
        <v>62</v>
      </c>
      <c r="R1558" s="1" t="str">
        <f>"فروش داخلي - سازمان بنيادمسكن انقلاب اسلامي"</f>
        <v>فروش داخلي - سازمان بنيادمسكن انقلاب اسلامي</v>
      </c>
      <c r="S1558" s="1" t="str">
        <f t="shared" si="419"/>
        <v>قرارداد فروش</v>
      </c>
      <c r="T1558" s="1" t="str">
        <f t="shared" si="420"/>
        <v>ندارد</v>
      </c>
      <c r="U1558" s="1" t="str">
        <f>"كبيري رحمت اله(1024ج89)"</f>
        <v>كبيري رحمت اله(1024ج89)</v>
      </c>
      <c r="V1558" s="1">
        <v>956200154</v>
      </c>
      <c r="W1558" s="1">
        <v>956200154</v>
      </c>
      <c r="X1558" s="1" t="str">
        <f>"1395457939"</f>
        <v>1395457939</v>
      </c>
      <c r="Y1558" s="1" t="str">
        <f>"95/10/23"</f>
        <v>95/10/23</v>
      </c>
      <c r="Z1558" s="1" t="str">
        <f>"44837/د"</f>
        <v>44837/د</v>
      </c>
      <c r="AA1558" s="1" t="str">
        <f>"بنيادمسكن انقلاب اسلامي"</f>
        <v>بنيادمسكن انقلاب اسلامي</v>
      </c>
      <c r="AB1558" s="1" t="str">
        <f>"95/10/20"</f>
        <v>95/10/20</v>
      </c>
      <c r="AC1558" s="1" t="str">
        <f>"استان اصفهان"</f>
        <v>استان اصفهان</v>
      </c>
      <c r="AD1558" s="1" t="str">
        <f>"95/10/22"</f>
        <v>95/10/22</v>
      </c>
      <c r="AE1558" s="1" t="str">
        <f t="shared" si="411"/>
        <v>اختتام</v>
      </c>
      <c r="AF1558" s="1" t="str">
        <f>""</f>
        <v/>
      </c>
      <c r="AG1558" s="1" t="str">
        <f>""</f>
        <v/>
      </c>
      <c r="AH1558" s="1" t="str">
        <f>""</f>
        <v/>
      </c>
      <c r="AI1558" s="1" t="str">
        <f>""</f>
        <v/>
      </c>
      <c r="AJ1558" s="1" t="str">
        <f>""</f>
        <v/>
      </c>
      <c r="AK1558" s="1" t="str">
        <f>""</f>
        <v/>
      </c>
    </row>
    <row r="1559" spans="1:37" x14ac:dyDescent="0.2">
      <c r="A1559" s="1">
        <v>350000</v>
      </c>
      <c r="B1559" s="1">
        <v>951900109</v>
      </c>
      <c r="C1559" s="1" t="str">
        <f>"تخليه -لرستان -فيروزآبادكيلومتريك جاده خرم آباد-كارخانه آسفالت سعادتي"</f>
        <v>تخليه -لرستان -فيروزآبادكيلومتريك جاده خرم آباد-كارخانه آسفالت سعادتي</v>
      </c>
      <c r="D1559" s="1">
        <v>6726</v>
      </c>
      <c r="E1559" s="1">
        <v>348040</v>
      </c>
      <c r="F1559" s="1">
        <v>95</v>
      </c>
      <c r="G1559" s="1">
        <v>1960</v>
      </c>
      <c r="H1559" s="1" t="str">
        <f>"95/05/23"</f>
        <v>95/05/23</v>
      </c>
      <c r="I1559" s="1" t="str">
        <f t="shared" si="418"/>
        <v>كيلوگرم</v>
      </c>
      <c r="J1559" s="1" t="str">
        <f>"0000000091"</f>
        <v>0000000091</v>
      </c>
      <c r="K1559" s="1" t="str">
        <f>"قير  PG64-22"</f>
        <v>قير  PG64-22</v>
      </c>
      <c r="L1559" s="1">
        <v>100</v>
      </c>
      <c r="M1559" s="1" t="str">
        <f t="shared" si="423"/>
        <v>مخازن قير اصفهان</v>
      </c>
      <c r="N1559" s="1">
        <v>8147</v>
      </c>
      <c r="O1559" s="1">
        <v>50031492</v>
      </c>
      <c r="P1559" s="1" t="str">
        <f>"  زاگرس راه نصر"</f>
        <v xml:space="preserve">  زاگرس راه نصر</v>
      </c>
      <c r="Q1559" s="1">
        <v>19</v>
      </c>
      <c r="R15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59" s="1" t="str">
        <f t="shared" si="419"/>
        <v>قرارداد فروش</v>
      </c>
      <c r="T1559" s="1" t="str">
        <f t="shared" si="420"/>
        <v>ندارد</v>
      </c>
      <c r="U1559" s="1" t="str">
        <f>"عظيمي محمد(2842015)"</f>
        <v>عظيمي محمد(2842015)</v>
      </c>
      <c r="V1559" s="1">
        <v>951900109</v>
      </c>
      <c r="W1559" s="1">
        <v>951900109</v>
      </c>
      <c r="X1559" s="1" t="str">
        <f>"1395421980"</f>
        <v>1395421980</v>
      </c>
      <c r="Y1559" s="1" t="str">
        <f>"95/05/23"</f>
        <v>95/05/23</v>
      </c>
      <c r="Z1559" s="1" t="str">
        <f>"21445/510"</f>
        <v>21445/510</v>
      </c>
      <c r="AA1559" s="1" t="str">
        <f>"سازمان راهداري وحمل نقل جاده اي"</f>
        <v>سازمان راهداري وحمل نقل جاده اي</v>
      </c>
      <c r="AB1559" s="1" t="str">
        <f>"95/05/13"</f>
        <v>95/05/13</v>
      </c>
      <c r="AC1559" s="1" t="str">
        <f>"لرستان"</f>
        <v>لرستان</v>
      </c>
      <c r="AD1559" s="1" t="str">
        <f>"95/05/18"</f>
        <v>95/05/18</v>
      </c>
      <c r="AE1559" s="1" t="str">
        <f t="shared" ref="AE1559:AE1590" si="424">"اختتام"</f>
        <v>اختتام</v>
      </c>
      <c r="AF1559" s="1" t="str">
        <f>""</f>
        <v/>
      </c>
      <c r="AG1559" s="1" t="str">
        <f>""</f>
        <v/>
      </c>
      <c r="AH1559" s="1" t="str">
        <f>""</f>
        <v/>
      </c>
      <c r="AI1559" s="1" t="str">
        <f>""</f>
        <v/>
      </c>
      <c r="AJ1559" s="1" t="str">
        <f>""</f>
        <v/>
      </c>
      <c r="AK1559" s="1" t="str">
        <f>""</f>
        <v/>
      </c>
    </row>
    <row r="1560" spans="1:37" x14ac:dyDescent="0.2">
      <c r="A1560" s="1">
        <v>161120</v>
      </c>
      <c r="B1560" s="1">
        <v>951600046</v>
      </c>
      <c r="C1560" s="1" t="str">
        <f>"تخليه -لرستان -فيروزآبادكيلومتريك جاده خرم آباد-كارخانه آسفالت سعادتي"</f>
        <v>تخليه -لرستان -فيروزآبادكيلومتريك جاده خرم آباد-كارخانه آسفالت سعادتي</v>
      </c>
      <c r="D1560" s="1">
        <v>8323</v>
      </c>
      <c r="E1560" s="1">
        <v>160160</v>
      </c>
      <c r="F1560" s="1">
        <v>95</v>
      </c>
      <c r="G1560" s="1">
        <v>960</v>
      </c>
      <c r="H1560" s="1" t="str">
        <f>"95/08/08"</f>
        <v>95/08/08</v>
      </c>
      <c r="I1560" s="1" t="str">
        <f t="shared" si="418"/>
        <v>كيلوگرم</v>
      </c>
      <c r="J1560" s="1" t="str">
        <f>"0000000091"</f>
        <v>0000000091</v>
      </c>
      <c r="K1560" s="1" t="str">
        <f>"قير  PG64-22"</f>
        <v>قير  PG64-22</v>
      </c>
      <c r="L1560" s="1">
        <v>100</v>
      </c>
      <c r="M1560" s="1" t="str">
        <f t="shared" si="423"/>
        <v>مخازن قير اصفهان</v>
      </c>
      <c r="N1560" s="1">
        <v>8147</v>
      </c>
      <c r="O1560" s="1">
        <v>50032365</v>
      </c>
      <c r="P1560" s="1" t="str">
        <f>"  زاگرس راه نصر"</f>
        <v xml:space="preserve">  زاگرس راه نصر</v>
      </c>
      <c r="Q1560" s="1">
        <v>16</v>
      </c>
      <c r="R1560" s="1" t="str">
        <f>"فروش داخلي تهران - وزارت راه - معاونت اقتصاد"</f>
        <v>فروش داخلي تهران - وزارت راه - معاونت اقتصاد</v>
      </c>
      <c r="S1560" s="1" t="str">
        <f t="shared" si="419"/>
        <v>قرارداد فروش</v>
      </c>
      <c r="T1560" s="1" t="str">
        <f t="shared" si="420"/>
        <v>ندارد</v>
      </c>
      <c r="U1560" s="1" t="str">
        <f>"عظيمي محمد(2842015)"</f>
        <v>عظيمي محمد(2842015)</v>
      </c>
      <c r="V1560" s="1">
        <v>951600046</v>
      </c>
      <c r="W1560" s="1">
        <v>951600046</v>
      </c>
      <c r="X1560" s="1" t="str">
        <f>"1395433836"</f>
        <v>1395433836</v>
      </c>
      <c r="Y1560" s="1" t="str">
        <f>"95/08/08"</f>
        <v>95/08/08</v>
      </c>
      <c r="Z1560" s="1" t="str">
        <f>"31546/510"</f>
        <v>31546/510</v>
      </c>
      <c r="AA1560" s="1" t="str">
        <f>"معاونت اقتصادوزارت راه وشهرسازي"</f>
        <v>معاونت اقتصادوزارت راه وشهرسازي</v>
      </c>
      <c r="AB1560" s="1" t="str">
        <f>"95/07/03"</f>
        <v>95/07/03</v>
      </c>
      <c r="AC1560" s="1" t="str">
        <f>"لرستان"</f>
        <v>لرستان</v>
      </c>
      <c r="AD1560" s="1" t="str">
        <f>"95/07/05"</f>
        <v>95/07/05</v>
      </c>
      <c r="AE1560" s="1" t="str">
        <f t="shared" si="424"/>
        <v>اختتام</v>
      </c>
      <c r="AF1560" s="1" t="str">
        <f>""</f>
        <v/>
      </c>
      <c r="AG1560" s="1" t="str">
        <f>""</f>
        <v/>
      </c>
      <c r="AH1560" s="1" t="str">
        <f>""</f>
        <v/>
      </c>
      <c r="AI1560" s="1" t="str">
        <f>""</f>
        <v/>
      </c>
      <c r="AJ1560" s="1" t="str">
        <f>""</f>
        <v/>
      </c>
      <c r="AK1560" s="1" t="str">
        <f>""</f>
        <v/>
      </c>
    </row>
    <row r="1561" spans="1:37" x14ac:dyDescent="0.2">
      <c r="A1561" s="1">
        <v>200000</v>
      </c>
      <c r="B1561" s="1">
        <v>951600031</v>
      </c>
      <c r="C1561" s="1" t="str">
        <f>"تخليه- خراسان جنوبي - کيلومتر 8 محور زاهدان-بجد کارخانه شرکت ارتقاء"</f>
        <v>تخليه- خراسان جنوبي - کيلومتر 8 محور زاهدان-بجد کارخانه شرکت ارتقاء</v>
      </c>
      <c r="D1561" s="1">
        <v>7276</v>
      </c>
      <c r="E1561" s="1">
        <v>184360</v>
      </c>
      <c r="F1561" s="1">
        <v>95</v>
      </c>
      <c r="G1561" s="1">
        <v>15640</v>
      </c>
      <c r="H1561" s="1" t="str">
        <f>"95/07/05"</f>
        <v>95/07/05</v>
      </c>
      <c r="I1561" s="1" t="str">
        <f t="shared" si="418"/>
        <v>كيلوگرم</v>
      </c>
      <c r="J1561" s="1" t="str">
        <f>"0000000091"</f>
        <v>0000000091</v>
      </c>
      <c r="K1561" s="1" t="str">
        <f>"قير  PG64-22"</f>
        <v>قير  PG64-22</v>
      </c>
      <c r="L1561" s="1">
        <v>100</v>
      </c>
      <c r="M1561" s="1" t="str">
        <f t="shared" si="423"/>
        <v>مخازن قير اصفهان</v>
      </c>
      <c r="N1561" s="1">
        <v>8289</v>
      </c>
      <c r="O1561" s="1">
        <v>50031943</v>
      </c>
      <c r="P1561" s="1" t="str">
        <f>"  ارتقاء"</f>
        <v xml:space="preserve">  ارتقاء</v>
      </c>
      <c r="Q1561" s="1">
        <v>16</v>
      </c>
      <c r="R1561" s="1" t="str">
        <f>"فروش داخلي تهران - وزارت راه - معاونت اقتصاد"</f>
        <v>فروش داخلي تهران - وزارت راه - معاونت اقتصاد</v>
      </c>
      <c r="S1561" s="1" t="str">
        <f t="shared" si="419"/>
        <v>قرارداد فروش</v>
      </c>
      <c r="T1561" s="1" t="str">
        <f t="shared" si="420"/>
        <v>ندارد</v>
      </c>
      <c r="U1561" s="1" t="str">
        <f>"فتحي حميد(1901090)"</f>
        <v>فتحي حميد(1901090)</v>
      </c>
      <c r="V1561" s="1">
        <v>951600031</v>
      </c>
      <c r="W1561" s="1">
        <v>951600031</v>
      </c>
      <c r="X1561" s="1" t="str">
        <f>"1395433633"</f>
        <v>1395433633</v>
      </c>
      <c r="Y1561" s="1" t="str">
        <f>"95/07/05"</f>
        <v>95/07/05</v>
      </c>
      <c r="Z1561" s="1" t="str">
        <f>"31049/510"</f>
        <v>31049/510</v>
      </c>
      <c r="AA1561" s="1" t="str">
        <f>"معاونت اقتصادوزارت راه وشهرسازي"</f>
        <v>معاونت اقتصادوزارت راه وشهرسازي</v>
      </c>
      <c r="AB1561" s="1" t="str">
        <f>"95/06/29"</f>
        <v>95/06/29</v>
      </c>
      <c r="AC1561" s="1" t="str">
        <f>"خراسان جنوبي"</f>
        <v>خراسان جنوبي</v>
      </c>
      <c r="AD1561" s="1" t="str">
        <f>"95/07/04"</f>
        <v>95/07/04</v>
      </c>
      <c r="AE1561" s="1" t="str">
        <f t="shared" si="424"/>
        <v>اختتام</v>
      </c>
      <c r="AF1561" s="1" t="str">
        <f>""</f>
        <v/>
      </c>
      <c r="AG1561" s="1" t="str">
        <f>""</f>
        <v/>
      </c>
      <c r="AH1561" s="1" t="str">
        <f>""</f>
        <v/>
      </c>
      <c r="AI1561" s="1" t="str">
        <f>""</f>
        <v/>
      </c>
      <c r="AJ1561" s="1" t="str">
        <f>""</f>
        <v/>
      </c>
      <c r="AK1561" s="1" t="str">
        <f>""</f>
        <v/>
      </c>
    </row>
    <row r="1562" spans="1:37" x14ac:dyDescent="0.2">
      <c r="A1562" s="1">
        <v>950000</v>
      </c>
      <c r="B1562" s="1">
        <v>951600023</v>
      </c>
      <c r="C1562" s="1" t="str">
        <f>"تخليه -خراسان جنوبي -قاين حاجي آبادزيرکوه -کارخانه چندآشيان"</f>
        <v>تخليه -خراسان جنوبي -قاين حاجي آبادزيرکوه -کارخانه چندآشيان</v>
      </c>
      <c r="D1562" s="1">
        <v>7176</v>
      </c>
      <c r="E1562" s="1">
        <v>950000</v>
      </c>
      <c r="F1562" s="1">
        <v>95</v>
      </c>
      <c r="G1562" s="1">
        <v>0</v>
      </c>
      <c r="H1562" s="1" t="str">
        <f>"95/06/08"</f>
        <v>95/06/08</v>
      </c>
      <c r="I1562" s="1" t="str">
        <f t="shared" si="418"/>
        <v>كيلوگرم</v>
      </c>
      <c r="J1562" s="1" t="str">
        <f>"0000000091"</f>
        <v>0000000091</v>
      </c>
      <c r="K1562" s="1" t="str">
        <f>"قير  PG64-22"</f>
        <v>قير  PG64-22</v>
      </c>
      <c r="L1562" s="1">
        <v>100</v>
      </c>
      <c r="M1562" s="1" t="str">
        <f t="shared" si="423"/>
        <v>مخازن قير اصفهان</v>
      </c>
      <c r="N1562" s="1">
        <v>8332</v>
      </c>
      <c r="O1562" s="1">
        <v>50031715</v>
      </c>
      <c r="P1562" s="1" t="str">
        <f>"  چندآشيان"</f>
        <v xml:space="preserve">  چندآشيان</v>
      </c>
      <c r="Q1562" s="1">
        <v>16</v>
      </c>
      <c r="R1562" s="1" t="str">
        <f>"فروش داخلي تهران - وزارت راه - معاونت اقتصاد"</f>
        <v>فروش داخلي تهران - وزارت راه - معاونت اقتصاد</v>
      </c>
      <c r="S1562" s="1" t="str">
        <f t="shared" si="419"/>
        <v>قرارداد فروش</v>
      </c>
      <c r="T1562" s="1" t="str">
        <f t="shared" si="420"/>
        <v>ندارد</v>
      </c>
      <c r="U1562" s="1" t="str">
        <f>"بابامحمدي عنايت اله(4844000)"</f>
        <v>بابامحمدي عنايت اله(4844000)</v>
      </c>
      <c r="V1562" s="1">
        <v>951600023</v>
      </c>
      <c r="W1562" s="1">
        <v>951600023</v>
      </c>
      <c r="X1562" s="1" t="str">
        <f>"1395427129"</f>
        <v>1395427129</v>
      </c>
      <c r="Y1562" s="1" t="str">
        <f>"95/06/08"</f>
        <v>95/06/08</v>
      </c>
      <c r="Z1562" s="1" t="str">
        <f>"25339/510"</f>
        <v>25339/510</v>
      </c>
      <c r="AA1562" s="1" t="str">
        <f>"معاونت اقتصادوزارت راه وشهرسازي"</f>
        <v>معاونت اقتصادوزارت راه وشهرسازي</v>
      </c>
      <c r="AB1562" s="1" t="str">
        <f>"95/06/01"</f>
        <v>95/06/01</v>
      </c>
      <c r="AC1562" s="1" t="str">
        <f>"خراسان جنوبي"</f>
        <v>خراسان جنوبي</v>
      </c>
      <c r="AD1562" s="1" t="str">
        <f>"95/06/07"</f>
        <v>95/06/07</v>
      </c>
      <c r="AE1562" s="1" t="str">
        <f t="shared" si="424"/>
        <v>اختتام</v>
      </c>
      <c r="AF1562" s="1" t="str">
        <f>""</f>
        <v/>
      </c>
      <c r="AG1562" s="1" t="str">
        <f>""</f>
        <v/>
      </c>
      <c r="AH1562" s="1" t="str">
        <f>""</f>
        <v/>
      </c>
      <c r="AI1562" s="1" t="str">
        <f>""</f>
        <v/>
      </c>
      <c r="AJ1562" s="1" t="str">
        <f>""</f>
        <v/>
      </c>
      <c r="AK1562" s="1" t="str">
        <f>""</f>
        <v/>
      </c>
    </row>
    <row r="1563" spans="1:37" x14ac:dyDescent="0.2">
      <c r="A1563" s="1">
        <v>25000</v>
      </c>
      <c r="B1563" s="1">
        <v>951100116</v>
      </c>
      <c r="C1563" s="1" t="str">
        <f>"تخليه -مازندران -ساري -نكاء-بندراميرآباد"</f>
        <v>تخليه -مازندران -ساري -نكاء-بندراميرآباد</v>
      </c>
      <c r="D1563" s="1">
        <v>10200</v>
      </c>
      <c r="E1563" s="1">
        <v>21400</v>
      </c>
      <c r="F1563" s="1">
        <v>95</v>
      </c>
      <c r="G1563" s="1">
        <v>3600</v>
      </c>
      <c r="H1563" s="1" t="str">
        <f>"95/06/24"</f>
        <v>95/06/24</v>
      </c>
      <c r="I1563" s="1" t="str">
        <f t="shared" si="418"/>
        <v>كيلوگرم</v>
      </c>
      <c r="J1563" s="1" t="str">
        <f>"1000000003"</f>
        <v>1000000003</v>
      </c>
      <c r="K1563" s="1" t="str">
        <f>"قير MC250"</f>
        <v>قير MC250</v>
      </c>
      <c r="L1563" s="1">
        <v>100</v>
      </c>
      <c r="M1563" s="1" t="str">
        <f t="shared" si="423"/>
        <v>مخازن قير اصفهان</v>
      </c>
      <c r="N1563" s="1">
        <v>8106</v>
      </c>
      <c r="O1563" s="1">
        <v>50031866</v>
      </c>
      <c r="P1563" s="1" t="str">
        <f>"  سامان محيط"</f>
        <v xml:space="preserve">  سامان محيط</v>
      </c>
      <c r="Q1563" s="1">
        <v>11</v>
      </c>
      <c r="R1563" s="1" t="str">
        <f>"فروش داخلي تهران - بورس"</f>
        <v>فروش داخلي تهران - بورس</v>
      </c>
      <c r="S1563" s="1" t="str">
        <f t="shared" si="419"/>
        <v>قرارداد فروش</v>
      </c>
      <c r="T1563" s="1" t="str">
        <f t="shared" si="420"/>
        <v>ندارد</v>
      </c>
      <c r="U1563" s="1" t="str">
        <f>"عظيمي محمد(2842015)"</f>
        <v>عظيمي محمد(2842015)</v>
      </c>
      <c r="V1563" s="1">
        <v>951100116</v>
      </c>
      <c r="W1563" s="1">
        <v>951100116</v>
      </c>
      <c r="X1563" s="1" t="str">
        <f>"1395430855"</f>
        <v>1395430855</v>
      </c>
      <c r="Y1563" s="1" t="str">
        <f>"95/06/23"</f>
        <v>95/06/23</v>
      </c>
      <c r="Z1563" s="1" t="str">
        <f>"3/672/ص"</f>
        <v>3/672/ص</v>
      </c>
      <c r="AA1563" s="1" t="str">
        <f>"راه سازي"</f>
        <v>راه سازي</v>
      </c>
      <c r="AB1563" s="1" t="str">
        <f>"95/06/23"</f>
        <v>95/06/23</v>
      </c>
      <c r="AC1563" s="1" t="str">
        <f>"استان مازندران"</f>
        <v>استان مازندران</v>
      </c>
      <c r="AD1563" s="1" t="str">
        <f>"95/06/23"</f>
        <v>95/06/23</v>
      </c>
      <c r="AE1563" s="1" t="str">
        <f t="shared" si="424"/>
        <v>اختتام</v>
      </c>
      <c r="AF1563" s="1" t="str">
        <f>""</f>
        <v/>
      </c>
      <c r="AG1563" s="1" t="str">
        <f>""</f>
        <v/>
      </c>
      <c r="AH1563" s="1" t="str">
        <f>""</f>
        <v/>
      </c>
      <c r="AI1563" s="1" t="str">
        <f>""</f>
        <v/>
      </c>
      <c r="AJ1563" s="1" t="str">
        <f>""</f>
        <v/>
      </c>
      <c r="AK1563" s="1" t="str">
        <f>""</f>
        <v/>
      </c>
    </row>
    <row r="1564" spans="1:37" x14ac:dyDescent="0.2">
      <c r="A1564" s="1">
        <v>500000</v>
      </c>
      <c r="B1564" s="1">
        <v>951900046</v>
      </c>
      <c r="C1564" s="1" t="str">
        <f>"تخليه بيرجند جاده بيرجند - خوسف - روبروي شهرک صنعتي  شركت هموارره آذر"</f>
        <v>تخليه بيرجند جاده بيرجند - خوسف - روبروي شهرک صنعتي  شركت هموارره آذر</v>
      </c>
      <c r="D1564" s="1">
        <v>6250</v>
      </c>
      <c r="E1564" s="1">
        <v>499180</v>
      </c>
      <c r="F1564" s="1">
        <v>95</v>
      </c>
      <c r="G1564" s="1">
        <v>820</v>
      </c>
      <c r="H1564" s="1" t="str">
        <f>"95/04/21"</f>
        <v>95/04/21</v>
      </c>
      <c r="I1564" s="1" t="str">
        <f t="shared" si="418"/>
        <v>كيلوگرم</v>
      </c>
      <c r="J1564" s="1" t="str">
        <f>"0000000091"</f>
        <v>0000000091</v>
      </c>
      <c r="K1564" s="1" t="str">
        <f>"قير  PG64-22"</f>
        <v>قير  PG64-22</v>
      </c>
      <c r="L1564" s="1">
        <v>100</v>
      </c>
      <c r="M1564" s="1" t="str">
        <f t="shared" si="423"/>
        <v>مخازن قير اصفهان</v>
      </c>
      <c r="N1564" s="1">
        <v>8375</v>
      </c>
      <c r="O1564" s="1">
        <v>50031269</v>
      </c>
      <c r="P1564" s="1" t="str">
        <f>"  هموار ره آذر"</f>
        <v xml:space="preserve">  هموار ره آذر</v>
      </c>
      <c r="Q1564" s="1">
        <v>19</v>
      </c>
      <c r="R156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64" s="1" t="str">
        <f t="shared" si="419"/>
        <v>قرارداد فروش</v>
      </c>
      <c r="T1564" s="1" t="str">
        <f t="shared" si="420"/>
        <v>ندارد</v>
      </c>
      <c r="U1564" s="1" t="str">
        <f>"حسيني علي(1841001)"</f>
        <v>حسيني علي(1841001)</v>
      </c>
      <c r="V1564" s="1">
        <v>951900046</v>
      </c>
      <c r="W1564" s="1">
        <v>951900046</v>
      </c>
      <c r="X1564" s="1" t="str">
        <f>"1395414447"</f>
        <v>1395414447</v>
      </c>
      <c r="Y1564" s="1" t="str">
        <f>"95/04/21"</f>
        <v>95/04/21</v>
      </c>
      <c r="Z1564" s="1" t="str">
        <f>"16050/510"</f>
        <v>16050/510</v>
      </c>
      <c r="AA1564" s="1" t="str">
        <f>"سازمان راهداري وحمل نقل جاده اي"</f>
        <v>سازمان راهداري وحمل نقل جاده اي</v>
      </c>
      <c r="AB1564" s="1" t="str">
        <f>"95/04/14"</f>
        <v>95/04/14</v>
      </c>
      <c r="AC1564" s="1" t="str">
        <f>"خراسان جنوبي"</f>
        <v>خراسان جنوبي</v>
      </c>
      <c r="AD1564" s="1" t="str">
        <f>"95/04/21"</f>
        <v>95/04/21</v>
      </c>
      <c r="AE1564" s="1" t="str">
        <f t="shared" si="424"/>
        <v>اختتام</v>
      </c>
      <c r="AF1564" s="1" t="str">
        <f>""</f>
        <v/>
      </c>
      <c r="AG1564" s="1" t="str">
        <f>""</f>
        <v/>
      </c>
      <c r="AH1564" s="1" t="str">
        <f>""</f>
        <v/>
      </c>
      <c r="AI1564" s="1" t="str">
        <f>""</f>
        <v/>
      </c>
      <c r="AJ1564" s="1" t="str">
        <f>""</f>
        <v/>
      </c>
      <c r="AK1564" s="1" t="str">
        <f>""</f>
        <v/>
      </c>
    </row>
    <row r="1565" spans="1:37" x14ac:dyDescent="0.2">
      <c r="A1565" s="1">
        <v>25000</v>
      </c>
      <c r="B1565" s="1">
        <v>951100144</v>
      </c>
      <c r="C1565" s="1" t="str">
        <f>"تخليه -بردسيركيلومتر15جاده سيرجان -كارخانه آسفالت شهرداري بردسير"</f>
        <v>تخليه -بردسيركيلومتر15جاده سيرجان -كارخانه آسفالت شهرداري بردسير</v>
      </c>
      <c r="D1565" s="1">
        <v>12280</v>
      </c>
      <c r="E1565" s="1">
        <v>23900</v>
      </c>
      <c r="F1565" s="1">
        <v>95</v>
      </c>
      <c r="G1565" s="1">
        <v>1100</v>
      </c>
      <c r="H1565" s="1" t="str">
        <f>"95/08/23"</f>
        <v>95/08/23</v>
      </c>
      <c r="I1565" s="1" t="str">
        <f t="shared" si="418"/>
        <v>كيلوگرم</v>
      </c>
      <c r="J1565" s="1" t="str">
        <f>"1000000003"</f>
        <v>1000000003</v>
      </c>
      <c r="K1565" s="1" t="str">
        <f>"قير MC250"</f>
        <v>قير MC250</v>
      </c>
      <c r="L1565" s="1">
        <v>100</v>
      </c>
      <c r="M1565" s="1" t="str">
        <f t="shared" si="423"/>
        <v>مخازن قير اصفهان</v>
      </c>
      <c r="N1565" s="1">
        <v>4159</v>
      </c>
      <c r="O1565" s="1">
        <v>50032625</v>
      </c>
      <c r="P1565" s="1" t="str">
        <f>"  شهرداري بردسير"</f>
        <v xml:space="preserve">  شهرداري بردسير</v>
      </c>
      <c r="Q1565" s="1">
        <v>11</v>
      </c>
      <c r="R1565" s="1" t="str">
        <f>"فروش داخلي تهران - بورس"</f>
        <v>فروش داخلي تهران - بورس</v>
      </c>
      <c r="S1565" s="1" t="str">
        <f t="shared" si="419"/>
        <v>قرارداد فروش</v>
      </c>
      <c r="T1565" s="1" t="str">
        <f t="shared" si="420"/>
        <v>ندارد</v>
      </c>
      <c r="U1565" s="1" t="str">
        <f>"- شهبا(4844028)"</f>
        <v>- شهبا(4844028)</v>
      </c>
      <c r="V1565" s="1">
        <v>951100144</v>
      </c>
      <c r="W1565" s="1">
        <v>951100144</v>
      </c>
      <c r="X1565" s="1" t="str">
        <f>"1395443378"</f>
        <v>1395443378</v>
      </c>
      <c r="Y1565" s="1" t="str">
        <f>"95/08/22"</f>
        <v>95/08/22</v>
      </c>
      <c r="Z1565" s="1" t="str">
        <f>"95-34805"</f>
        <v>95-34805</v>
      </c>
      <c r="AA1565" s="1" t="str">
        <f>"شهرداريها"</f>
        <v>شهرداريها</v>
      </c>
      <c r="AB1565" s="1" t="str">
        <f>"95/08/22"</f>
        <v>95/08/22</v>
      </c>
      <c r="AC1565" s="1" t="str">
        <f>"استان كرمان"</f>
        <v>استان كرمان</v>
      </c>
      <c r="AD1565" s="1" t="str">
        <f>"95/08/17"</f>
        <v>95/08/17</v>
      </c>
      <c r="AE1565" s="1" t="str">
        <f t="shared" si="424"/>
        <v>اختتام</v>
      </c>
      <c r="AF1565" s="1" t="str">
        <f>""</f>
        <v/>
      </c>
      <c r="AG1565" s="1" t="str">
        <f>""</f>
        <v/>
      </c>
      <c r="AH1565" s="1" t="str">
        <f>""</f>
        <v/>
      </c>
      <c r="AI1565" s="1" t="str">
        <f>""</f>
        <v/>
      </c>
      <c r="AJ1565" s="1" t="str">
        <f>""</f>
        <v/>
      </c>
      <c r="AK1565" s="1" t="str">
        <f>""</f>
        <v/>
      </c>
    </row>
    <row r="1566" spans="1:37" x14ac:dyDescent="0.2">
      <c r="A1566" s="1">
        <v>373000</v>
      </c>
      <c r="B1566" s="1">
        <v>951800054</v>
      </c>
      <c r="C1566" s="1" t="str">
        <f>"تخليه -ازناكيلومتر5جاده قديم ازنااليگودرز-ره دژزاگرس"</f>
        <v>تخليه -ازناكيلومتر5جاده قديم ازنااليگودرز-ره دژزاگرس</v>
      </c>
      <c r="D1566" s="1">
        <v>7176</v>
      </c>
      <c r="E1566" s="1">
        <v>371380</v>
      </c>
      <c r="F1566" s="1">
        <v>95</v>
      </c>
      <c r="G1566" s="1">
        <v>1620</v>
      </c>
      <c r="H1566" s="1" t="str">
        <f>"95/06/04"</f>
        <v>95/06/04</v>
      </c>
      <c r="I1566" s="1" t="str">
        <f t="shared" si="418"/>
        <v>كيلوگرم</v>
      </c>
      <c r="J1566" s="1" t="str">
        <f>"0000000091"</f>
        <v>0000000091</v>
      </c>
      <c r="K1566" s="1" t="str">
        <f>"قير  PG64-22"</f>
        <v>قير  PG64-22</v>
      </c>
      <c r="L1566" s="1">
        <v>100</v>
      </c>
      <c r="M1566" s="1" t="str">
        <f t="shared" si="423"/>
        <v>مخازن قير اصفهان</v>
      </c>
      <c r="N1566" s="1">
        <v>8650</v>
      </c>
      <c r="O1566" s="1">
        <v>50031624</v>
      </c>
      <c r="P1566" s="1" t="str">
        <f>"  ره دژزاگرس"</f>
        <v xml:space="preserve">  ره دژزاگرس</v>
      </c>
      <c r="Q1566" s="1">
        <v>18</v>
      </c>
      <c r="R1566" s="1" t="str">
        <f>"فروش داخلي تهران - وزارت راه - شرکت ساخت و توسعه راهها"</f>
        <v>فروش داخلي تهران - وزارت راه - شرکت ساخت و توسعه راهها</v>
      </c>
      <c r="S1566" s="1" t="str">
        <f t="shared" si="419"/>
        <v>قرارداد فروش</v>
      </c>
      <c r="T1566" s="1" t="str">
        <f t="shared" si="420"/>
        <v>ندارد</v>
      </c>
      <c r="U1566" s="1" t="str">
        <f>"رضائي كلهر حسن (1901099)"</f>
        <v>رضائي كلهر حسن (1901099)</v>
      </c>
      <c r="V1566" s="1">
        <v>951800054</v>
      </c>
      <c r="W1566" s="1">
        <v>951800054</v>
      </c>
      <c r="X1566" s="1" t="str">
        <f>"1395426699"</f>
        <v>1395426699</v>
      </c>
      <c r="Y1566" s="1" t="str">
        <f>"95/06/04"</f>
        <v>95/06/04</v>
      </c>
      <c r="Z1566" s="1" t="str">
        <f>"24907/510"</f>
        <v>24907/510</v>
      </c>
      <c r="AA1566" s="1" t="str">
        <f>"شركت  ساخت وتوسعه راهها"</f>
        <v>شركت  ساخت وتوسعه راهها</v>
      </c>
      <c r="AB1566" s="1" t="str">
        <f>"95/05/31"</f>
        <v>95/05/31</v>
      </c>
      <c r="AC1566" s="1" t="str">
        <f>"لرستان"</f>
        <v>لرستان</v>
      </c>
      <c r="AD1566" s="1" t="str">
        <f>"95/06/03"</f>
        <v>95/06/03</v>
      </c>
      <c r="AE1566" s="1" t="str">
        <f t="shared" si="424"/>
        <v>اختتام</v>
      </c>
      <c r="AF1566" s="1" t="str">
        <f>""</f>
        <v/>
      </c>
      <c r="AG1566" s="1" t="str">
        <f>""</f>
        <v/>
      </c>
      <c r="AH1566" s="1" t="str">
        <f>""</f>
        <v/>
      </c>
      <c r="AI1566" s="1" t="str">
        <f>""</f>
        <v/>
      </c>
      <c r="AJ1566" s="1" t="str">
        <f>""</f>
        <v/>
      </c>
      <c r="AK1566" s="1" t="str">
        <f>""</f>
        <v/>
      </c>
    </row>
    <row r="1567" spans="1:37" x14ac:dyDescent="0.2">
      <c r="A1567" s="1">
        <v>500000</v>
      </c>
      <c r="B1567" s="1">
        <v>951900133</v>
      </c>
      <c r="C1567" s="1" t="str">
        <f>"تخليه -خراسان جنوبي بيرجندجاده مهيابادكارخانه آسفالت مهياباد"</f>
        <v>تخليه -خراسان جنوبي بيرجندجاده مهيابادكارخانه آسفالت مهياباد</v>
      </c>
      <c r="D1567" s="1">
        <v>7176</v>
      </c>
      <c r="E1567" s="1">
        <v>486420</v>
      </c>
      <c r="F1567" s="1">
        <v>95</v>
      </c>
      <c r="G1567" s="1">
        <v>13580</v>
      </c>
      <c r="H1567" s="1" t="str">
        <f>"95/06/04"</f>
        <v>95/06/04</v>
      </c>
      <c r="I1567" s="1" t="str">
        <f t="shared" si="418"/>
        <v>كيلوگرم</v>
      </c>
      <c r="J1567" s="1" t="str">
        <f>"0000000091"</f>
        <v>0000000091</v>
      </c>
      <c r="K1567" s="1" t="str">
        <f>"قير  PG64-22"</f>
        <v>قير  PG64-22</v>
      </c>
      <c r="L1567" s="1">
        <v>100</v>
      </c>
      <c r="M1567" s="1" t="str">
        <f t="shared" si="423"/>
        <v>مخازن قير اصفهان</v>
      </c>
      <c r="N1567" s="1">
        <v>8702</v>
      </c>
      <c r="O1567" s="1">
        <v>50031643</v>
      </c>
      <c r="P1567" s="1" t="str">
        <f>"  سايه گستربيرجند"</f>
        <v xml:space="preserve">  سايه گستربيرجند</v>
      </c>
      <c r="Q1567" s="1">
        <v>19</v>
      </c>
      <c r="R15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67" s="1" t="str">
        <f t="shared" si="419"/>
        <v>قرارداد فروش</v>
      </c>
      <c r="T1567" s="1" t="str">
        <f t="shared" si="420"/>
        <v>ندارد</v>
      </c>
      <c r="U1567" s="1" t="str">
        <f>"بابامحمدي عنايت اله(4844000)"</f>
        <v>بابامحمدي عنايت اله(4844000)</v>
      </c>
      <c r="V1567" s="1">
        <v>951900133</v>
      </c>
      <c r="W1567" s="1">
        <v>951900133</v>
      </c>
      <c r="X1567" s="1" t="str">
        <f>"1395426744"</f>
        <v>1395426744</v>
      </c>
      <c r="Y1567" s="1" t="str">
        <f>"95/06/04"</f>
        <v>95/06/04</v>
      </c>
      <c r="Z1567" s="1" t="str">
        <f>"23966/510"</f>
        <v>23966/510</v>
      </c>
      <c r="AA1567" s="1" t="str">
        <f>"سازمان راهداري وحمل نقل جاده اي"</f>
        <v>سازمان راهداري وحمل نقل جاده اي</v>
      </c>
      <c r="AB1567" s="1" t="str">
        <f>"95/05/26"</f>
        <v>95/05/26</v>
      </c>
      <c r="AC1567" s="1" t="str">
        <f>"خراسان جنوبي"</f>
        <v>خراسان جنوبي</v>
      </c>
      <c r="AD1567" s="1" t="str">
        <f>"95/06/03"</f>
        <v>95/06/03</v>
      </c>
      <c r="AE1567" s="1" t="str">
        <f t="shared" si="424"/>
        <v>اختتام</v>
      </c>
      <c r="AF1567" s="1" t="str">
        <f>""</f>
        <v/>
      </c>
      <c r="AG1567" s="1" t="str">
        <f>""</f>
        <v/>
      </c>
      <c r="AH1567" s="1" t="str">
        <f>""</f>
        <v/>
      </c>
      <c r="AI1567" s="1" t="str">
        <f>""</f>
        <v/>
      </c>
      <c r="AJ1567" s="1" t="str">
        <f>""</f>
        <v/>
      </c>
      <c r="AK1567" s="1" t="str">
        <f>""</f>
        <v/>
      </c>
    </row>
    <row r="1568" spans="1:37" x14ac:dyDescent="0.2">
      <c r="A1568" s="1">
        <v>170000</v>
      </c>
      <c r="B1568" s="1">
        <v>951700074</v>
      </c>
      <c r="C1568" s="1" t="str">
        <f>"تخليه -همدان -ملايركيلومتر12محورملاير-همدان بعدازروستاي گرگان كارخانه آسفالت پارسيان"</f>
        <v>تخليه -همدان -ملايركيلومتر12محورملاير-همدان بعدازروستاي گرگان كارخانه آسفالت پارسيان</v>
      </c>
      <c r="D1568" s="1">
        <v>6250</v>
      </c>
      <c r="E1568" s="1">
        <v>168340</v>
      </c>
      <c r="F1568" s="1">
        <v>95</v>
      </c>
      <c r="G1568" s="1">
        <v>1660</v>
      </c>
      <c r="H1568" s="1" t="str">
        <f>"95/04/08"</f>
        <v>95/04/08</v>
      </c>
      <c r="I1568" s="1" t="str">
        <f t="shared" si="418"/>
        <v>كيلوگرم</v>
      </c>
      <c r="J1568" s="1" t="str">
        <f>"0000000091"</f>
        <v>0000000091</v>
      </c>
      <c r="K1568" s="1" t="str">
        <f>"قير  PG64-22"</f>
        <v>قير  PG64-22</v>
      </c>
      <c r="L1568" s="1">
        <v>100</v>
      </c>
      <c r="M1568" s="1" t="str">
        <f t="shared" si="423"/>
        <v>مخازن قير اصفهان</v>
      </c>
      <c r="N1568" s="1">
        <v>8839</v>
      </c>
      <c r="O1568" s="1">
        <v>50031155</v>
      </c>
      <c r="P1568" s="1" t="str">
        <f>"  مهندسي آبخوان غرب"</f>
        <v xml:space="preserve">  مهندسي آبخوان غرب</v>
      </c>
      <c r="Q1568" s="1">
        <v>17</v>
      </c>
      <c r="R1568" s="1" t="str">
        <f>"فروش داخلي تهران - وزارت راه - راه روستايي - روکش"</f>
        <v>فروش داخلي تهران - وزارت راه - راه روستايي - روکش</v>
      </c>
      <c r="S1568" s="1" t="str">
        <f t="shared" si="419"/>
        <v>قرارداد فروش</v>
      </c>
      <c r="T1568" s="1" t="str">
        <f t="shared" si="420"/>
        <v>ندارد</v>
      </c>
      <c r="U1568" s="1" t="str">
        <f>"حاجيلوئي علي اصغر(2842019)"</f>
        <v>حاجيلوئي علي اصغر(2842019)</v>
      </c>
      <c r="V1568" s="1">
        <v>951700074</v>
      </c>
      <c r="W1568" s="1">
        <v>951700074</v>
      </c>
      <c r="X1568" s="1" t="str">
        <f>"1395411456"</f>
        <v>1395411456</v>
      </c>
      <c r="Y1568" s="1" t="str">
        <f>"95/04/08"</f>
        <v>95/04/08</v>
      </c>
      <c r="Z1568" s="1" t="str">
        <f>"13657/510"</f>
        <v>13657/510</v>
      </c>
      <c r="AA1568" s="1" t="str">
        <f>"راه روستائي -روكش"</f>
        <v>راه روستائي -روكش</v>
      </c>
      <c r="AB1568" s="1" t="str">
        <f>"95/04/01"</f>
        <v>95/04/01</v>
      </c>
      <c r="AC1568" s="1" t="str">
        <f>"استان همدان"</f>
        <v>استان همدان</v>
      </c>
      <c r="AD1568" s="1" t="str">
        <f>"95/04/08"</f>
        <v>95/04/08</v>
      </c>
      <c r="AE1568" s="1" t="str">
        <f t="shared" si="424"/>
        <v>اختتام</v>
      </c>
      <c r="AF1568" s="1" t="str">
        <f>""</f>
        <v/>
      </c>
      <c r="AG1568" s="1" t="str">
        <f>""</f>
        <v/>
      </c>
      <c r="AH1568" s="1" t="str">
        <f>""</f>
        <v/>
      </c>
      <c r="AI1568" s="1" t="str">
        <f>""</f>
        <v/>
      </c>
      <c r="AJ1568" s="1" t="str">
        <f>""</f>
        <v/>
      </c>
      <c r="AK1568" s="1" t="str">
        <f>""</f>
        <v/>
      </c>
    </row>
    <row r="1569" spans="1:37" x14ac:dyDescent="0.2">
      <c r="A1569" s="1">
        <v>2000000</v>
      </c>
      <c r="B1569" s="1">
        <v>951100189</v>
      </c>
      <c r="C1569" s="1" t="str">
        <f>"تخليه -کرمان -کارخانه آسفالت سازمان عمران شهرداري کرمان"</f>
        <v>تخليه -کرمان -کارخانه آسفالت سازمان عمران شهرداري کرمان</v>
      </c>
      <c r="D1569" s="1">
        <v>8998</v>
      </c>
      <c r="E1569" s="1">
        <v>1596440</v>
      </c>
      <c r="F1569" s="1">
        <v>95</v>
      </c>
      <c r="G1569" s="1">
        <v>403560</v>
      </c>
      <c r="H1569" s="1" t="str">
        <f>"95/12/09"</f>
        <v>95/12/09</v>
      </c>
      <c r="I1569" s="1" t="str">
        <f t="shared" si="418"/>
        <v>كيلوگرم</v>
      </c>
      <c r="J1569" s="1" t="str">
        <f>"0000000091"</f>
        <v>0000000091</v>
      </c>
      <c r="K1569" s="1" t="str">
        <f>"قير  PG64-22"</f>
        <v>قير  PG64-22</v>
      </c>
      <c r="L1569" s="1">
        <v>100</v>
      </c>
      <c r="M1569" s="1" t="str">
        <f t="shared" si="423"/>
        <v>مخازن قير اصفهان</v>
      </c>
      <c r="N1569" s="1">
        <v>9142</v>
      </c>
      <c r="O1569" s="1">
        <v>50033916</v>
      </c>
      <c r="P1569" s="1" t="str">
        <f>"  سازمان عمران شهرداري كرمان"</f>
        <v xml:space="preserve">  سازمان عمران شهرداري كرمان</v>
      </c>
      <c r="Q1569" s="1">
        <v>11</v>
      </c>
      <c r="R1569" s="1" t="str">
        <f>"فروش داخلي تهران - بورس"</f>
        <v>فروش داخلي تهران - بورس</v>
      </c>
      <c r="S1569" s="1" t="str">
        <f t="shared" si="419"/>
        <v>قرارداد فروش</v>
      </c>
      <c r="T1569" s="1" t="str">
        <f t="shared" si="420"/>
        <v>ندارد</v>
      </c>
      <c r="U1569" s="1" t="str">
        <f>"پورباقري ترابر (4914036)"</f>
        <v>پورباقري ترابر (4914036)</v>
      </c>
      <c r="V1569" s="1">
        <v>951100189</v>
      </c>
      <c r="W1569" s="1">
        <v>951100189</v>
      </c>
      <c r="X1569" s="1" t="str">
        <f>"1395467968"</f>
        <v>1395467968</v>
      </c>
      <c r="Y1569" s="1" t="str">
        <f>"95/12/09"</f>
        <v>95/12/09</v>
      </c>
      <c r="Z1569" s="1" t="str">
        <f>"203323"</f>
        <v>203323</v>
      </c>
      <c r="AA1569" s="1" t="str">
        <f>"شهرداريها"</f>
        <v>شهرداريها</v>
      </c>
      <c r="AB1569" s="1" t="str">
        <f>"95/12/09"</f>
        <v>95/12/09</v>
      </c>
      <c r="AC1569" s="1" t="str">
        <f>"استان كرمان"</f>
        <v>استان كرمان</v>
      </c>
      <c r="AD1569" s="1" t="str">
        <f>"95/12/09"</f>
        <v>95/12/09</v>
      </c>
      <c r="AE1569" s="1" t="str">
        <f t="shared" si="424"/>
        <v>اختتام</v>
      </c>
      <c r="AF1569" s="1" t="str">
        <f>""</f>
        <v/>
      </c>
      <c r="AG1569" s="1" t="str">
        <f>""</f>
        <v/>
      </c>
      <c r="AH1569" s="1" t="str">
        <f>""</f>
        <v/>
      </c>
      <c r="AI1569" s="1" t="str">
        <f>""</f>
        <v/>
      </c>
      <c r="AJ1569" s="1" t="str">
        <f>""</f>
        <v/>
      </c>
      <c r="AK1569" s="1" t="str">
        <f>""</f>
        <v/>
      </c>
    </row>
    <row r="1570" spans="1:37" x14ac:dyDescent="0.2">
      <c r="A1570" s="1">
        <v>45000</v>
      </c>
      <c r="B1570" s="1">
        <v>951100066</v>
      </c>
      <c r="C1570" s="1" t="str">
        <f>"تخليه -خرم آباد -آزادراه خرم آباد-پل زال"</f>
        <v>تخليه -خرم آباد -آزادراه خرم آباد-پل زال</v>
      </c>
      <c r="D1570" s="1">
        <v>9860</v>
      </c>
      <c r="E1570" s="1">
        <v>44420</v>
      </c>
      <c r="F1570" s="1">
        <v>95</v>
      </c>
      <c r="G1570" s="1">
        <v>580</v>
      </c>
      <c r="H1570" s="1" t="str">
        <f>"95/03/19"</f>
        <v>95/03/19</v>
      </c>
      <c r="I1570" s="1" t="str">
        <f t="shared" si="418"/>
        <v>كيلوگرم</v>
      </c>
      <c r="J1570" s="1" t="str">
        <f>"1000000003"</f>
        <v>1000000003</v>
      </c>
      <c r="K1570" s="1" t="str">
        <f>"قير MC250"</f>
        <v>قير MC250</v>
      </c>
      <c r="L1570" s="1">
        <v>100</v>
      </c>
      <c r="M1570" s="1" t="str">
        <f t="shared" si="423"/>
        <v>مخازن قير اصفهان</v>
      </c>
      <c r="N1570" s="1">
        <v>8798</v>
      </c>
      <c r="O1570" s="1">
        <v>50030980</v>
      </c>
      <c r="P1570" s="1" t="str">
        <f>"  احداث نگهداري وبهره برداري آزادراه خرم آباد-پل زال"</f>
        <v xml:space="preserve">  احداث نگهداري وبهره برداري آزادراه خرم آباد-پل زال</v>
      </c>
      <c r="Q1570" s="1">
        <v>11</v>
      </c>
      <c r="R1570" s="1" t="str">
        <f>"فروش داخلي تهران - بورس"</f>
        <v>فروش داخلي تهران - بورس</v>
      </c>
      <c r="S1570" s="1" t="str">
        <f t="shared" si="419"/>
        <v>قرارداد فروش</v>
      </c>
      <c r="T1570" s="1" t="str">
        <f t="shared" si="420"/>
        <v>ندارد</v>
      </c>
      <c r="U1570" s="1" t="str">
        <f>"فتاح زاده سيداحمد(3843011)"</f>
        <v>فتاح زاده سيداحمد(3843011)</v>
      </c>
      <c r="V1570" s="1">
        <v>951100066</v>
      </c>
      <c r="W1570" s="1">
        <v>951100066</v>
      </c>
      <c r="X1570" s="1" t="str">
        <f>"1395407981"</f>
        <v>1395407981</v>
      </c>
      <c r="Y1570" s="1" t="str">
        <f>"95/03/18"</f>
        <v>95/03/18</v>
      </c>
      <c r="Z1570" s="1" t="str">
        <f>"95-097"</f>
        <v>95-097</v>
      </c>
      <c r="AA1570" s="1" t="str">
        <f>"راه سازي"</f>
        <v>راه سازي</v>
      </c>
      <c r="AB1570" s="1" t="str">
        <f>"95/03/16"</f>
        <v>95/03/16</v>
      </c>
      <c r="AC1570" s="1" t="str">
        <f>"لرستان"</f>
        <v>لرستان</v>
      </c>
      <c r="AD1570" s="1" t="str">
        <f>"95/03/18"</f>
        <v>95/03/18</v>
      </c>
      <c r="AE1570" s="1" t="str">
        <f t="shared" si="424"/>
        <v>اختتام</v>
      </c>
      <c r="AF1570" s="1" t="str">
        <f>""</f>
        <v/>
      </c>
      <c r="AG1570" s="1" t="str">
        <f>""</f>
        <v/>
      </c>
      <c r="AH1570" s="1" t="str">
        <f>""</f>
        <v/>
      </c>
      <c r="AI1570" s="1" t="str">
        <f>""</f>
        <v/>
      </c>
      <c r="AJ1570" s="1" t="str">
        <f>""</f>
        <v/>
      </c>
      <c r="AK1570" s="1" t="str">
        <f>""</f>
        <v/>
      </c>
    </row>
    <row r="1571" spans="1:37" x14ac:dyDescent="0.2">
      <c r="A1571" s="1">
        <v>500000</v>
      </c>
      <c r="B1571" s="1">
        <v>951600008</v>
      </c>
      <c r="C1571" s="1" t="str">
        <f>"تخليه -يزد-جاده يزدكرمان -شركت فرش راه"</f>
        <v>تخليه -يزد-جاده يزدكرمان -شركت فرش راه</v>
      </c>
      <c r="D1571" s="1">
        <v>6250</v>
      </c>
      <c r="E1571" s="1">
        <v>133060</v>
      </c>
      <c r="F1571" s="1">
        <v>95</v>
      </c>
      <c r="G1571" s="1">
        <v>366940</v>
      </c>
      <c r="H1571" s="1" t="str">
        <f>"95/04/21"</f>
        <v>95/04/21</v>
      </c>
      <c r="I1571" s="1" t="str">
        <f t="shared" si="418"/>
        <v>كيلوگرم</v>
      </c>
      <c r="J1571" s="1" t="str">
        <f>"0000000091"</f>
        <v>0000000091</v>
      </c>
      <c r="K1571" s="1" t="str">
        <f>"قير  PG64-22"</f>
        <v>قير  PG64-22</v>
      </c>
      <c r="L1571" s="1">
        <v>100</v>
      </c>
      <c r="M1571" s="1" t="str">
        <f t="shared" si="423"/>
        <v>مخازن قير اصفهان</v>
      </c>
      <c r="N1571" s="1">
        <v>9304</v>
      </c>
      <c r="O1571" s="1">
        <v>50031251</v>
      </c>
      <c r="P1571" s="1" t="str">
        <f>"  يزدراهداران"</f>
        <v xml:space="preserve">  يزدراهداران</v>
      </c>
      <c r="Q1571" s="1">
        <v>16</v>
      </c>
      <c r="R1571" s="1" t="str">
        <f>"فروش داخلي تهران - وزارت راه - معاونت اقتصاد"</f>
        <v>فروش داخلي تهران - وزارت راه - معاونت اقتصاد</v>
      </c>
      <c r="S1571" s="1" t="str">
        <f t="shared" si="419"/>
        <v>قرارداد فروش</v>
      </c>
      <c r="T1571" s="1" t="str">
        <f t="shared" si="420"/>
        <v>ندارد</v>
      </c>
      <c r="U1571" s="1" t="str">
        <f>"قانعي محمدرضا(1011ج89)"</f>
        <v>قانعي محمدرضا(1011ج89)</v>
      </c>
      <c r="V1571" s="1">
        <v>951600008</v>
      </c>
      <c r="W1571" s="1">
        <v>951600008</v>
      </c>
      <c r="X1571" s="1" t="str">
        <f>"1395414285"</f>
        <v>1395414285</v>
      </c>
      <c r="Y1571" s="1" t="str">
        <f>"95/04/20"</f>
        <v>95/04/20</v>
      </c>
      <c r="Z1571" s="1" t="str">
        <f>"15382/510"</f>
        <v>15382/510</v>
      </c>
      <c r="AA1571" s="1" t="str">
        <f>"معاونت اقتصادوزارت راه وشهرسازي"</f>
        <v>معاونت اقتصادوزارت راه وشهرسازي</v>
      </c>
      <c r="AB1571" s="1" t="str">
        <f>"95/04/12"</f>
        <v>95/04/12</v>
      </c>
      <c r="AC1571" s="1" t="str">
        <f>"استان يزد"</f>
        <v>استان يزد</v>
      </c>
      <c r="AD1571" s="1" t="str">
        <f>"95/04/20"</f>
        <v>95/04/20</v>
      </c>
      <c r="AE1571" s="1" t="str">
        <f t="shared" si="424"/>
        <v>اختتام</v>
      </c>
      <c r="AF1571" s="1" t="str">
        <f>""</f>
        <v/>
      </c>
      <c r="AG1571" s="1" t="str">
        <f>""</f>
        <v/>
      </c>
      <c r="AH1571" s="1" t="str">
        <f>""</f>
        <v/>
      </c>
      <c r="AI1571" s="1" t="str">
        <f>""</f>
        <v/>
      </c>
      <c r="AJ1571" s="1" t="str">
        <f>""</f>
        <v/>
      </c>
      <c r="AK1571" s="1" t="str">
        <f>""</f>
        <v/>
      </c>
    </row>
    <row r="1572" spans="1:37" x14ac:dyDescent="0.2">
      <c r="A1572" s="1">
        <v>670000</v>
      </c>
      <c r="B1572" s="1">
        <v>951700362</v>
      </c>
      <c r="C1572" s="1" t="str">
        <f>"تخليه لرستان سه راهي سراب جهانگيرشركت صدف راهسازان پلدختر"</f>
        <v>تخليه لرستان سه راهي سراب جهانگيرشركت صدف راهسازان پلدختر</v>
      </c>
      <c r="D1572" s="1">
        <v>9354</v>
      </c>
      <c r="E1572" s="1">
        <v>668840</v>
      </c>
      <c r="F1572" s="1">
        <v>95</v>
      </c>
      <c r="G1572" s="1">
        <v>1160</v>
      </c>
      <c r="H1572" s="1" t="str">
        <f>"95/12/25"</f>
        <v>95/12/25</v>
      </c>
      <c r="I1572" s="1" t="str">
        <f t="shared" si="418"/>
        <v>كيلوگرم</v>
      </c>
      <c r="J1572" s="1" t="str">
        <f>"0000000091"</f>
        <v>0000000091</v>
      </c>
      <c r="K1572" s="1" t="str">
        <f>"قير  PG64-22"</f>
        <v>قير  PG64-22</v>
      </c>
      <c r="L1572" s="1">
        <v>100</v>
      </c>
      <c r="M1572" s="1" t="str">
        <f t="shared" si="423"/>
        <v>مخازن قير اصفهان</v>
      </c>
      <c r="N1572" s="1">
        <v>9413</v>
      </c>
      <c r="O1572" s="1">
        <v>50034700</v>
      </c>
      <c r="P1572" s="1" t="str">
        <f>"  صدف راه سازان پلدختر"</f>
        <v xml:space="preserve">  صدف راه سازان پلدختر</v>
      </c>
      <c r="Q1572" s="1">
        <v>17</v>
      </c>
      <c r="R1572" s="1" t="str">
        <f>"فروش داخلي تهران - وزارت راه - راه روستايي - روکش"</f>
        <v>فروش داخلي تهران - وزارت راه - راه روستايي - روکش</v>
      </c>
      <c r="S1572" s="1" t="str">
        <f t="shared" si="419"/>
        <v>قرارداد فروش</v>
      </c>
      <c r="T1572" s="1" t="str">
        <f t="shared" si="420"/>
        <v>ندارد</v>
      </c>
      <c r="U1572" s="1" t="str">
        <f>"بستاني محسن (2882039)"</f>
        <v>بستاني محسن (2882039)</v>
      </c>
      <c r="V1572" s="1">
        <v>951700362</v>
      </c>
      <c r="W1572" s="1">
        <v>951700362</v>
      </c>
      <c r="X1572" s="1" t="str">
        <f>"1395470945"</f>
        <v>1395470945</v>
      </c>
      <c r="Y1572" s="1" t="str">
        <f>"95/12/25"</f>
        <v>95/12/25</v>
      </c>
      <c r="Z1572" s="1" t="str">
        <f>"65384/710"</f>
        <v>65384/710</v>
      </c>
      <c r="AA1572" s="1" t="str">
        <f>"راه روستائي -روكش"</f>
        <v>راه روستائي -روكش</v>
      </c>
      <c r="AB1572" s="1" t="str">
        <f>"95/12/21"</f>
        <v>95/12/21</v>
      </c>
      <c r="AC1572" s="1" t="str">
        <f>"لرستان"</f>
        <v>لرستان</v>
      </c>
      <c r="AD1572" s="1" t="str">
        <f>"95/12/24"</f>
        <v>95/12/24</v>
      </c>
      <c r="AE1572" s="1" t="str">
        <f t="shared" si="424"/>
        <v>اختتام</v>
      </c>
      <c r="AF1572" s="1" t="str">
        <f>""</f>
        <v/>
      </c>
      <c r="AG1572" s="1" t="str">
        <f>""</f>
        <v/>
      </c>
      <c r="AH1572" s="1" t="str">
        <f>""</f>
        <v/>
      </c>
      <c r="AI1572" s="1" t="str">
        <f>""</f>
        <v/>
      </c>
      <c r="AJ1572" s="1" t="str">
        <f>""</f>
        <v/>
      </c>
      <c r="AK1572" s="1" t="str">
        <f>""</f>
        <v/>
      </c>
    </row>
    <row r="1573" spans="1:37" x14ac:dyDescent="0.2">
      <c r="A1573" s="1">
        <v>544000</v>
      </c>
      <c r="B1573" s="1">
        <v>951700171</v>
      </c>
      <c r="C1573" s="1" t="str">
        <f>"تخليه -قم -جعفريه - بعد از ناحيه صنعتي طغرودكارخانه آسفالت مهرگازران"</f>
        <v>تخليه -قم -جعفريه - بعد از ناحيه صنعتي طغرودكارخانه آسفالت مهرگازران</v>
      </c>
      <c r="D1573" s="1">
        <v>7176</v>
      </c>
      <c r="E1573" s="1">
        <v>543240</v>
      </c>
      <c r="F1573" s="1">
        <v>95</v>
      </c>
      <c r="G1573" s="1">
        <v>760</v>
      </c>
      <c r="H1573" s="1" t="str">
        <f>"95/06/04"</f>
        <v>95/06/04</v>
      </c>
      <c r="I1573" s="1" t="str">
        <f t="shared" si="418"/>
        <v>كيلوگرم</v>
      </c>
      <c r="J1573" s="1" t="str">
        <f>"0000000091"</f>
        <v>0000000091</v>
      </c>
      <c r="K1573" s="1" t="str">
        <f>"قير  PG64-22"</f>
        <v>قير  PG64-22</v>
      </c>
      <c r="L1573" s="1">
        <v>100</v>
      </c>
      <c r="M1573" s="1" t="str">
        <f t="shared" si="423"/>
        <v>مخازن قير اصفهان</v>
      </c>
      <c r="N1573" s="1">
        <v>9441</v>
      </c>
      <c r="O1573" s="1">
        <v>50031637</v>
      </c>
      <c r="P1573" s="1" t="str">
        <f>"  راه وساختمان مهرگازران"</f>
        <v xml:space="preserve">  راه وساختمان مهرگازران</v>
      </c>
      <c r="Q1573" s="1">
        <v>17</v>
      </c>
      <c r="R1573" s="1" t="str">
        <f>"فروش داخلي تهران - وزارت راه - راه روستايي - روکش"</f>
        <v>فروش داخلي تهران - وزارت راه - راه روستايي - روکش</v>
      </c>
      <c r="S1573" s="1" t="str">
        <f t="shared" si="419"/>
        <v>قرارداد فروش</v>
      </c>
      <c r="T1573" s="1" t="str">
        <f t="shared" si="420"/>
        <v>ندارد</v>
      </c>
      <c r="U1573" s="1" t="str">
        <f>"اميري علي(2842011)"</f>
        <v>اميري علي(2842011)</v>
      </c>
      <c r="V1573" s="1">
        <v>951700171</v>
      </c>
      <c r="W1573" s="1">
        <v>951700171</v>
      </c>
      <c r="X1573" s="1" t="str">
        <f>"1395426707"</f>
        <v>1395426707</v>
      </c>
      <c r="Y1573" s="1" t="str">
        <f>"95/06/04"</f>
        <v>95/06/04</v>
      </c>
      <c r="Z1573" s="1" t="str">
        <f>"23740/510"</f>
        <v>23740/510</v>
      </c>
      <c r="AA1573" s="1" t="str">
        <f>"راه روستائي -روكش"</f>
        <v>راه روستائي -روكش</v>
      </c>
      <c r="AB1573" s="1" t="str">
        <f>"95/05/25"</f>
        <v>95/05/25</v>
      </c>
      <c r="AC1573" s="1" t="str">
        <f>"قم"</f>
        <v>قم</v>
      </c>
      <c r="AD1573" s="1" t="str">
        <f>"95/06/03"</f>
        <v>95/06/03</v>
      </c>
      <c r="AE1573" s="1" t="str">
        <f t="shared" si="424"/>
        <v>اختتام</v>
      </c>
      <c r="AF1573" s="1" t="str">
        <f>""</f>
        <v/>
      </c>
      <c r="AG1573" s="1" t="str">
        <f>""</f>
        <v/>
      </c>
      <c r="AH1573" s="1" t="str">
        <f>""</f>
        <v/>
      </c>
      <c r="AI1573" s="1" t="str">
        <f>""</f>
        <v/>
      </c>
      <c r="AJ1573" s="1" t="str">
        <f>""</f>
        <v/>
      </c>
      <c r="AK1573" s="1" t="str">
        <f>""</f>
        <v/>
      </c>
    </row>
    <row r="1574" spans="1:37" x14ac:dyDescent="0.2">
      <c r="A1574" s="1">
        <v>15000</v>
      </c>
      <c r="B1574" s="1">
        <v>956200152</v>
      </c>
      <c r="C1574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1574" s="1">
        <v>12507</v>
      </c>
      <c r="E1574" s="1">
        <v>14260</v>
      </c>
      <c r="F1574" s="1">
        <v>95</v>
      </c>
      <c r="G1574" s="1">
        <v>740</v>
      </c>
      <c r="H1574" s="1" t="str">
        <f>"95/10/23"</f>
        <v>95/10/23</v>
      </c>
      <c r="I1574" s="1" t="str">
        <f t="shared" si="418"/>
        <v>كيلوگرم</v>
      </c>
      <c r="J1574" s="1" t="str">
        <f>"1000000003"</f>
        <v>1000000003</v>
      </c>
      <c r="K1574" s="1" t="str">
        <f>"قير MC250"</f>
        <v>قير MC250</v>
      </c>
      <c r="L1574" s="1">
        <v>100</v>
      </c>
      <c r="M1574" s="1" t="str">
        <f t="shared" si="423"/>
        <v>مخازن قير اصفهان</v>
      </c>
      <c r="N1574" s="1">
        <v>7038</v>
      </c>
      <c r="O1574" s="1">
        <v>50033371</v>
      </c>
      <c r="P1574" s="1" t="str">
        <f>"  اصفهان مترو"</f>
        <v xml:space="preserve">  اصفهان مترو</v>
      </c>
      <c r="Q1574" s="1">
        <v>62</v>
      </c>
      <c r="R1574" s="1" t="str">
        <f>"فروش داخلي - سازمان بنيادمسكن انقلاب اسلامي"</f>
        <v>فروش داخلي - سازمان بنيادمسكن انقلاب اسلامي</v>
      </c>
      <c r="S1574" s="1" t="str">
        <f t="shared" si="419"/>
        <v>قرارداد فروش</v>
      </c>
      <c r="T1574" s="1" t="str">
        <f t="shared" si="420"/>
        <v>ندارد</v>
      </c>
      <c r="U1574" s="1" t="str">
        <f>"عزيزي صفر(1006ج 89)"</f>
        <v>عزيزي صفر(1006ج 89)</v>
      </c>
      <c r="V1574" s="1">
        <v>956200152</v>
      </c>
      <c r="W1574" s="1">
        <v>956200152</v>
      </c>
      <c r="X1574" s="1" t="str">
        <f>"1395457939"</f>
        <v>1395457939</v>
      </c>
      <c r="Y1574" s="1" t="str">
        <f>"95/10/23"</f>
        <v>95/10/23</v>
      </c>
      <c r="Z1574" s="1" t="str">
        <f>"44835/د"</f>
        <v>44835/د</v>
      </c>
      <c r="AA1574" s="1" t="str">
        <f>"بنيادمسكن انقلاب اسلامي"</f>
        <v>بنيادمسكن انقلاب اسلامي</v>
      </c>
      <c r="AB1574" s="1" t="str">
        <f>"95/10/20"</f>
        <v>95/10/20</v>
      </c>
      <c r="AC1574" s="1" t="str">
        <f>"استان اصفهان"</f>
        <v>استان اصفهان</v>
      </c>
      <c r="AD1574" s="1" t="str">
        <f>"95/10/22"</f>
        <v>95/10/22</v>
      </c>
      <c r="AE1574" s="1" t="str">
        <f t="shared" si="424"/>
        <v>اختتام</v>
      </c>
      <c r="AF1574" s="1" t="str">
        <f>""</f>
        <v/>
      </c>
      <c r="AG1574" s="1" t="str">
        <f>""</f>
        <v/>
      </c>
      <c r="AH1574" s="1" t="str">
        <f>""</f>
        <v/>
      </c>
      <c r="AI1574" s="1" t="str">
        <f>""</f>
        <v/>
      </c>
      <c r="AJ1574" s="1" t="str">
        <f>""</f>
        <v/>
      </c>
      <c r="AK1574" s="1" t="str">
        <f>""</f>
        <v/>
      </c>
    </row>
    <row r="1575" spans="1:37" x14ac:dyDescent="0.2">
      <c r="A1575" s="1">
        <v>130000</v>
      </c>
      <c r="B1575" s="1">
        <v>951100025</v>
      </c>
      <c r="C1575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575" s="1">
        <v>8100</v>
      </c>
      <c r="E1575" s="1">
        <v>122160</v>
      </c>
      <c r="F1575" s="1">
        <v>95</v>
      </c>
      <c r="G1575" s="1">
        <v>7840</v>
      </c>
      <c r="H1575" s="1" t="str">
        <f>"95/02/05"</f>
        <v>95/02/05</v>
      </c>
      <c r="I1575" s="1" t="str">
        <f t="shared" si="418"/>
        <v>كيلوگرم</v>
      </c>
      <c r="J1575" s="1" t="str">
        <f>"1000000003"</f>
        <v>1000000003</v>
      </c>
      <c r="K1575" s="1" t="str">
        <f>"قير MC250"</f>
        <v>قير MC250</v>
      </c>
      <c r="L1575" s="1">
        <v>100</v>
      </c>
      <c r="M1575" s="1" t="str">
        <f t="shared" si="423"/>
        <v>مخازن قير اصفهان</v>
      </c>
      <c r="N1575" s="1">
        <v>7047</v>
      </c>
      <c r="O1575" s="1">
        <v>50030617</v>
      </c>
      <c r="P1575" s="1" t="str">
        <f>"  شهرداري شهركرد"</f>
        <v xml:space="preserve">  شهرداري شهركرد</v>
      </c>
      <c r="Q1575" s="1">
        <v>11</v>
      </c>
      <c r="R1575" s="1" t="str">
        <f>"فروش داخلي تهران - بورس"</f>
        <v>فروش داخلي تهران - بورس</v>
      </c>
      <c r="S1575" s="1" t="str">
        <f t="shared" si="419"/>
        <v>قرارداد فروش</v>
      </c>
      <c r="T1575" s="1" t="str">
        <f t="shared" si="420"/>
        <v>ندارد</v>
      </c>
      <c r="U1575" s="1" t="str">
        <f>"مظلوم فريبرز(1008ج89)"</f>
        <v>مظلوم فريبرز(1008ج89)</v>
      </c>
      <c r="V1575" s="1">
        <v>951100025</v>
      </c>
      <c r="W1575" s="1">
        <v>951100025</v>
      </c>
      <c r="X1575" s="1" t="str">
        <f>"1395400133"</f>
        <v>1395400133</v>
      </c>
      <c r="Y1575" s="1" t="str">
        <f>"95/02/04"</f>
        <v>95/02/04</v>
      </c>
      <c r="Z1575" s="1" t="str">
        <f>"95-34250"</f>
        <v>95-34250</v>
      </c>
      <c r="AA1575" s="1" t="str">
        <f>"شهرداريها"</f>
        <v>شهرداريها</v>
      </c>
      <c r="AB1575" s="1" t="str">
        <f>"95/02/04"</f>
        <v>95/02/04</v>
      </c>
      <c r="AC1575" s="1" t="str">
        <f>"استان چهارمحال بختياري"</f>
        <v>استان چهارمحال بختياري</v>
      </c>
      <c r="AD1575" s="1" t="str">
        <f>"95/01/30"</f>
        <v>95/01/30</v>
      </c>
      <c r="AE1575" s="1" t="str">
        <f t="shared" si="424"/>
        <v>اختتام</v>
      </c>
      <c r="AF1575" s="1" t="str">
        <f>""</f>
        <v/>
      </c>
      <c r="AG1575" s="1" t="str">
        <f>""</f>
        <v/>
      </c>
      <c r="AH1575" s="1" t="str">
        <f>""</f>
        <v/>
      </c>
      <c r="AI1575" s="1" t="str">
        <f>""</f>
        <v/>
      </c>
      <c r="AJ1575" s="1" t="str">
        <f>""</f>
        <v/>
      </c>
      <c r="AK1575" s="1" t="str">
        <f>""</f>
        <v/>
      </c>
    </row>
    <row r="1576" spans="1:37" x14ac:dyDescent="0.2">
      <c r="A1576" s="1">
        <v>70000</v>
      </c>
      <c r="B1576" s="1">
        <v>951400049</v>
      </c>
      <c r="C1576" s="1" t="str">
        <f>"همدان -كيلومتر45جاده همدان بيجار-روبروي راهدارخانه سوباشي-شرکت اروند راه امير"</f>
        <v>همدان -كيلومتر45جاده همدان بيجار-روبروي راهدارخانه سوباشي-شرکت اروند راه امير</v>
      </c>
      <c r="D1576" s="1">
        <v>6726</v>
      </c>
      <c r="E1576" s="1">
        <v>70000</v>
      </c>
      <c r="F1576" s="1">
        <v>95</v>
      </c>
      <c r="G1576" s="1">
        <v>0</v>
      </c>
      <c r="H1576" s="1" t="str">
        <f>"95/05/05"</f>
        <v>95/05/05</v>
      </c>
      <c r="I1576" s="1" t="str">
        <f t="shared" si="418"/>
        <v>كيلوگرم</v>
      </c>
      <c r="J1576" s="1" t="str">
        <f t="shared" ref="J1576:J1581" si="425">"0000000091"</f>
        <v>0000000091</v>
      </c>
      <c r="K1576" s="1" t="str">
        <f t="shared" ref="K1576:K1581" si="426">"قير  PG64-22"</f>
        <v>قير  PG64-22</v>
      </c>
      <c r="L1576" s="1">
        <v>100</v>
      </c>
      <c r="M1576" s="1" t="str">
        <f t="shared" si="423"/>
        <v>مخازن قير اصفهان</v>
      </c>
      <c r="N1576" s="1">
        <v>9929</v>
      </c>
      <c r="O1576" s="1">
        <v>50031370</v>
      </c>
      <c r="P1576" s="1" t="str">
        <f>"  اروند راه امير"</f>
        <v xml:space="preserve">  اروند راه امير</v>
      </c>
      <c r="Q1576" s="1">
        <v>14</v>
      </c>
      <c r="R1576" s="1" t="str">
        <f>"فروش داخلي - وزارت راه - حوزه راه روستايي ساخت"</f>
        <v>فروش داخلي - وزارت راه - حوزه راه روستايي ساخت</v>
      </c>
      <c r="S1576" s="1" t="str">
        <f t="shared" si="419"/>
        <v>قرارداد فروش</v>
      </c>
      <c r="T1576" s="1" t="str">
        <f t="shared" si="420"/>
        <v>ندارد</v>
      </c>
      <c r="U1576" s="1" t="str">
        <f>"حاجيلوئي علي اصغر(2842019)"</f>
        <v>حاجيلوئي علي اصغر(2842019)</v>
      </c>
      <c r="V1576" s="1">
        <v>951400049</v>
      </c>
      <c r="W1576" s="1">
        <v>951400049</v>
      </c>
      <c r="X1576" s="1" t="str">
        <f>"1395418118"</f>
        <v>1395418118</v>
      </c>
      <c r="Y1576" s="1" t="str">
        <f>"95/05/05"</f>
        <v>95/05/05</v>
      </c>
      <c r="Z1576" s="1" t="str">
        <f>"18978/510"</f>
        <v>18978/510</v>
      </c>
      <c r="AA1576" s="1" t="str">
        <f>"راه وروستايي -ساخت"</f>
        <v>راه وروستايي -ساخت</v>
      </c>
      <c r="AB1576" s="1" t="str">
        <f>"95/04/30"</f>
        <v>95/04/30</v>
      </c>
      <c r="AC1576" s="1" t="str">
        <f>"استان همدان"</f>
        <v>استان همدان</v>
      </c>
      <c r="AD1576" s="1" t="str">
        <f>"95/05/05"</f>
        <v>95/05/05</v>
      </c>
      <c r="AE1576" s="1" t="str">
        <f t="shared" si="424"/>
        <v>اختتام</v>
      </c>
      <c r="AF1576" s="1" t="str">
        <f>""</f>
        <v/>
      </c>
      <c r="AG1576" s="1" t="str">
        <f>""</f>
        <v/>
      </c>
      <c r="AH1576" s="1" t="str">
        <f>""</f>
        <v/>
      </c>
      <c r="AI1576" s="1" t="str">
        <f>""</f>
        <v/>
      </c>
      <c r="AJ1576" s="1" t="str">
        <f>""</f>
        <v/>
      </c>
      <c r="AK1576" s="1" t="str">
        <f>""</f>
        <v/>
      </c>
    </row>
    <row r="1577" spans="1:37" x14ac:dyDescent="0.2">
      <c r="A1577" s="1">
        <v>300000</v>
      </c>
      <c r="B1577" s="1">
        <v>951800065</v>
      </c>
      <c r="C1577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1577" s="1">
        <v>7176</v>
      </c>
      <c r="E1577" s="1">
        <v>295720</v>
      </c>
      <c r="F1577" s="1">
        <v>95</v>
      </c>
      <c r="G1577" s="1">
        <v>4280</v>
      </c>
      <c r="H1577" s="1" t="str">
        <f>"95/06/09"</f>
        <v>95/06/09</v>
      </c>
      <c r="I1577" s="1" t="str">
        <f t="shared" si="418"/>
        <v>كيلوگرم</v>
      </c>
      <c r="J1577" s="1" t="str">
        <f t="shared" si="425"/>
        <v>0000000091</v>
      </c>
      <c r="K1577" s="1" t="str">
        <f t="shared" si="426"/>
        <v>قير  PG64-22</v>
      </c>
      <c r="L1577" s="1">
        <v>100</v>
      </c>
      <c r="M1577" s="1" t="str">
        <f t="shared" si="423"/>
        <v>مخازن قير اصفهان</v>
      </c>
      <c r="N1577" s="1">
        <v>10053</v>
      </c>
      <c r="O1577" s="1">
        <v>50031723</v>
      </c>
      <c r="P1577" s="1" t="str">
        <f>"  پوشش راه هگمتانه"</f>
        <v xml:space="preserve">  پوشش راه هگمتانه</v>
      </c>
      <c r="Q1577" s="1">
        <v>18</v>
      </c>
      <c r="R1577" s="1" t="str">
        <f>"فروش داخلي تهران - وزارت راه - شرکت ساخت و توسعه راهها"</f>
        <v>فروش داخلي تهران - وزارت راه - شرکت ساخت و توسعه راهها</v>
      </c>
      <c r="S1577" s="1" t="str">
        <f t="shared" si="419"/>
        <v>قرارداد فروش</v>
      </c>
      <c r="T1577" s="1" t="str">
        <f t="shared" si="420"/>
        <v>ندارد</v>
      </c>
      <c r="U1577" s="1" t="str">
        <f>"حاجيلوئي علي اصغر(2842019)"</f>
        <v>حاجيلوئي علي اصغر(2842019)</v>
      </c>
      <c r="V1577" s="1">
        <v>951800065</v>
      </c>
      <c r="W1577" s="1">
        <v>951800065</v>
      </c>
      <c r="X1577" s="1" t="str">
        <f>"1395427788"</f>
        <v>1395427788</v>
      </c>
      <c r="Y1577" s="1" t="str">
        <f>"95/06/09"</f>
        <v>95/06/09</v>
      </c>
      <c r="Z1577" s="1" t="str">
        <f>"26400/510"</f>
        <v>26400/510</v>
      </c>
      <c r="AA1577" s="1" t="str">
        <f>"شركت  ساخت وتوسعه راهها"</f>
        <v>شركت  ساخت وتوسعه راهها</v>
      </c>
      <c r="AB1577" s="1" t="str">
        <f>"95/06/07"</f>
        <v>95/06/07</v>
      </c>
      <c r="AC1577" s="1" t="str">
        <f>"استان همدان"</f>
        <v>استان همدان</v>
      </c>
      <c r="AD1577" s="1" t="str">
        <f>"95/06/09"</f>
        <v>95/06/09</v>
      </c>
      <c r="AE1577" s="1" t="str">
        <f t="shared" si="424"/>
        <v>اختتام</v>
      </c>
      <c r="AF1577" s="1" t="str">
        <f>""</f>
        <v/>
      </c>
      <c r="AG1577" s="1" t="str">
        <f>""</f>
        <v/>
      </c>
      <c r="AH1577" s="1" t="str">
        <f>""</f>
        <v/>
      </c>
      <c r="AI1577" s="1" t="str">
        <f>""</f>
        <v/>
      </c>
      <c r="AJ1577" s="1" t="str">
        <f>""</f>
        <v/>
      </c>
      <c r="AK1577" s="1" t="str">
        <f>""</f>
        <v/>
      </c>
    </row>
    <row r="1578" spans="1:37" x14ac:dyDescent="0.2">
      <c r="A1578" s="1">
        <v>504000</v>
      </c>
      <c r="B1578" s="1">
        <v>951400020</v>
      </c>
      <c r="C1578" s="1" t="str">
        <f>"تخليه كرمانشاه ثلاث باباجاني كيلومتر5جاده تازه آباد-جوانرودمحدوده روستاي جوجاركارخانه آسفالت يوسفي"</f>
        <v>تخليه كرمانشاه ثلاث باباجاني كيلومتر5جاده تازه آباد-جوانرودمحدوده روستاي جوجاركارخانه آسفالت يوسفي</v>
      </c>
      <c r="D1578" s="1">
        <v>6050</v>
      </c>
      <c r="E1578" s="1">
        <v>501160</v>
      </c>
      <c r="F1578" s="1">
        <v>95</v>
      </c>
      <c r="G1578" s="1">
        <v>2840</v>
      </c>
      <c r="H1578" s="1" t="str">
        <f>"95/03/30"</f>
        <v>95/03/30</v>
      </c>
      <c r="I1578" s="1" t="str">
        <f t="shared" si="418"/>
        <v>كيلوگرم</v>
      </c>
      <c r="J1578" s="1" t="str">
        <f t="shared" si="425"/>
        <v>0000000091</v>
      </c>
      <c r="K1578" s="1" t="str">
        <f t="shared" si="426"/>
        <v>قير  PG64-22</v>
      </c>
      <c r="L1578" s="1">
        <v>100</v>
      </c>
      <c r="M1578" s="1" t="str">
        <f t="shared" si="423"/>
        <v>مخازن قير اصفهان</v>
      </c>
      <c r="N1578" s="1">
        <v>10063</v>
      </c>
      <c r="O1578" s="1">
        <v>50031071</v>
      </c>
      <c r="P1578" s="1" t="str">
        <f>"  رعدآذين"</f>
        <v xml:space="preserve">  رعدآذين</v>
      </c>
      <c r="Q1578" s="1">
        <v>14</v>
      </c>
      <c r="R1578" s="1" t="str">
        <f>"فروش داخلي - وزارت راه - حوزه راه روستايي ساخت"</f>
        <v>فروش داخلي - وزارت راه - حوزه راه روستايي ساخت</v>
      </c>
      <c r="S1578" s="1" t="str">
        <f t="shared" si="419"/>
        <v>قرارداد فروش</v>
      </c>
      <c r="T1578" s="1" t="str">
        <f t="shared" si="420"/>
        <v>ندارد</v>
      </c>
      <c r="U1578" s="1" t="str">
        <f>"ميهن دوست عبداله(2842010)"</f>
        <v>ميهن دوست عبداله(2842010)</v>
      </c>
      <c r="V1578" s="1">
        <v>951400020</v>
      </c>
      <c r="W1578" s="1">
        <v>951400020</v>
      </c>
      <c r="X1578" s="1" t="str">
        <f>"1395410183"</f>
        <v>1395410183</v>
      </c>
      <c r="Y1578" s="1" t="str">
        <f>"95/03/30"</f>
        <v>95/03/30</v>
      </c>
      <c r="Z1578" s="1" t="str">
        <f>"12073/510"</f>
        <v>12073/510</v>
      </c>
      <c r="AA1578" s="1" t="str">
        <f>"راه وروستايي -ساخت"</f>
        <v>راه وروستايي -ساخت</v>
      </c>
      <c r="AB1578" s="1" t="str">
        <f>"95/03/24"</f>
        <v>95/03/24</v>
      </c>
      <c r="AC1578" s="1" t="str">
        <f>"استان كرمانشاه"</f>
        <v>استان كرمانشاه</v>
      </c>
      <c r="AD1578" s="1" t="str">
        <f>"95/03/30"</f>
        <v>95/03/30</v>
      </c>
      <c r="AE1578" s="1" t="str">
        <f t="shared" si="424"/>
        <v>اختتام</v>
      </c>
      <c r="AF1578" s="1" t="str">
        <f>""</f>
        <v/>
      </c>
      <c r="AG1578" s="1" t="str">
        <f>""</f>
        <v/>
      </c>
      <c r="AH1578" s="1" t="str">
        <f>""</f>
        <v/>
      </c>
      <c r="AI1578" s="1" t="str">
        <f>""</f>
        <v/>
      </c>
      <c r="AJ1578" s="1" t="str">
        <f>""</f>
        <v/>
      </c>
      <c r="AK1578" s="1" t="str">
        <f>""</f>
        <v/>
      </c>
    </row>
    <row r="1579" spans="1:37" x14ac:dyDescent="0.2">
      <c r="A1579" s="1">
        <v>500000</v>
      </c>
      <c r="B1579" s="1">
        <v>951900277</v>
      </c>
      <c r="C1579" s="1" t="str">
        <f>"تخليه -يزد-شهرستان اردكان -محوراردكان -نايين -كارگاه شركت سطح راهان"</f>
        <v>تخليه -يزد-شهرستان اردكان -محوراردكان -نايين -كارگاه شركت سطح راهان</v>
      </c>
      <c r="D1579" s="1">
        <v>8854</v>
      </c>
      <c r="E1579" s="1">
        <v>499080</v>
      </c>
      <c r="F1579" s="1">
        <v>95</v>
      </c>
      <c r="G1579" s="1">
        <v>920</v>
      </c>
      <c r="H1579" s="1" t="str">
        <f>"95/12/11"</f>
        <v>95/12/11</v>
      </c>
      <c r="I1579" s="1" t="str">
        <f t="shared" si="418"/>
        <v>كيلوگرم</v>
      </c>
      <c r="J1579" s="1" t="str">
        <f t="shared" si="425"/>
        <v>0000000091</v>
      </c>
      <c r="K1579" s="1" t="str">
        <f t="shared" si="426"/>
        <v>قير  PG64-22</v>
      </c>
      <c r="L1579" s="1">
        <v>100</v>
      </c>
      <c r="M1579" s="1" t="str">
        <f t="shared" si="423"/>
        <v>مخازن قير اصفهان</v>
      </c>
      <c r="N1579" s="1">
        <v>10225</v>
      </c>
      <c r="O1579" s="1">
        <v>50033979</v>
      </c>
      <c r="P1579" s="1" t="str">
        <f>"  سطح راهان"</f>
        <v xml:space="preserve">  سطح راهان</v>
      </c>
      <c r="Q1579" s="1">
        <v>19</v>
      </c>
      <c r="R157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79" s="1" t="str">
        <f t="shared" si="419"/>
        <v>قرارداد فروش</v>
      </c>
      <c r="T1579" s="1" t="str">
        <f t="shared" si="420"/>
        <v>ندارد</v>
      </c>
      <c r="U1579" s="1" t="str">
        <f>"قانعي محمدرضا(1011ج89)"</f>
        <v>قانعي محمدرضا(1011ج89)</v>
      </c>
      <c r="V1579" s="1">
        <v>951900277</v>
      </c>
      <c r="W1579" s="1">
        <v>951900277</v>
      </c>
      <c r="X1579" s="1" t="str">
        <f>"1395468351"</f>
        <v>1395468351</v>
      </c>
      <c r="Y1579" s="1" t="str">
        <f>"95/12/11"</f>
        <v>95/12/11</v>
      </c>
      <c r="Z1579" s="1" t="str">
        <f>"61951/710"</f>
        <v>61951/710</v>
      </c>
      <c r="AA1579" s="1" t="str">
        <f>"سازمان راهداري وحمل نقل جاده اي"</f>
        <v>سازمان راهداري وحمل نقل جاده اي</v>
      </c>
      <c r="AB1579" s="1" t="str">
        <f>"95/12/08"</f>
        <v>95/12/08</v>
      </c>
      <c r="AC1579" s="1" t="str">
        <f>"استان يزد"</f>
        <v>استان يزد</v>
      </c>
      <c r="AD1579" s="1" t="str">
        <f>"95/12/10"</f>
        <v>95/12/10</v>
      </c>
      <c r="AE1579" s="1" t="str">
        <f t="shared" si="424"/>
        <v>اختتام</v>
      </c>
      <c r="AF1579" s="1" t="str">
        <f>""</f>
        <v/>
      </c>
      <c r="AG1579" s="1" t="str">
        <f>""</f>
        <v/>
      </c>
      <c r="AH1579" s="1" t="str">
        <f>""</f>
        <v/>
      </c>
      <c r="AI1579" s="1" t="str">
        <f>""</f>
        <v/>
      </c>
      <c r="AJ1579" s="1" t="str">
        <f>""</f>
        <v/>
      </c>
      <c r="AK1579" s="1" t="str">
        <f>""</f>
        <v/>
      </c>
    </row>
    <row r="1580" spans="1:37" x14ac:dyDescent="0.2">
      <c r="A1580" s="1">
        <v>1000000</v>
      </c>
      <c r="B1580" s="1">
        <v>951600029</v>
      </c>
      <c r="C1580" s="1" t="str">
        <f>"تخليه -خراسان جنوبي -فردوس -شهرك هاشميه"</f>
        <v>تخليه -خراسان جنوبي -فردوس -شهرك هاشميه</v>
      </c>
      <c r="D1580" s="1">
        <v>7176</v>
      </c>
      <c r="E1580" s="1">
        <v>556180</v>
      </c>
      <c r="F1580" s="1">
        <v>95</v>
      </c>
      <c r="G1580" s="1">
        <v>443820</v>
      </c>
      <c r="H1580" s="1" t="str">
        <f>"95/06/17"</f>
        <v>95/06/17</v>
      </c>
      <c r="I1580" s="1" t="str">
        <f t="shared" si="418"/>
        <v>كيلوگرم</v>
      </c>
      <c r="J1580" s="1" t="str">
        <f t="shared" si="425"/>
        <v>0000000091</v>
      </c>
      <c r="K1580" s="1" t="str">
        <f t="shared" si="426"/>
        <v>قير  PG64-22</v>
      </c>
      <c r="L1580" s="1">
        <v>100</v>
      </c>
      <c r="M1580" s="1" t="str">
        <f t="shared" si="423"/>
        <v>مخازن قير اصفهان</v>
      </c>
      <c r="N1580" s="1">
        <v>10308</v>
      </c>
      <c r="O1580" s="1">
        <v>50031828</v>
      </c>
      <c r="P1580" s="1" t="str">
        <f>"  کوه پيما بيرجند"</f>
        <v xml:space="preserve">  کوه پيما بيرجند</v>
      </c>
      <c r="Q1580" s="1">
        <v>16</v>
      </c>
      <c r="R1580" s="1" t="str">
        <f>"فروش داخلي تهران - وزارت راه - معاونت اقتصاد"</f>
        <v>فروش داخلي تهران - وزارت راه - معاونت اقتصاد</v>
      </c>
      <c r="S1580" s="1" t="str">
        <f t="shared" si="419"/>
        <v>قرارداد فروش</v>
      </c>
      <c r="T1580" s="1" t="str">
        <f t="shared" si="420"/>
        <v>ندارد</v>
      </c>
      <c r="U1580" s="1" t="str">
        <f>"بابامحمدي عنايت اله(4844000)"</f>
        <v>بابامحمدي عنايت اله(4844000)</v>
      </c>
      <c r="V1580" s="1">
        <v>951600029</v>
      </c>
      <c r="W1580" s="1">
        <v>951600029</v>
      </c>
      <c r="X1580" s="1" t="str">
        <f>"1395430315"</f>
        <v>1395430315</v>
      </c>
      <c r="Y1580" s="1" t="str">
        <f>"95/06/17"</f>
        <v>95/06/17</v>
      </c>
      <c r="Z1580" s="1" t="str">
        <f>"28819/510"</f>
        <v>28819/510</v>
      </c>
      <c r="AA1580" s="1" t="str">
        <f>"معاونت اقتصادوزارت راه وشهرسازي"</f>
        <v>معاونت اقتصادوزارت راه وشهرسازي</v>
      </c>
      <c r="AB1580" s="1" t="str">
        <f>"95/06/16"</f>
        <v>95/06/16</v>
      </c>
      <c r="AC1580" s="1" t="str">
        <f>"خراسان جنوبي"</f>
        <v>خراسان جنوبي</v>
      </c>
      <c r="AD1580" s="1" t="str">
        <f>"95/06/17"</f>
        <v>95/06/17</v>
      </c>
      <c r="AE1580" s="1" t="str">
        <f t="shared" si="424"/>
        <v>اختتام</v>
      </c>
      <c r="AF1580" s="1" t="str">
        <f>""</f>
        <v/>
      </c>
      <c r="AG1580" s="1" t="str">
        <f>""</f>
        <v/>
      </c>
      <c r="AH1580" s="1" t="str">
        <f>""</f>
        <v/>
      </c>
      <c r="AI1580" s="1" t="str">
        <f>""</f>
        <v/>
      </c>
      <c r="AJ1580" s="1" t="str">
        <f>""</f>
        <v/>
      </c>
      <c r="AK1580" s="1" t="str">
        <f>""</f>
        <v/>
      </c>
    </row>
    <row r="1581" spans="1:37" x14ac:dyDescent="0.2">
      <c r="A1581" s="1">
        <v>355000</v>
      </c>
      <c r="B1581" s="1">
        <v>951800056</v>
      </c>
      <c r="C1581" s="1" t="str">
        <f>"تخليه -لرستان -بروجرد-گردنه زاليان -روبروي راهدارخانه-شرکت پايند ساز شکيل"</f>
        <v>تخليه -لرستان -بروجرد-گردنه زاليان -روبروي راهدارخانه-شرکت پايند ساز شکيل</v>
      </c>
      <c r="D1581" s="1">
        <v>7176</v>
      </c>
      <c r="E1581" s="1">
        <v>354060</v>
      </c>
      <c r="F1581" s="1">
        <v>95</v>
      </c>
      <c r="G1581" s="1">
        <v>940</v>
      </c>
      <c r="H1581" s="1" t="str">
        <f>"95/06/04"</f>
        <v>95/06/04</v>
      </c>
      <c r="I1581" s="1" t="str">
        <f t="shared" si="418"/>
        <v>كيلوگرم</v>
      </c>
      <c r="J1581" s="1" t="str">
        <f t="shared" si="425"/>
        <v>0000000091</v>
      </c>
      <c r="K1581" s="1" t="str">
        <f t="shared" si="426"/>
        <v>قير  PG64-22</v>
      </c>
      <c r="L1581" s="1">
        <v>100</v>
      </c>
      <c r="M1581" s="1" t="str">
        <f t="shared" si="423"/>
        <v>مخازن قير اصفهان</v>
      </c>
      <c r="N1581" s="1">
        <v>10474</v>
      </c>
      <c r="O1581" s="1">
        <v>50031627</v>
      </c>
      <c r="P1581" s="1" t="str">
        <f>"  پايندسازشكيل"</f>
        <v xml:space="preserve">  پايندسازشكيل</v>
      </c>
      <c r="Q1581" s="1">
        <v>18</v>
      </c>
      <c r="R1581" s="1" t="str">
        <f>"فروش داخلي تهران - وزارت راه - شرکت ساخت و توسعه راهها"</f>
        <v>فروش داخلي تهران - وزارت راه - شرکت ساخت و توسعه راهها</v>
      </c>
      <c r="S1581" s="1" t="str">
        <f t="shared" si="419"/>
        <v>قرارداد فروش</v>
      </c>
      <c r="T1581" s="1" t="str">
        <f t="shared" si="420"/>
        <v>ندارد</v>
      </c>
      <c r="U1581" s="1" t="str">
        <f>"اميري علي(2842011)"</f>
        <v>اميري علي(2842011)</v>
      </c>
      <c r="V1581" s="1">
        <v>951800056</v>
      </c>
      <c r="W1581" s="1">
        <v>951800056</v>
      </c>
      <c r="X1581" s="1" t="str">
        <f>"1395426701"</f>
        <v>1395426701</v>
      </c>
      <c r="Y1581" s="1" t="str">
        <f>"95/06/04"</f>
        <v>95/06/04</v>
      </c>
      <c r="Z1581" s="1" t="str">
        <f>"24605/510"</f>
        <v>24605/510</v>
      </c>
      <c r="AA1581" s="1" t="str">
        <f>"شركت  ساخت وتوسعه راهها"</f>
        <v>شركت  ساخت وتوسعه راهها</v>
      </c>
      <c r="AB1581" s="1" t="str">
        <f>"95/05/30"</f>
        <v>95/05/30</v>
      </c>
      <c r="AC1581" s="1" t="str">
        <f>"لرستان"</f>
        <v>لرستان</v>
      </c>
      <c r="AD1581" s="1" t="str">
        <f>"95/06/03"</f>
        <v>95/06/03</v>
      </c>
      <c r="AE1581" s="1" t="str">
        <f t="shared" si="424"/>
        <v>اختتام</v>
      </c>
      <c r="AF1581" s="1" t="str">
        <f>""</f>
        <v/>
      </c>
      <c r="AG1581" s="1" t="str">
        <f>""</f>
        <v/>
      </c>
      <c r="AH1581" s="1" t="str">
        <f>""</f>
        <v/>
      </c>
      <c r="AI1581" s="1" t="str">
        <f>""</f>
        <v/>
      </c>
      <c r="AJ1581" s="1" t="str">
        <f>""</f>
        <v/>
      </c>
      <c r="AK1581" s="1" t="str">
        <f>""</f>
        <v/>
      </c>
    </row>
    <row r="1582" spans="1:37" x14ac:dyDescent="0.2">
      <c r="A1582" s="1">
        <v>45000</v>
      </c>
      <c r="B1582" s="1">
        <v>951100081</v>
      </c>
      <c r="C1582" s="1" t="str">
        <f>"تخليه -قزوين -شهرك هفت سنگان -كارخانه آسفالت شهرداري قزوين"</f>
        <v>تخليه -قزوين -شهرك هفت سنگان -كارخانه آسفالت شهرداري قزوين</v>
      </c>
      <c r="D1582" s="1">
        <v>9980</v>
      </c>
      <c r="E1582" s="1">
        <v>44900</v>
      </c>
      <c r="F1582" s="1">
        <v>95</v>
      </c>
      <c r="G1582" s="1">
        <v>100</v>
      </c>
      <c r="H1582" s="1" t="str">
        <f>"95/04/13"</f>
        <v>95/04/13</v>
      </c>
      <c r="I1582" s="1" t="str">
        <f t="shared" si="418"/>
        <v>كيلوگرم</v>
      </c>
      <c r="J1582" s="1" t="str">
        <f>"1000000003"</f>
        <v>1000000003</v>
      </c>
      <c r="K1582" s="1" t="str">
        <f>"قير MC250"</f>
        <v>قير MC250</v>
      </c>
      <c r="L1582" s="1">
        <v>100</v>
      </c>
      <c r="M1582" s="1" t="str">
        <f t="shared" si="423"/>
        <v>مخازن قير اصفهان</v>
      </c>
      <c r="N1582" s="1">
        <v>8459</v>
      </c>
      <c r="O1582" s="1">
        <v>50031182</v>
      </c>
      <c r="P1582" s="1" t="str">
        <f>"  سازمان عمران شهرداري قزوين"</f>
        <v xml:space="preserve">  سازمان عمران شهرداري قزوين</v>
      </c>
      <c r="Q1582" s="1">
        <v>11</v>
      </c>
      <c r="R1582" s="1" t="str">
        <f>"فروش داخلي تهران - بورس"</f>
        <v>فروش داخلي تهران - بورس</v>
      </c>
      <c r="S1582" s="1" t="str">
        <f t="shared" si="419"/>
        <v>قرارداد فروش</v>
      </c>
      <c r="T1582" s="1" t="str">
        <f t="shared" si="420"/>
        <v>ندارد</v>
      </c>
      <c r="U1582" s="1" t="str">
        <f>"درودي محمدكاظم(1841010)"</f>
        <v>درودي محمدكاظم(1841010)</v>
      </c>
      <c r="V1582" s="1">
        <v>951100081</v>
      </c>
      <c r="W1582" s="1">
        <v>951100081</v>
      </c>
      <c r="X1582" s="1" t="str">
        <f>"1395411355"</f>
        <v>1395411355</v>
      </c>
      <c r="Y1582" s="1" t="str">
        <f>"95/04/12"</f>
        <v>95/04/12</v>
      </c>
      <c r="Z1582" s="1" t="str">
        <f>"95-34555"</f>
        <v>95-34555</v>
      </c>
      <c r="AA1582" s="1" t="str">
        <f>"شهرداريها"</f>
        <v>شهرداريها</v>
      </c>
      <c r="AB1582" s="1" t="str">
        <f>"95/04/12"</f>
        <v>95/04/12</v>
      </c>
      <c r="AC1582" s="1" t="str">
        <f>"قزوين"</f>
        <v>قزوين</v>
      </c>
      <c r="AD1582" s="1" t="str">
        <f>"95/04/06"</f>
        <v>95/04/06</v>
      </c>
      <c r="AE1582" s="1" t="str">
        <f t="shared" si="424"/>
        <v>اختتام</v>
      </c>
      <c r="AF1582" s="1" t="str">
        <f>""</f>
        <v/>
      </c>
      <c r="AG1582" s="1" t="str">
        <f>""</f>
        <v/>
      </c>
      <c r="AH1582" s="1" t="str">
        <f>""</f>
        <v/>
      </c>
      <c r="AI1582" s="1" t="str">
        <f>""</f>
        <v/>
      </c>
      <c r="AJ1582" s="1" t="str">
        <f>""</f>
        <v/>
      </c>
      <c r="AK1582" s="1" t="str">
        <f>""</f>
        <v/>
      </c>
    </row>
    <row r="1583" spans="1:37" x14ac:dyDescent="0.2">
      <c r="A1583" s="1">
        <v>218000</v>
      </c>
      <c r="B1583" s="1">
        <v>956200294</v>
      </c>
      <c r="C1583" s="1" t="str">
        <f>"تخليه - کرمانشاه -صحنه - کيلومتر 7 کرمانشاه صحنه - روستاي هاشم آباد -شرکت زاگرس راه نصر"</f>
        <v>تخليه - کرمانشاه -صحنه - کيلومتر 7 کرمانشاه صحنه - روستاي هاشم آباد -شرکت زاگرس راه نصر</v>
      </c>
      <c r="D1583" s="1">
        <v>8848</v>
      </c>
      <c r="E1583" s="1">
        <v>217780</v>
      </c>
      <c r="F1583" s="1">
        <v>95</v>
      </c>
      <c r="G1583" s="1">
        <v>220</v>
      </c>
      <c r="H1583" s="1" t="str">
        <f>"95/12/07"</f>
        <v>95/12/07</v>
      </c>
      <c r="I1583" s="1" t="str">
        <f t="shared" si="418"/>
        <v>كيلوگرم</v>
      </c>
      <c r="J1583" s="1" t="str">
        <f>"0000000076"</f>
        <v>0000000076</v>
      </c>
      <c r="K1583" s="1" t="str">
        <f>"قير 60/70 - فله"</f>
        <v>قير 60/70 - فله</v>
      </c>
      <c r="L1583" s="1">
        <v>100</v>
      </c>
      <c r="M1583" s="1" t="str">
        <f t="shared" si="423"/>
        <v>مخازن قير اصفهان</v>
      </c>
      <c r="N1583" s="1">
        <v>10506</v>
      </c>
      <c r="O1583" s="1">
        <v>50033889</v>
      </c>
      <c r="P1583" s="1" t="str">
        <f>"  يكتابتن پرشين"</f>
        <v xml:space="preserve">  يكتابتن پرشين</v>
      </c>
      <c r="Q1583" s="1">
        <v>62</v>
      </c>
      <c r="R1583" s="1" t="str">
        <f>"فروش داخلي - سازمان بنيادمسكن انقلاب اسلامي"</f>
        <v>فروش داخلي - سازمان بنيادمسكن انقلاب اسلامي</v>
      </c>
      <c r="S1583" s="1" t="str">
        <f t="shared" si="419"/>
        <v>قرارداد فروش</v>
      </c>
      <c r="T1583" s="1" t="str">
        <f t="shared" si="420"/>
        <v>ندارد</v>
      </c>
      <c r="U1583" s="1" t="str">
        <f>"عظيمي محمد(2842015)"</f>
        <v>عظيمي محمد(2842015)</v>
      </c>
      <c r="V1583" s="1">
        <v>956200294</v>
      </c>
      <c r="W1583" s="1">
        <v>956200294</v>
      </c>
      <c r="X1583" s="1" t="str">
        <f>"1395467571"</f>
        <v>1395467571</v>
      </c>
      <c r="Y1583" s="1" t="str">
        <f>"95/12/07"</f>
        <v>95/12/07</v>
      </c>
      <c r="Z1583" s="1" t="str">
        <f>"53621/د"</f>
        <v>53621/د</v>
      </c>
      <c r="AA1583" s="1" t="str">
        <f>"بنيادمسكن انقلاب اسلامي"</f>
        <v>بنيادمسكن انقلاب اسلامي</v>
      </c>
      <c r="AB1583" s="1" t="str">
        <f>"95/12/07"</f>
        <v>95/12/07</v>
      </c>
      <c r="AC1583" s="1" t="str">
        <f>"استان كرمانشاه"</f>
        <v>استان كرمانشاه</v>
      </c>
      <c r="AD1583" s="1" t="str">
        <f>"95/12/07"</f>
        <v>95/12/07</v>
      </c>
      <c r="AE1583" s="1" t="str">
        <f t="shared" si="424"/>
        <v>اختتام</v>
      </c>
      <c r="AF1583" s="1" t="str">
        <f>""</f>
        <v/>
      </c>
      <c r="AG1583" s="1" t="str">
        <f>""</f>
        <v/>
      </c>
      <c r="AH1583" s="1" t="str">
        <f>""</f>
        <v/>
      </c>
      <c r="AI1583" s="1" t="str">
        <f>""</f>
        <v/>
      </c>
      <c r="AJ1583" s="1" t="str">
        <f>""</f>
        <v/>
      </c>
      <c r="AK1583" s="1" t="str">
        <f>""</f>
        <v/>
      </c>
    </row>
    <row r="1584" spans="1:37" x14ac:dyDescent="0.2">
      <c r="A1584" s="1">
        <v>200000</v>
      </c>
      <c r="B1584" s="1">
        <v>956200350</v>
      </c>
      <c r="C1584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1584" s="1">
        <v>8848</v>
      </c>
      <c r="E1584" s="1">
        <v>196060</v>
      </c>
      <c r="F1584" s="1">
        <v>95</v>
      </c>
      <c r="G1584" s="1">
        <v>3940</v>
      </c>
      <c r="H1584" s="1" t="str">
        <f>"95/12/22"</f>
        <v>95/12/22</v>
      </c>
      <c r="I1584" s="1" t="str">
        <f t="shared" si="418"/>
        <v>كيلوگرم</v>
      </c>
      <c r="J1584" s="1" t="str">
        <f>"0000000076"</f>
        <v>0000000076</v>
      </c>
      <c r="K1584" s="1" t="str">
        <f>"قير 60/70 - فله"</f>
        <v>قير 60/70 - فله</v>
      </c>
      <c r="L1584" s="1">
        <v>100</v>
      </c>
      <c r="M1584" s="1" t="str">
        <f t="shared" si="423"/>
        <v>مخازن قير اصفهان</v>
      </c>
      <c r="N1584" s="1">
        <v>10523</v>
      </c>
      <c r="O1584" s="1">
        <v>50034132</v>
      </c>
      <c r="P1584" s="1" t="str">
        <f>"  تراوش نويدياسوج"</f>
        <v xml:space="preserve">  تراوش نويدياسوج</v>
      </c>
      <c r="Q1584" s="1">
        <v>62</v>
      </c>
      <c r="R1584" s="1" t="str">
        <f>"فروش داخلي - سازمان بنيادمسكن انقلاب اسلامي"</f>
        <v>فروش داخلي - سازمان بنيادمسكن انقلاب اسلامي</v>
      </c>
      <c r="S1584" s="1" t="str">
        <f t="shared" si="419"/>
        <v>قرارداد فروش</v>
      </c>
      <c r="T1584" s="1" t="str">
        <f t="shared" si="420"/>
        <v>ندارد</v>
      </c>
      <c r="U1584" s="1" t="str">
        <f>"غلام نجفي سيامك‌‌‌‌‌‌(1881082)"</f>
        <v>غلام نجفي سيامك‌‌‌‌‌‌(1881082)</v>
      </c>
      <c r="V1584" s="1">
        <v>956200350</v>
      </c>
      <c r="W1584" s="1">
        <v>956200350</v>
      </c>
      <c r="X1584" s="1" t="str">
        <f>"1395470439"</f>
        <v>1395470439</v>
      </c>
      <c r="Y1584" s="1" t="str">
        <f>"95/12/22"</f>
        <v>95/12/22</v>
      </c>
      <c r="Z1584" s="1" t="str">
        <f>"56766/د"</f>
        <v>56766/د</v>
      </c>
      <c r="AA1584" s="1" t="str">
        <f>"بنيادمسكن انقلاب اسلامي"</f>
        <v>بنيادمسكن انقلاب اسلامي</v>
      </c>
      <c r="AB1584" s="1" t="str">
        <f>"95/12/21"</f>
        <v>95/12/21</v>
      </c>
      <c r="AC1584" s="1" t="str">
        <f>"كهكيلويه و بوير احمد"</f>
        <v>كهكيلويه و بوير احمد</v>
      </c>
      <c r="AD1584" s="1" t="str">
        <f>"95/12/22"</f>
        <v>95/12/22</v>
      </c>
      <c r="AE1584" s="1" t="str">
        <f t="shared" si="424"/>
        <v>اختتام</v>
      </c>
      <c r="AF1584" s="1" t="str">
        <f>""</f>
        <v/>
      </c>
      <c r="AG1584" s="1" t="str">
        <f>""</f>
        <v/>
      </c>
      <c r="AH1584" s="1" t="str">
        <f>""</f>
        <v/>
      </c>
      <c r="AI1584" s="1" t="str">
        <f>""</f>
        <v/>
      </c>
      <c r="AJ1584" s="1" t="str">
        <f>""</f>
        <v/>
      </c>
      <c r="AK1584" s="1" t="str">
        <f>""</f>
        <v/>
      </c>
    </row>
    <row r="1585" spans="1:37" x14ac:dyDescent="0.2">
      <c r="A1585" s="1">
        <v>72000</v>
      </c>
      <c r="B1585" s="1">
        <v>956200286</v>
      </c>
      <c r="C1585" s="1" t="str">
        <f>"تخليه - کرمانشاه - اسلام آباد غرب - نرسيده به پل سيمره -شهرک توحيد-کارخانه آسفالت آج راه غرب"</f>
        <v>تخليه - کرمانشاه - اسلام آباد غرب - نرسيده به پل سيمره -شهرک توحيد-کارخانه آسفالت آج راه غرب</v>
      </c>
      <c r="D1585" s="1">
        <v>8848</v>
      </c>
      <c r="E1585" s="1">
        <v>71180</v>
      </c>
      <c r="F1585" s="1">
        <v>95</v>
      </c>
      <c r="G1585" s="1">
        <v>820</v>
      </c>
      <c r="H1585" s="1" t="str">
        <f>"95/12/04"</f>
        <v>95/12/04</v>
      </c>
      <c r="I1585" s="1" t="str">
        <f t="shared" si="418"/>
        <v>كيلوگرم</v>
      </c>
      <c r="J1585" s="1" t="str">
        <f>"0000000076"</f>
        <v>0000000076</v>
      </c>
      <c r="K1585" s="1" t="str">
        <f>"قير 60/70 - فله"</f>
        <v>قير 60/70 - فله</v>
      </c>
      <c r="L1585" s="1">
        <v>100</v>
      </c>
      <c r="M1585" s="1" t="str">
        <f t="shared" si="423"/>
        <v>مخازن قير اصفهان</v>
      </c>
      <c r="N1585" s="1">
        <v>10609</v>
      </c>
      <c r="O1585" s="1">
        <v>50033858</v>
      </c>
      <c r="P1585" s="1" t="str">
        <f>"  آرادسوله اهواز"</f>
        <v xml:space="preserve">  آرادسوله اهواز</v>
      </c>
      <c r="Q1585" s="1">
        <v>62</v>
      </c>
      <c r="R1585" s="1" t="str">
        <f>"فروش داخلي - سازمان بنيادمسكن انقلاب اسلامي"</f>
        <v>فروش داخلي - سازمان بنيادمسكن انقلاب اسلامي</v>
      </c>
      <c r="S1585" s="1" t="str">
        <f t="shared" si="419"/>
        <v>قرارداد فروش</v>
      </c>
      <c r="T1585" s="1" t="str">
        <f t="shared" si="420"/>
        <v>ندارد</v>
      </c>
      <c r="U1585" s="1" t="str">
        <f>"عظيمي محمد(2842015)"</f>
        <v>عظيمي محمد(2842015)</v>
      </c>
      <c r="V1585" s="1">
        <v>956200286</v>
      </c>
      <c r="W1585" s="1">
        <v>956200286</v>
      </c>
      <c r="X1585" s="1" t="str">
        <f>"1395467357"</f>
        <v>1395467357</v>
      </c>
      <c r="Y1585" s="1" t="str">
        <f>"95/12/04"</f>
        <v>95/12/04</v>
      </c>
      <c r="Z1585" s="1" t="str">
        <f>"53047/د"</f>
        <v>53047/د</v>
      </c>
      <c r="AA1585" s="1" t="str">
        <f>"بنيادمسكن انقلاب اسلامي"</f>
        <v>بنيادمسكن انقلاب اسلامي</v>
      </c>
      <c r="AB1585" s="1" t="str">
        <f>"95/12/03"</f>
        <v>95/12/03</v>
      </c>
      <c r="AC1585" s="1" t="str">
        <f>"استان كرمانشاه"</f>
        <v>استان كرمانشاه</v>
      </c>
      <c r="AD1585" s="1" t="str">
        <f>"95/12/04"</f>
        <v>95/12/04</v>
      </c>
      <c r="AE1585" s="1" t="str">
        <f t="shared" si="424"/>
        <v>اختتام</v>
      </c>
      <c r="AF1585" s="1" t="str">
        <f>""</f>
        <v/>
      </c>
      <c r="AG1585" s="1" t="str">
        <f>""</f>
        <v/>
      </c>
      <c r="AH1585" s="1" t="str">
        <f>""</f>
        <v/>
      </c>
      <c r="AI1585" s="1" t="str">
        <f>""</f>
        <v/>
      </c>
      <c r="AJ1585" s="1" t="str">
        <f>""</f>
        <v/>
      </c>
      <c r="AK1585" s="1" t="str">
        <f>""</f>
        <v/>
      </c>
    </row>
    <row r="1586" spans="1:37" x14ac:dyDescent="0.2">
      <c r="A1586" s="1">
        <v>118000</v>
      </c>
      <c r="B1586" s="1">
        <v>952000287</v>
      </c>
      <c r="C1586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1586" s="1">
        <v>7026</v>
      </c>
      <c r="E1586" s="1">
        <v>118000</v>
      </c>
      <c r="F1586" s="1">
        <v>95</v>
      </c>
      <c r="G1586" s="1">
        <v>0</v>
      </c>
      <c r="H1586" s="1" t="str">
        <f>"95/09/09"</f>
        <v>95/09/09</v>
      </c>
      <c r="I1586" s="1" t="str">
        <f t="shared" si="418"/>
        <v>كيلوگرم</v>
      </c>
      <c r="J1586" s="1" t="str">
        <f>"0000000076"</f>
        <v>0000000076</v>
      </c>
      <c r="K1586" s="1" t="str">
        <f>"قير 60/70 - فله"</f>
        <v>قير 60/70 - فله</v>
      </c>
      <c r="L1586" s="1">
        <v>100</v>
      </c>
      <c r="M1586" s="1" t="str">
        <f t="shared" si="423"/>
        <v>مخازن قير اصفهان</v>
      </c>
      <c r="N1586" s="1">
        <v>10657</v>
      </c>
      <c r="O1586" s="1">
        <v>50032767</v>
      </c>
      <c r="P1586" s="1" t="str">
        <f>"  شهرداري اردستان"</f>
        <v xml:space="preserve">  شهرداري اردستان</v>
      </c>
      <c r="Q1586" s="1">
        <v>20</v>
      </c>
      <c r="R1586" s="1" t="str">
        <f>"فروش داخلي - سازمان شهرداري ها و دهياري هاي كشور"</f>
        <v>فروش داخلي - سازمان شهرداري ها و دهياري هاي كشور</v>
      </c>
      <c r="S1586" s="1" t="str">
        <f t="shared" si="419"/>
        <v>قرارداد فروش</v>
      </c>
      <c r="T1586" s="1" t="str">
        <f t="shared" si="420"/>
        <v>ندارد</v>
      </c>
      <c r="U1586" s="1" t="str">
        <f>"معماريان سعيد(1004ج89)"</f>
        <v>معماريان سعيد(1004ج89)</v>
      </c>
      <c r="V1586" s="1">
        <v>952000287</v>
      </c>
      <c r="W1586" s="1">
        <v>952000287</v>
      </c>
      <c r="X1586" s="1" t="str">
        <f>"1395447768"</f>
        <v>1395447768</v>
      </c>
      <c r="Y1586" s="1" t="str">
        <f>"95/09/09"</f>
        <v>95/09/09</v>
      </c>
      <c r="Z1586" s="1" t="str">
        <f>"43241"</f>
        <v>43241</v>
      </c>
      <c r="AA1586" s="1" t="str">
        <f>"شهرداريها"</f>
        <v>شهرداريها</v>
      </c>
      <c r="AB1586" s="1" t="str">
        <f>"95/09/01"</f>
        <v>95/09/01</v>
      </c>
      <c r="AC1586" s="1" t="str">
        <f>"استان اصفهان"</f>
        <v>استان اصفهان</v>
      </c>
      <c r="AD1586" s="1" t="str">
        <f>"95/09/07"</f>
        <v>95/09/07</v>
      </c>
      <c r="AE1586" s="1" t="str">
        <f t="shared" si="424"/>
        <v>اختتام</v>
      </c>
      <c r="AF1586" s="1" t="str">
        <f>""</f>
        <v/>
      </c>
      <c r="AG1586" s="1" t="str">
        <f>""</f>
        <v/>
      </c>
      <c r="AH1586" s="1" t="str">
        <f>""</f>
        <v/>
      </c>
      <c r="AI1586" s="1" t="str">
        <f>""</f>
        <v/>
      </c>
      <c r="AJ1586" s="1" t="str">
        <f>""</f>
        <v/>
      </c>
      <c r="AK1586" s="1" t="str">
        <f>""</f>
        <v/>
      </c>
    </row>
    <row r="1587" spans="1:37" x14ac:dyDescent="0.2">
      <c r="A1587" s="1">
        <v>350000</v>
      </c>
      <c r="B1587" s="1">
        <v>951900085</v>
      </c>
      <c r="C1587" s="1" t="str">
        <f>"تخليه -لرستان -كيلومتر12جاده دورود-ازنا-بالاترازروستاي ترشاب"</f>
        <v>تخليه -لرستان -كيلومتر12جاده دورود-ازنا-بالاترازروستاي ترشاب</v>
      </c>
      <c r="D1587" s="1">
        <v>6726</v>
      </c>
      <c r="E1587" s="1">
        <v>348840</v>
      </c>
      <c r="F1587" s="1">
        <v>95</v>
      </c>
      <c r="G1587" s="1">
        <v>1160</v>
      </c>
      <c r="H1587" s="1" t="str">
        <f>"95/05/13"</f>
        <v>95/05/13</v>
      </c>
      <c r="I1587" s="1" t="str">
        <f t="shared" si="418"/>
        <v>كيلوگرم</v>
      </c>
      <c r="J1587" s="1" t="str">
        <f>"0000000091"</f>
        <v>0000000091</v>
      </c>
      <c r="K1587" s="1" t="str">
        <f>"قير  PG64-22"</f>
        <v>قير  PG64-22</v>
      </c>
      <c r="L1587" s="1">
        <v>100</v>
      </c>
      <c r="M1587" s="1" t="str">
        <f t="shared" si="423"/>
        <v>مخازن قير اصفهان</v>
      </c>
      <c r="N1587" s="1">
        <v>10558</v>
      </c>
      <c r="O1587" s="1">
        <v>50031417</v>
      </c>
      <c r="P1587" s="1" t="str">
        <f>"  راه شكاف زاگرس"</f>
        <v xml:space="preserve">  راه شكاف زاگرس</v>
      </c>
      <c r="Q1587" s="1">
        <v>19</v>
      </c>
      <c r="R15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87" s="1" t="str">
        <f t="shared" si="419"/>
        <v>قرارداد فروش</v>
      </c>
      <c r="T1587" s="1" t="str">
        <f t="shared" si="420"/>
        <v>ندارد</v>
      </c>
      <c r="U1587" s="1" t="str">
        <f>"رضائي كلهر حسن (1901099)"</f>
        <v>رضائي كلهر حسن (1901099)</v>
      </c>
      <c r="V1587" s="1">
        <v>951900085</v>
      </c>
      <c r="W1587" s="1">
        <v>951900085</v>
      </c>
      <c r="X1587" s="1" t="str">
        <f>"1395421145"</f>
        <v>1395421145</v>
      </c>
      <c r="Y1587" s="1" t="str">
        <f>"95/05/13"</f>
        <v>95/05/13</v>
      </c>
      <c r="Z1587" s="1" t="str">
        <f>"20822/510"</f>
        <v>20822/510</v>
      </c>
      <c r="AA1587" s="1" t="str">
        <f>"سازمان راهداري وحمل نقل جاده اي"</f>
        <v>سازمان راهداري وحمل نقل جاده اي</v>
      </c>
      <c r="AB1587" s="1" t="str">
        <f>"95/05/11"</f>
        <v>95/05/11</v>
      </c>
      <c r="AC1587" s="1" t="str">
        <f>"لرستان"</f>
        <v>لرستان</v>
      </c>
      <c r="AD1587" s="1" t="str">
        <f>"95/05/13"</f>
        <v>95/05/13</v>
      </c>
      <c r="AE1587" s="1" t="str">
        <f t="shared" si="424"/>
        <v>اختتام</v>
      </c>
      <c r="AF1587" s="1" t="str">
        <f>""</f>
        <v/>
      </c>
      <c r="AG1587" s="1" t="str">
        <f>""</f>
        <v/>
      </c>
      <c r="AH1587" s="1" t="str">
        <f>""</f>
        <v/>
      </c>
      <c r="AI1587" s="1" t="str">
        <f>""</f>
        <v/>
      </c>
      <c r="AJ1587" s="1" t="str">
        <f>""</f>
        <v/>
      </c>
      <c r="AK1587" s="1" t="str">
        <f>""</f>
        <v/>
      </c>
    </row>
    <row r="1588" spans="1:37" x14ac:dyDescent="0.2">
      <c r="A1588" s="1">
        <v>100000</v>
      </c>
      <c r="B1588" s="1">
        <v>951900206</v>
      </c>
      <c r="C1588" s="1" t="str">
        <f>"تخليه -لرستان -دورود-تنگ عزيزآباد-شركت آسفالت ريزان گهر"</f>
        <v>تخليه -لرستان -دورود-تنگ عزيزآباد-شركت آسفالت ريزان گهر</v>
      </c>
      <c r="D1588" s="1">
        <v>8323</v>
      </c>
      <c r="E1588" s="1">
        <v>85580</v>
      </c>
      <c r="F1588" s="1">
        <v>95</v>
      </c>
      <c r="G1588" s="1">
        <v>14420</v>
      </c>
      <c r="H1588" s="1" t="str">
        <f>"95/08/29"</f>
        <v>95/08/29</v>
      </c>
      <c r="I1588" s="1" t="str">
        <f t="shared" si="418"/>
        <v>كيلوگرم</v>
      </c>
      <c r="J1588" s="1" t="str">
        <f>"0000000091"</f>
        <v>0000000091</v>
      </c>
      <c r="K1588" s="1" t="str">
        <f>"قير  PG64-22"</f>
        <v>قير  PG64-22</v>
      </c>
      <c r="L1588" s="1">
        <v>100</v>
      </c>
      <c r="M1588" s="1" t="str">
        <f t="shared" si="423"/>
        <v>مخازن قير اصفهان</v>
      </c>
      <c r="N1588" s="1">
        <v>10562</v>
      </c>
      <c r="O1588" s="1">
        <v>50032641</v>
      </c>
      <c r="P1588" s="1" t="str">
        <f>"  آسفالت ريزان گهرلرستان"</f>
        <v xml:space="preserve">  آسفالت ريزان گهرلرستان</v>
      </c>
      <c r="Q1588" s="1">
        <v>19</v>
      </c>
      <c r="R15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88" s="1" t="str">
        <f t="shared" si="419"/>
        <v>قرارداد فروش</v>
      </c>
      <c r="T1588" s="1" t="str">
        <f t="shared" si="420"/>
        <v>ندارد</v>
      </c>
      <c r="U1588" s="1" t="str">
        <f>"ريسماني حسن(1007ج89)"</f>
        <v>ريسماني حسن(1007ج89)</v>
      </c>
      <c r="V1588" s="1">
        <v>951900206</v>
      </c>
      <c r="W1588" s="1">
        <v>951900206</v>
      </c>
      <c r="X1588" s="1" t="str">
        <f>"1395446076"</f>
        <v>1395446076</v>
      </c>
      <c r="Y1588" s="1" t="str">
        <f>"95/08/29"</f>
        <v>95/08/29</v>
      </c>
      <c r="Z1588" s="1" t="str">
        <f>"39768/710"</f>
        <v>39768/710</v>
      </c>
      <c r="AA1588" s="1" t="str">
        <f>"سازمان راهداري وحمل نقل جاده اي"</f>
        <v>سازمان راهداري وحمل نقل جاده اي</v>
      </c>
      <c r="AB1588" s="1" t="str">
        <f>"95/08/15"</f>
        <v>95/08/15</v>
      </c>
      <c r="AC1588" s="1" t="str">
        <f>"لرستان"</f>
        <v>لرستان</v>
      </c>
      <c r="AD1588" s="1" t="str">
        <f>"95/08/26"</f>
        <v>95/08/26</v>
      </c>
      <c r="AE1588" s="1" t="str">
        <f t="shared" si="424"/>
        <v>اختتام</v>
      </c>
      <c r="AF1588" s="1" t="str">
        <f>""</f>
        <v/>
      </c>
      <c r="AG1588" s="1" t="str">
        <f>""</f>
        <v/>
      </c>
      <c r="AH1588" s="1" t="str">
        <f>""</f>
        <v/>
      </c>
      <c r="AI1588" s="1" t="str">
        <f>""</f>
        <v/>
      </c>
      <c r="AJ1588" s="1" t="str">
        <f>""</f>
        <v/>
      </c>
      <c r="AK1588" s="1" t="str">
        <f>""</f>
        <v/>
      </c>
    </row>
    <row r="1589" spans="1:37" x14ac:dyDescent="0.2">
      <c r="A1589" s="1">
        <v>15000</v>
      </c>
      <c r="B1589" s="1">
        <v>956200408</v>
      </c>
      <c r="C1589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589" s="1">
        <v>12582</v>
      </c>
      <c r="E1589" s="1">
        <v>14460</v>
      </c>
      <c r="F1589" s="1">
        <v>95</v>
      </c>
      <c r="G1589" s="1">
        <v>540</v>
      </c>
      <c r="H1589" s="1" t="str">
        <f>"95/12/25"</f>
        <v>95/12/25</v>
      </c>
      <c r="I1589" s="1" t="str">
        <f t="shared" si="418"/>
        <v>كيلوگرم</v>
      </c>
      <c r="J1589" s="1" t="str">
        <f>"1000000003"</f>
        <v>1000000003</v>
      </c>
      <c r="K1589" s="1" t="str">
        <f>"قير MC250"</f>
        <v>قير MC250</v>
      </c>
      <c r="L1589" s="1">
        <v>100</v>
      </c>
      <c r="M1589" s="1" t="str">
        <f t="shared" si="423"/>
        <v>مخازن قير اصفهان</v>
      </c>
      <c r="N1589" s="1">
        <v>9345</v>
      </c>
      <c r="O1589" s="1">
        <v>50034258</v>
      </c>
      <c r="P1589" s="1" t="str">
        <f>"  ثمين راه صفاهان"</f>
        <v xml:space="preserve">  ثمين راه صفاهان</v>
      </c>
      <c r="Q1589" s="1">
        <v>62</v>
      </c>
      <c r="R1589" s="1" t="str">
        <f>"فروش داخلي - سازمان بنيادمسكن انقلاب اسلامي"</f>
        <v>فروش داخلي - سازمان بنيادمسكن انقلاب اسلامي</v>
      </c>
      <c r="S1589" s="1" t="str">
        <f t="shared" si="419"/>
        <v>قرارداد فروش</v>
      </c>
      <c r="T1589" s="1" t="str">
        <f t="shared" si="420"/>
        <v>ندارد</v>
      </c>
      <c r="U1589" s="1" t="str">
        <f>"شهبازي محمدرضا(1029ج89)"</f>
        <v>شهبازي محمدرضا(1029ج89)</v>
      </c>
      <c r="V1589" s="1">
        <v>956200408</v>
      </c>
      <c r="W1589" s="1">
        <v>956200408</v>
      </c>
      <c r="X1589" s="1" t="str">
        <f>"1395470892"</f>
        <v>1395470892</v>
      </c>
      <c r="Y1589" s="1" t="str">
        <f>"95/12/25"</f>
        <v>95/12/25</v>
      </c>
      <c r="Z1589" s="1" t="str">
        <f>"57013/د"</f>
        <v>57013/د</v>
      </c>
      <c r="AA1589" s="1" t="str">
        <f>"بنيادمسكن انقلاب اسلامي"</f>
        <v>بنيادمسكن انقلاب اسلامي</v>
      </c>
      <c r="AB1589" s="1" t="str">
        <f>"95/12/22"</f>
        <v>95/12/22</v>
      </c>
      <c r="AC1589" s="1" t="str">
        <f>"استان اصفهان"</f>
        <v>استان اصفهان</v>
      </c>
      <c r="AD1589" s="1" t="str">
        <f>"95/12/23"</f>
        <v>95/12/23</v>
      </c>
      <c r="AE1589" s="1" t="str">
        <f t="shared" si="424"/>
        <v>اختتام</v>
      </c>
      <c r="AF1589" s="1" t="str">
        <f>""</f>
        <v/>
      </c>
      <c r="AG1589" s="1" t="str">
        <f>""</f>
        <v/>
      </c>
      <c r="AH1589" s="1" t="str">
        <f>""</f>
        <v/>
      </c>
      <c r="AI1589" s="1" t="str">
        <f>""</f>
        <v/>
      </c>
      <c r="AJ1589" s="1" t="str">
        <f>""</f>
        <v/>
      </c>
      <c r="AK1589" s="1" t="str">
        <f>""</f>
        <v/>
      </c>
    </row>
    <row r="1590" spans="1:37" x14ac:dyDescent="0.2">
      <c r="A1590" s="1">
        <v>500000</v>
      </c>
      <c r="B1590" s="1">
        <v>951900312</v>
      </c>
      <c r="C1590" s="1" t="str">
        <f>"تخليه -كرمانشاه -كارخانه آسفالت بتن شيب غرب"</f>
        <v>تخليه -كرمانشاه -كارخانه آسفالت بتن شيب غرب</v>
      </c>
      <c r="D1590" s="1">
        <v>9068</v>
      </c>
      <c r="E1590" s="1">
        <v>499580</v>
      </c>
      <c r="F1590" s="1">
        <v>95</v>
      </c>
      <c r="G1590" s="1">
        <v>420</v>
      </c>
      <c r="H1590" s="1" t="str">
        <f>"95/12/25"</f>
        <v>95/12/25</v>
      </c>
      <c r="I1590" s="1" t="str">
        <f t="shared" si="418"/>
        <v>كيلوگرم</v>
      </c>
      <c r="J1590" s="1" t="str">
        <f t="shared" ref="J1590:J1607" si="427">"0000000091"</f>
        <v>0000000091</v>
      </c>
      <c r="K1590" s="1" t="str">
        <f t="shared" ref="K1590:K1607" si="428">"قير  PG64-22"</f>
        <v>قير  PG64-22</v>
      </c>
      <c r="L1590" s="1">
        <v>100</v>
      </c>
      <c r="M1590" s="1" t="str">
        <f t="shared" si="423"/>
        <v>مخازن قير اصفهان</v>
      </c>
      <c r="N1590" s="1">
        <v>10623</v>
      </c>
      <c r="O1590" s="1">
        <v>50034241</v>
      </c>
      <c r="P1590" s="1" t="str">
        <f>"  ايمن راه باختر"</f>
        <v xml:space="preserve">  ايمن راه باختر</v>
      </c>
      <c r="Q1590" s="1">
        <v>19</v>
      </c>
      <c r="R15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0" s="1" t="str">
        <f t="shared" si="419"/>
        <v>قرارداد فروش</v>
      </c>
      <c r="T1590" s="1" t="str">
        <f t="shared" si="420"/>
        <v>ندارد</v>
      </c>
      <c r="U1590" s="1" t="str">
        <f>"پيرالي مجيد(1045ج 94)"</f>
        <v>پيرالي مجيد(1045ج 94)</v>
      </c>
      <c r="V1590" s="1">
        <v>951900312</v>
      </c>
      <c r="W1590" s="1">
        <v>951900312</v>
      </c>
      <c r="X1590" s="1" t="str">
        <f>"1395470955"</f>
        <v>1395470955</v>
      </c>
      <c r="Y1590" s="1" t="str">
        <f>"95/12/25"</f>
        <v>95/12/25</v>
      </c>
      <c r="Z1590" s="1" t="str">
        <f>"65986/710"</f>
        <v>65986/710</v>
      </c>
      <c r="AA1590" s="1" t="str">
        <f>"سازمان راهداري وحمل نقل جاده اي"</f>
        <v>سازمان راهداري وحمل نقل جاده اي</v>
      </c>
      <c r="AB1590" s="1" t="str">
        <f>"95/12/22"</f>
        <v>95/12/22</v>
      </c>
      <c r="AC1590" s="1" t="str">
        <f>"استان كرمانشاه"</f>
        <v>استان كرمانشاه</v>
      </c>
      <c r="AD1590" s="1" t="str">
        <f>"95/12/24"</f>
        <v>95/12/24</v>
      </c>
      <c r="AE1590" s="1" t="str">
        <f t="shared" si="424"/>
        <v>اختتام</v>
      </c>
      <c r="AF1590" s="1" t="str">
        <f>""</f>
        <v/>
      </c>
      <c r="AG1590" s="1" t="str">
        <f>""</f>
        <v/>
      </c>
      <c r="AH1590" s="1" t="str">
        <f>""</f>
        <v/>
      </c>
      <c r="AI1590" s="1" t="str">
        <f>""</f>
        <v/>
      </c>
      <c r="AJ1590" s="1" t="str">
        <f>""</f>
        <v/>
      </c>
      <c r="AK1590" s="1" t="str">
        <f>""</f>
        <v/>
      </c>
    </row>
    <row r="1591" spans="1:37" x14ac:dyDescent="0.2">
      <c r="A1591" s="1">
        <v>280000</v>
      </c>
      <c r="B1591" s="1">
        <v>951900073</v>
      </c>
      <c r="C1591" s="1" t="str">
        <f>"تخليه - جاده همدان-بيجار روبروي راهدارخانه سوباشي-شرکت اروند راه امير"</f>
        <v>تخليه - جاده همدان-بيجار روبروي راهدارخانه سوباشي-شرکت اروند راه امير</v>
      </c>
      <c r="D1591" s="1">
        <v>6726</v>
      </c>
      <c r="E1591" s="1">
        <v>278880</v>
      </c>
      <c r="F1591" s="1">
        <v>95</v>
      </c>
      <c r="G1591" s="1">
        <v>1120</v>
      </c>
      <c r="H1591" s="1" t="str">
        <f>"95/05/05"</f>
        <v>95/05/05</v>
      </c>
      <c r="I1591" s="1" t="str">
        <f t="shared" si="418"/>
        <v>كيلوگرم</v>
      </c>
      <c r="J1591" s="1" t="str">
        <f t="shared" si="427"/>
        <v>0000000091</v>
      </c>
      <c r="K1591" s="1" t="str">
        <f t="shared" si="428"/>
        <v>قير  PG64-22</v>
      </c>
      <c r="L1591" s="1">
        <v>100</v>
      </c>
      <c r="M1591" s="1" t="str">
        <f t="shared" si="423"/>
        <v>مخازن قير اصفهان</v>
      </c>
      <c r="N1591" s="1">
        <v>10631</v>
      </c>
      <c r="O1591" s="1">
        <v>50031360</v>
      </c>
      <c r="P1591" s="1" t="str">
        <f>"  اكباتان سازه توان باختر"</f>
        <v xml:space="preserve">  اكباتان سازه توان باختر</v>
      </c>
      <c r="Q1591" s="1">
        <v>19</v>
      </c>
      <c r="R15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1" s="1" t="str">
        <f t="shared" si="419"/>
        <v>قرارداد فروش</v>
      </c>
      <c r="T1591" s="1" t="str">
        <f t="shared" si="420"/>
        <v>ندارد</v>
      </c>
      <c r="U1591" s="1" t="str">
        <f>"حاجيلوئي علي اصغر(2842019)"</f>
        <v>حاجيلوئي علي اصغر(2842019)</v>
      </c>
      <c r="V1591" s="1">
        <v>951900073</v>
      </c>
      <c r="W1591" s="1">
        <v>951900073</v>
      </c>
      <c r="X1591" s="1" t="str">
        <f>"1395418060"</f>
        <v>1395418060</v>
      </c>
      <c r="Y1591" s="1" t="str">
        <f>"95/05/05"</f>
        <v>95/05/05</v>
      </c>
      <c r="Z1591" s="1" t="str">
        <f>"19110/510"</f>
        <v>19110/510</v>
      </c>
      <c r="AA1591" s="1" t="str">
        <f>"سازمان راهداري وحمل نقل جاده اي"</f>
        <v>سازمان راهداري وحمل نقل جاده اي</v>
      </c>
      <c r="AB1591" s="1" t="str">
        <f>"95/05/02"</f>
        <v>95/05/02</v>
      </c>
      <c r="AC1591" s="1" t="str">
        <f>"استان همدان"</f>
        <v>استان همدان</v>
      </c>
      <c r="AD1591" s="1" t="str">
        <f>"95/05/05"</f>
        <v>95/05/05</v>
      </c>
      <c r="AE1591" s="1" t="str">
        <f t="shared" ref="AE1591:AE1622" si="429">"اختتام"</f>
        <v>اختتام</v>
      </c>
      <c r="AF1591" s="1" t="str">
        <f>""</f>
        <v/>
      </c>
      <c r="AG1591" s="1" t="str">
        <f>""</f>
        <v/>
      </c>
      <c r="AH1591" s="1" t="str">
        <f>""</f>
        <v/>
      </c>
      <c r="AI1591" s="1" t="str">
        <f>""</f>
        <v/>
      </c>
      <c r="AJ1591" s="1" t="str">
        <f>""</f>
        <v/>
      </c>
      <c r="AK1591" s="1" t="str">
        <f>""</f>
        <v/>
      </c>
    </row>
    <row r="1592" spans="1:37" x14ac:dyDescent="0.2">
      <c r="A1592" s="1">
        <v>200000</v>
      </c>
      <c r="B1592" s="1">
        <v>951900165</v>
      </c>
      <c r="C1592" s="1" t="str">
        <f>"تخليه -كهگيلويه وبويراحمد-كارخانه آسفالت زارع ومظفرواقع درورودي دهدشت -خيرآباد"</f>
        <v>تخليه -كهگيلويه وبويراحمد-كارخانه آسفالت زارع ومظفرواقع درورودي دهدشت -خيرآباد</v>
      </c>
      <c r="D1592" s="1">
        <v>8323</v>
      </c>
      <c r="E1592" s="1">
        <v>22360</v>
      </c>
      <c r="F1592" s="1">
        <v>95</v>
      </c>
      <c r="G1592" s="1">
        <v>177640</v>
      </c>
      <c r="H1592" s="1" t="str">
        <f>"95/08/06"</f>
        <v>95/08/06</v>
      </c>
      <c r="I1592" s="1" t="str">
        <f t="shared" si="418"/>
        <v>كيلوگرم</v>
      </c>
      <c r="J1592" s="1" t="str">
        <f t="shared" si="427"/>
        <v>0000000091</v>
      </c>
      <c r="K1592" s="1" t="str">
        <f t="shared" si="428"/>
        <v>قير  PG64-22</v>
      </c>
      <c r="L1592" s="1">
        <v>100</v>
      </c>
      <c r="M1592" s="1" t="str">
        <f t="shared" si="423"/>
        <v>مخازن قير اصفهان</v>
      </c>
      <c r="N1592" s="1">
        <v>10686</v>
      </c>
      <c r="O1592" s="1">
        <v>50032299</v>
      </c>
      <c r="P1592" s="1" t="str">
        <f>"  عمارت گسترآويشن"</f>
        <v xml:space="preserve">  عمارت گسترآويشن</v>
      </c>
      <c r="Q1592" s="1">
        <v>19</v>
      </c>
      <c r="R15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2" s="1" t="str">
        <f t="shared" si="419"/>
        <v>قرارداد فروش</v>
      </c>
      <c r="T1592" s="1" t="str">
        <f t="shared" si="420"/>
        <v>ندارد</v>
      </c>
      <c r="U1592" s="1" t="str">
        <f>"غلام نجفي سيامك‌‌‌‌‌‌(1881082)"</f>
        <v>غلام نجفي سيامك‌‌‌‌‌‌(1881082)</v>
      </c>
      <c r="V1592" s="1">
        <v>951900165</v>
      </c>
      <c r="W1592" s="1">
        <v>951900165</v>
      </c>
      <c r="X1592" s="1" t="str">
        <f>"1395414111"</f>
        <v>1395414111</v>
      </c>
      <c r="Y1592" s="1" t="str">
        <f>"95/08/06"</f>
        <v>95/08/06</v>
      </c>
      <c r="Z1592" s="1" t="str">
        <f>"15885/510"</f>
        <v>15885/510</v>
      </c>
      <c r="AA1592" s="1" t="str">
        <f>"سازمان راهداري وحمل نقل جاده اي"</f>
        <v>سازمان راهداري وحمل نقل جاده اي</v>
      </c>
      <c r="AB1592" s="1" t="str">
        <f>"95/04/13"</f>
        <v>95/04/13</v>
      </c>
      <c r="AC1592" s="1" t="str">
        <f>"كهكيلويه و بوير احمد"</f>
        <v>كهكيلويه و بوير احمد</v>
      </c>
      <c r="AD1592" s="1" t="str">
        <f>"95/04/19"</f>
        <v>95/04/19</v>
      </c>
      <c r="AE1592" s="1" t="str">
        <f t="shared" si="429"/>
        <v>اختتام</v>
      </c>
      <c r="AF1592" s="1" t="str">
        <f>""</f>
        <v/>
      </c>
      <c r="AG1592" s="1" t="str">
        <f>""</f>
        <v/>
      </c>
      <c r="AH1592" s="1" t="str">
        <f>""</f>
        <v/>
      </c>
      <c r="AI1592" s="1" t="str">
        <f>""</f>
        <v/>
      </c>
      <c r="AJ1592" s="1" t="str">
        <f>""</f>
        <v/>
      </c>
      <c r="AK1592" s="1" t="str">
        <f>""</f>
        <v/>
      </c>
    </row>
    <row r="1593" spans="1:37" x14ac:dyDescent="0.2">
      <c r="A1593" s="1">
        <v>500000</v>
      </c>
      <c r="B1593" s="1">
        <v>951700166</v>
      </c>
      <c r="C1593" s="1" t="str">
        <f>"تخليه -لرستان -اليگودرزجاده ازناروبه روي پليس راه جاده قطب صنعتي كارخانه آسفالت هادي زاده"</f>
        <v>تخليه -لرستان -اليگودرزجاده ازناروبه روي پليس راه جاده قطب صنعتي كارخانه آسفالت هادي زاده</v>
      </c>
      <c r="D1593" s="1">
        <v>7176</v>
      </c>
      <c r="E1593" s="1">
        <v>499140</v>
      </c>
      <c r="F1593" s="1">
        <v>95</v>
      </c>
      <c r="G1593" s="1">
        <v>860</v>
      </c>
      <c r="H1593" s="1" t="str">
        <f>"95/06/03"</f>
        <v>95/06/03</v>
      </c>
      <c r="I1593" s="1" t="str">
        <f t="shared" si="418"/>
        <v>كيلوگرم</v>
      </c>
      <c r="J1593" s="1" t="str">
        <f t="shared" si="427"/>
        <v>0000000091</v>
      </c>
      <c r="K1593" s="1" t="str">
        <f t="shared" si="428"/>
        <v>قير  PG64-22</v>
      </c>
      <c r="L1593" s="1">
        <v>100</v>
      </c>
      <c r="M1593" s="1" t="str">
        <f t="shared" si="423"/>
        <v>مخازن قير اصفهان</v>
      </c>
      <c r="N1593" s="1">
        <v>10911</v>
      </c>
      <c r="O1593" s="1">
        <v>50031607</v>
      </c>
      <c r="P1593" s="1" t="str">
        <f>"  سازمان توسعه ونوسازي معادن وصنايع معدني ايران"</f>
        <v xml:space="preserve">  سازمان توسعه ونوسازي معادن وصنايع معدني ايران</v>
      </c>
      <c r="Q1593" s="1">
        <v>17</v>
      </c>
      <c r="R1593" s="1" t="str">
        <f>"فروش داخلي تهران - وزارت راه - راه روستايي - روکش"</f>
        <v>فروش داخلي تهران - وزارت راه - راه روستايي - روکش</v>
      </c>
      <c r="S1593" s="1" t="str">
        <f t="shared" si="419"/>
        <v>قرارداد فروش</v>
      </c>
      <c r="T1593" s="1" t="str">
        <f t="shared" si="420"/>
        <v>ندارد</v>
      </c>
      <c r="U1593" s="1" t="str">
        <f>"رضائي كلهر حسن (1901099)"</f>
        <v>رضائي كلهر حسن (1901099)</v>
      </c>
      <c r="V1593" s="1">
        <v>951700166</v>
      </c>
      <c r="W1593" s="1">
        <v>951700166</v>
      </c>
      <c r="X1593" s="1" t="str">
        <f>"1395426744"</f>
        <v>1395426744</v>
      </c>
      <c r="Y1593" s="1" t="str">
        <f>"95/06/03"</f>
        <v>95/06/03</v>
      </c>
      <c r="Z1593" s="1" t="str">
        <f>"24698/510"</f>
        <v>24698/510</v>
      </c>
      <c r="AA1593" s="1" t="str">
        <f>"راه روستائي -روكش"</f>
        <v>راه روستائي -روكش</v>
      </c>
      <c r="AB1593" s="1" t="str">
        <f>"95/05/30"</f>
        <v>95/05/30</v>
      </c>
      <c r="AC1593" s="1" t="str">
        <f>"لرستان"</f>
        <v>لرستان</v>
      </c>
      <c r="AD1593" s="1" t="str">
        <f>"95/06/03"</f>
        <v>95/06/03</v>
      </c>
      <c r="AE1593" s="1" t="str">
        <f t="shared" si="429"/>
        <v>اختتام</v>
      </c>
      <c r="AF1593" s="1" t="str">
        <f>""</f>
        <v/>
      </c>
      <c r="AG1593" s="1" t="str">
        <f>""</f>
        <v/>
      </c>
      <c r="AH1593" s="1" t="str">
        <f>""</f>
        <v/>
      </c>
      <c r="AI1593" s="1" t="str">
        <f>""</f>
        <v/>
      </c>
      <c r="AJ1593" s="1" t="str">
        <f>""</f>
        <v/>
      </c>
      <c r="AK1593" s="1" t="str">
        <f>""</f>
        <v/>
      </c>
    </row>
    <row r="1594" spans="1:37" x14ac:dyDescent="0.2">
      <c r="A1594" s="1">
        <v>300000</v>
      </c>
      <c r="B1594" s="1">
        <v>951900237</v>
      </c>
      <c r="C1594" s="1" t="str">
        <f>"تخليه خراسان رضوي پروژه مرمت رويه وآسفالت حفاظتي گنابادبجستان"</f>
        <v>تخليه خراسان رضوي پروژه مرمت رويه وآسفالت حفاظتي گنابادبجستان</v>
      </c>
      <c r="D1594" s="1">
        <v>9061</v>
      </c>
      <c r="E1594" s="1">
        <v>259320</v>
      </c>
      <c r="F1594" s="1">
        <v>95</v>
      </c>
      <c r="G1594" s="1">
        <v>40680</v>
      </c>
      <c r="H1594" s="1" t="str">
        <f>"95/10/12"</f>
        <v>95/10/12</v>
      </c>
      <c r="I1594" s="1" t="str">
        <f t="shared" si="418"/>
        <v>كيلوگرم</v>
      </c>
      <c r="J1594" s="1" t="str">
        <f t="shared" si="427"/>
        <v>0000000091</v>
      </c>
      <c r="K1594" s="1" t="str">
        <f t="shared" si="428"/>
        <v>قير  PG64-22</v>
      </c>
      <c r="L1594" s="1">
        <v>100</v>
      </c>
      <c r="M1594" s="1" t="str">
        <f t="shared" si="423"/>
        <v>مخازن قير اصفهان</v>
      </c>
      <c r="N1594" s="1">
        <v>10964</v>
      </c>
      <c r="O1594" s="1">
        <v>50033251</v>
      </c>
      <c r="P1594" s="1" t="str">
        <f>"  ساختماني ماژان راه بيهق"</f>
        <v xml:space="preserve">  ساختماني ماژان راه بيهق</v>
      </c>
      <c r="Q1594" s="1">
        <v>19</v>
      </c>
      <c r="R159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4" s="1" t="str">
        <f t="shared" si="419"/>
        <v>قرارداد فروش</v>
      </c>
      <c r="T1594" s="1" t="str">
        <f t="shared" si="420"/>
        <v>ندارد</v>
      </c>
      <c r="U1594" s="1" t="str">
        <f>"معماريان سعيد(1004ج89)"</f>
        <v>معماريان سعيد(1004ج89)</v>
      </c>
      <c r="V1594" s="1">
        <v>951900237</v>
      </c>
      <c r="W1594" s="1">
        <v>951900237</v>
      </c>
      <c r="X1594" s="1" t="str">
        <f>"1395456222"</f>
        <v>1395456222</v>
      </c>
      <c r="Y1594" s="1" t="str">
        <f>"95/10/12"</f>
        <v>95/10/12</v>
      </c>
      <c r="Z1594" s="1" t="str">
        <f>"48410/710"</f>
        <v>48410/710</v>
      </c>
      <c r="AA1594" s="1" t="str">
        <f>"سازمان راهداري وحمل نقل جاده اي"</f>
        <v>سازمان راهداري وحمل نقل جاده اي</v>
      </c>
      <c r="AB1594" s="1" t="str">
        <f>"95/10/04"</f>
        <v>95/10/04</v>
      </c>
      <c r="AC1594" s="1" t="str">
        <f>"خراسان رضوي"</f>
        <v>خراسان رضوي</v>
      </c>
      <c r="AD1594" s="1" t="str">
        <f>"95/10/12"</f>
        <v>95/10/12</v>
      </c>
      <c r="AE1594" s="1" t="str">
        <f t="shared" si="429"/>
        <v>اختتام</v>
      </c>
      <c r="AF1594" s="1" t="str">
        <f>""</f>
        <v/>
      </c>
      <c r="AG1594" s="1" t="str">
        <f>""</f>
        <v/>
      </c>
      <c r="AH1594" s="1" t="str">
        <f>""</f>
        <v/>
      </c>
      <c r="AI1594" s="1" t="str">
        <f>""</f>
        <v/>
      </c>
      <c r="AJ1594" s="1" t="str">
        <f>""</f>
        <v/>
      </c>
      <c r="AK1594" s="1" t="str">
        <f>""</f>
        <v/>
      </c>
    </row>
    <row r="1595" spans="1:37" x14ac:dyDescent="0.2">
      <c r="A1595" s="1">
        <v>100000</v>
      </c>
      <c r="B1595" s="1">
        <v>951900112</v>
      </c>
      <c r="C1595" s="1" t="str">
        <f>"تخليه - همدان پليس راه بهار جاده چشمه قصابان کارخانه سيمين راه بهار"</f>
        <v>تخليه - همدان پليس راه بهار جاده چشمه قصابان کارخانه سيمين راه بهار</v>
      </c>
      <c r="D1595" s="1">
        <v>6726</v>
      </c>
      <c r="E1595" s="1">
        <v>100000</v>
      </c>
      <c r="F1595" s="1">
        <v>95</v>
      </c>
      <c r="G1595" s="1">
        <v>0</v>
      </c>
      <c r="H1595" s="1" t="str">
        <f>"95/05/23"</f>
        <v>95/05/23</v>
      </c>
      <c r="I1595" s="1" t="str">
        <f t="shared" si="418"/>
        <v>كيلوگرم</v>
      </c>
      <c r="J1595" s="1" t="str">
        <f t="shared" si="427"/>
        <v>0000000091</v>
      </c>
      <c r="K1595" s="1" t="str">
        <f t="shared" si="428"/>
        <v>قير  PG64-22</v>
      </c>
      <c r="L1595" s="1">
        <v>100</v>
      </c>
      <c r="M1595" s="1" t="str">
        <f t="shared" si="423"/>
        <v>مخازن قير اصفهان</v>
      </c>
      <c r="N1595" s="1">
        <v>11028</v>
      </c>
      <c r="O1595" s="1">
        <v>50031501</v>
      </c>
      <c r="P1595" s="1" t="str">
        <f>"  مهندسي مهدسازه نوين"</f>
        <v xml:space="preserve">  مهندسي مهدسازه نوين</v>
      </c>
      <c r="Q1595" s="1">
        <v>19</v>
      </c>
      <c r="R159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5" s="1" t="str">
        <f t="shared" si="419"/>
        <v>قرارداد فروش</v>
      </c>
      <c r="T1595" s="1" t="str">
        <f t="shared" si="420"/>
        <v>ندارد</v>
      </c>
      <c r="U1595" s="1" t="str">
        <f>"حاجيلوئي علي اصغر(2842019)"</f>
        <v>حاجيلوئي علي اصغر(2842019)</v>
      </c>
      <c r="V1595" s="1">
        <v>951900112</v>
      </c>
      <c r="W1595" s="1">
        <v>951900112</v>
      </c>
      <c r="X1595" s="1" t="str">
        <f>"1395421996"</f>
        <v>1395421996</v>
      </c>
      <c r="Y1595" s="1" t="str">
        <f>"95/05/23"</f>
        <v>95/05/23</v>
      </c>
      <c r="Z1595" s="1" t="str">
        <f>"21517/510"</f>
        <v>21517/510</v>
      </c>
      <c r="AA1595" s="1" t="str">
        <f>"سازمان راهداري وحمل نقل جاده اي"</f>
        <v>سازمان راهداري وحمل نقل جاده اي</v>
      </c>
      <c r="AB1595" s="1" t="str">
        <f>"95/05/13"</f>
        <v>95/05/13</v>
      </c>
      <c r="AC1595" s="1" t="str">
        <f>"استان همدان"</f>
        <v>استان همدان</v>
      </c>
      <c r="AD1595" s="1" t="str">
        <f>"95/05/18"</f>
        <v>95/05/18</v>
      </c>
      <c r="AE1595" s="1" t="str">
        <f t="shared" si="429"/>
        <v>اختتام</v>
      </c>
      <c r="AF1595" s="1" t="str">
        <f>""</f>
        <v/>
      </c>
      <c r="AG1595" s="1" t="str">
        <f>""</f>
        <v/>
      </c>
      <c r="AH1595" s="1" t="str">
        <f>""</f>
        <v/>
      </c>
      <c r="AI1595" s="1" t="str">
        <f>""</f>
        <v/>
      </c>
      <c r="AJ1595" s="1" t="str">
        <f>""</f>
        <v/>
      </c>
      <c r="AK1595" s="1" t="str">
        <f>""</f>
        <v/>
      </c>
    </row>
    <row r="1596" spans="1:37" x14ac:dyDescent="0.2">
      <c r="A1596" s="1">
        <v>500000</v>
      </c>
      <c r="B1596" s="1">
        <v>951900093</v>
      </c>
      <c r="C1596" s="1" t="str">
        <f>"تخليه -خراسان جنوبي قاين كيلومتر25قاين گنابادكارخانه آسفالت دنابنيان"</f>
        <v>تخليه -خراسان جنوبي قاين كيلومتر25قاين گنابادكارخانه آسفالت دنابنيان</v>
      </c>
      <c r="D1596" s="1">
        <v>6726</v>
      </c>
      <c r="E1596" s="1">
        <v>500000</v>
      </c>
      <c r="F1596" s="1">
        <v>95</v>
      </c>
      <c r="G1596" s="1">
        <v>0</v>
      </c>
      <c r="H1596" s="1" t="str">
        <f>"95/05/16"</f>
        <v>95/05/16</v>
      </c>
      <c r="I1596" s="1" t="str">
        <f t="shared" si="418"/>
        <v>كيلوگرم</v>
      </c>
      <c r="J1596" s="1" t="str">
        <f t="shared" si="427"/>
        <v>0000000091</v>
      </c>
      <c r="K1596" s="1" t="str">
        <f t="shared" si="428"/>
        <v>قير  PG64-22</v>
      </c>
      <c r="L1596" s="1">
        <v>100</v>
      </c>
      <c r="M1596" s="1" t="str">
        <f t="shared" si="423"/>
        <v>مخازن قير اصفهان</v>
      </c>
      <c r="N1596" s="1">
        <v>11053</v>
      </c>
      <c r="O1596" s="1">
        <v>50031443</v>
      </c>
      <c r="P1596" s="1" t="str">
        <f>"  آوارادين شرق"</f>
        <v xml:space="preserve">  آوارادين شرق</v>
      </c>
      <c r="Q1596" s="1">
        <v>19</v>
      </c>
      <c r="R159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6" s="1" t="str">
        <f t="shared" si="419"/>
        <v>قرارداد فروش</v>
      </c>
      <c r="T1596" s="1" t="str">
        <f t="shared" si="420"/>
        <v>ندارد</v>
      </c>
      <c r="U1596" s="1" t="str">
        <f>"كاردان اسپادان راه مصطفي  (1911100)"</f>
        <v>كاردان اسپادان راه مصطفي  (1911100)</v>
      </c>
      <c r="V1596" s="1">
        <v>951900093</v>
      </c>
      <c r="W1596" s="1">
        <v>951900093</v>
      </c>
      <c r="X1596" s="1" t="str">
        <f>"1395421164"</f>
        <v>1395421164</v>
      </c>
      <c r="Y1596" s="1" t="str">
        <f>"95/05/16"</f>
        <v>95/05/16</v>
      </c>
      <c r="Z1596" s="1" t="str">
        <f>"20090/510"</f>
        <v>20090/510</v>
      </c>
      <c r="AA1596" s="1" t="str">
        <f>"سازمان راهداري وحمل نقل جاده اي"</f>
        <v>سازمان راهداري وحمل نقل جاده اي</v>
      </c>
      <c r="AB1596" s="1" t="str">
        <f>"95/05/06"</f>
        <v>95/05/06</v>
      </c>
      <c r="AC1596" s="1" t="str">
        <f>"خراسان جنوبي"</f>
        <v>خراسان جنوبي</v>
      </c>
      <c r="AD1596" s="1" t="str">
        <f>"95/05/13"</f>
        <v>95/05/13</v>
      </c>
      <c r="AE1596" s="1" t="str">
        <f t="shared" si="429"/>
        <v>اختتام</v>
      </c>
      <c r="AF1596" s="1" t="str">
        <f>""</f>
        <v/>
      </c>
      <c r="AG1596" s="1" t="str">
        <f>""</f>
        <v/>
      </c>
      <c r="AH1596" s="1" t="str">
        <f>""</f>
        <v/>
      </c>
      <c r="AI1596" s="1" t="str">
        <f>""</f>
        <v/>
      </c>
      <c r="AJ1596" s="1" t="str">
        <f>""</f>
        <v/>
      </c>
      <c r="AK1596" s="1" t="str">
        <f>""</f>
        <v/>
      </c>
    </row>
    <row r="1597" spans="1:37" x14ac:dyDescent="0.2">
      <c r="A1597" s="1">
        <v>300000</v>
      </c>
      <c r="B1597" s="1">
        <v>951900241</v>
      </c>
      <c r="C1597" s="1" t="str">
        <f>"تخليه شركت زرين سپاهان  اصفهان"</f>
        <v>تخليه شركت زرين سپاهان  اصفهان</v>
      </c>
      <c r="D1597" s="1">
        <v>9061</v>
      </c>
      <c r="E1597" s="1">
        <v>295540</v>
      </c>
      <c r="F1597" s="1">
        <v>95</v>
      </c>
      <c r="G1597" s="1">
        <v>4460</v>
      </c>
      <c r="H1597" s="1" t="str">
        <f>"95/10/15"</f>
        <v>95/10/15</v>
      </c>
      <c r="I1597" s="1" t="str">
        <f t="shared" si="418"/>
        <v>كيلوگرم</v>
      </c>
      <c r="J1597" s="1" t="str">
        <f t="shared" si="427"/>
        <v>0000000091</v>
      </c>
      <c r="K1597" s="1" t="str">
        <f t="shared" si="428"/>
        <v>قير  PG64-22</v>
      </c>
      <c r="L1597" s="1">
        <v>100</v>
      </c>
      <c r="M1597" s="1" t="str">
        <f t="shared" si="423"/>
        <v>مخازن قير اصفهان</v>
      </c>
      <c r="N1597" s="1">
        <v>11066</v>
      </c>
      <c r="O1597" s="1">
        <v>50033298</v>
      </c>
      <c r="P1597" s="1" t="str">
        <f>"  برج سازان شاهوار"</f>
        <v xml:space="preserve">  برج سازان شاهوار</v>
      </c>
      <c r="Q1597" s="1">
        <v>19</v>
      </c>
      <c r="R159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7" s="1" t="str">
        <f t="shared" si="419"/>
        <v>قرارداد فروش</v>
      </c>
      <c r="T1597" s="1" t="str">
        <f t="shared" si="420"/>
        <v>ندارد</v>
      </c>
      <c r="U1597" s="1" t="str">
        <f>"حاصليان ترابرجنوب مرتضي حاصلي (4844006)"</f>
        <v>حاصليان ترابرجنوب مرتضي حاصلي (4844006)</v>
      </c>
      <c r="V1597" s="1">
        <v>951900241</v>
      </c>
      <c r="W1597" s="1">
        <v>951900241</v>
      </c>
      <c r="X1597" s="1" t="str">
        <f>"1395457297"</f>
        <v>1395457297</v>
      </c>
      <c r="Y1597" s="1" t="str">
        <f>"95/10/15"</f>
        <v>95/10/15</v>
      </c>
      <c r="Z1597" s="1" t="str">
        <f>"49697/710"</f>
        <v>49697/710</v>
      </c>
      <c r="AA1597" s="1" t="str">
        <f>"سازمان راهداري وحمل نقل جاده اي"</f>
        <v>سازمان راهداري وحمل نقل جاده اي</v>
      </c>
      <c r="AB1597" s="1" t="str">
        <f>"95/10/11"</f>
        <v>95/10/11</v>
      </c>
      <c r="AC1597" s="1" t="str">
        <f>"خراسان رضوي"</f>
        <v>خراسان رضوي</v>
      </c>
      <c r="AD1597" s="1" t="str">
        <f>"95/10/15"</f>
        <v>95/10/15</v>
      </c>
      <c r="AE1597" s="1" t="str">
        <f t="shared" si="429"/>
        <v>اختتام</v>
      </c>
      <c r="AF1597" s="1" t="str">
        <f>""</f>
        <v/>
      </c>
      <c r="AG1597" s="1" t="str">
        <f>""</f>
        <v/>
      </c>
      <c r="AH1597" s="1" t="str">
        <f>""</f>
        <v/>
      </c>
      <c r="AI1597" s="1" t="str">
        <f>""</f>
        <v/>
      </c>
      <c r="AJ1597" s="1" t="str">
        <f>""</f>
        <v/>
      </c>
      <c r="AK1597" s="1" t="str">
        <f>""</f>
        <v/>
      </c>
    </row>
    <row r="1598" spans="1:37" x14ac:dyDescent="0.2">
      <c r="A1598" s="1">
        <v>156800</v>
      </c>
      <c r="B1598" s="1">
        <v>951900177</v>
      </c>
      <c r="C1598" s="1" t="str">
        <f>"تخليه -كرمانشاه شهرستان سنقرپشت مزارشهدادره قره قيا-كارخانه آسفالت بتن شيب غرب"</f>
        <v>تخليه -كرمانشاه شهرستان سنقرپشت مزارشهدادره قره قيا-كارخانه آسفالت بتن شيب غرب</v>
      </c>
      <c r="D1598" s="1">
        <v>8323</v>
      </c>
      <c r="E1598" s="1">
        <v>155340</v>
      </c>
      <c r="F1598" s="1">
        <v>95</v>
      </c>
      <c r="G1598" s="1">
        <v>1460</v>
      </c>
      <c r="H1598" s="1" t="str">
        <f>"95/08/06"</f>
        <v>95/08/06</v>
      </c>
      <c r="I1598" s="1" t="str">
        <f t="shared" si="418"/>
        <v>كيلوگرم</v>
      </c>
      <c r="J1598" s="1" t="str">
        <f t="shared" si="427"/>
        <v>0000000091</v>
      </c>
      <c r="K1598" s="1" t="str">
        <f t="shared" si="428"/>
        <v>قير  PG64-22</v>
      </c>
      <c r="L1598" s="1">
        <v>100</v>
      </c>
      <c r="M1598" s="1" t="str">
        <f t="shared" si="423"/>
        <v>مخازن قير اصفهان</v>
      </c>
      <c r="N1598" s="1">
        <v>11072</v>
      </c>
      <c r="O1598" s="1">
        <v>50032317</v>
      </c>
      <c r="P1598" s="1" t="str">
        <f>"  استواربتن سازان كرمانشاه"</f>
        <v xml:space="preserve">  استواربتن سازان كرمانشاه</v>
      </c>
      <c r="Q1598" s="1">
        <v>19</v>
      </c>
      <c r="R15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98" s="1" t="str">
        <f t="shared" si="419"/>
        <v>قرارداد فروش</v>
      </c>
      <c r="T1598" s="1" t="str">
        <f t="shared" si="420"/>
        <v>ندارد</v>
      </c>
      <c r="U1598" s="1" t="str">
        <f>"عظيمي محمد(2842015)"</f>
        <v>عظيمي محمد(2842015)</v>
      </c>
      <c r="V1598" s="1">
        <v>951900177</v>
      </c>
      <c r="W1598" s="1">
        <v>951900177</v>
      </c>
      <c r="X1598" s="1" t="str">
        <f>"1395433841"</f>
        <v>1395433841</v>
      </c>
      <c r="Y1598" s="1" t="str">
        <f>"95/08/06"</f>
        <v>95/08/06</v>
      </c>
      <c r="Z1598" s="1" t="str">
        <f>"31302/510"</f>
        <v>31302/510</v>
      </c>
      <c r="AA1598" s="1" t="str">
        <f>"سازمان راهداري وحمل نقل جاده اي"</f>
        <v>سازمان راهداري وحمل نقل جاده اي</v>
      </c>
      <c r="AB1598" s="1" t="str">
        <f>"95/06/31"</f>
        <v>95/06/31</v>
      </c>
      <c r="AC1598" s="1" t="str">
        <f>"استان كرمانشاه"</f>
        <v>استان كرمانشاه</v>
      </c>
      <c r="AD1598" s="1" t="str">
        <f>"95/07/05"</f>
        <v>95/07/05</v>
      </c>
      <c r="AE1598" s="1" t="str">
        <f t="shared" si="429"/>
        <v>اختتام</v>
      </c>
      <c r="AF1598" s="1" t="str">
        <f>""</f>
        <v/>
      </c>
      <c r="AG1598" s="1" t="str">
        <f>""</f>
        <v/>
      </c>
      <c r="AH1598" s="1" t="str">
        <f>""</f>
        <v/>
      </c>
      <c r="AI1598" s="1" t="str">
        <f>""</f>
        <v/>
      </c>
      <c r="AJ1598" s="1" t="str">
        <f>""</f>
        <v/>
      </c>
      <c r="AK1598" s="1" t="str">
        <f>""</f>
        <v/>
      </c>
    </row>
    <row r="1599" spans="1:37" x14ac:dyDescent="0.2">
      <c r="A1599" s="1">
        <v>700000</v>
      </c>
      <c r="B1599" s="1">
        <v>951700073</v>
      </c>
      <c r="C1599" s="1" t="str">
        <f>"تخليه -كرمان كيلومتر10محورسيرجان بافت شركت سيرجان عمران تداوم"</f>
        <v>تخليه -كرمان كيلومتر10محورسيرجان بافت شركت سيرجان عمران تداوم</v>
      </c>
      <c r="D1599" s="1">
        <v>6250</v>
      </c>
      <c r="E1599" s="1">
        <v>334740</v>
      </c>
      <c r="F1599" s="1">
        <v>95</v>
      </c>
      <c r="G1599" s="1">
        <v>365260</v>
      </c>
      <c r="H1599" s="1" t="str">
        <f>"95/04/08"</f>
        <v>95/04/08</v>
      </c>
      <c r="I1599" s="1" t="str">
        <f t="shared" si="418"/>
        <v>كيلوگرم</v>
      </c>
      <c r="J1599" s="1" t="str">
        <f t="shared" si="427"/>
        <v>0000000091</v>
      </c>
      <c r="K1599" s="1" t="str">
        <f t="shared" si="428"/>
        <v>قير  PG64-22</v>
      </c>
      <c r="L1599" s="1">
        <v>100</v>
      </c>
      <c r="M1599" s="1" t="str">
        <f t="shared" si="423"/>
        <v>مخازن قير اصفهان</v>
      </c>
      <c r="N1599" s="1">
        <v>11118</v>
      </c>
      <c r="O1599" s="1">
        <v>50031154</v>
      </c>
      <c r="P1599" s="1" t="str">
        <f>"  مهندسي پاياراه سازه كارمانيا"</f>
        <v xml:space="preserve">  مهندسي پاياراه سازه كارمانيا</v>
      </c>
      <c r="Q1599" s="1">
        <v>17</v>
      </c>
      <c r="R1599" s="1" t="str">
        <f>"فروش داخلي تهران - وزارت راه - راه روستايي - روکش"</f>
        <v>فروش داخلي تهران - وزارت راه - راه روستايي - روکش</v>
      </c>
      <c r="S1599" s="1" t="str">
        <f t="shared" si="419"/>
        <v>قرارداد فروش</v>
      </c>
      <c r="T1599" s="1" t="str">
        <f t="shared" si="420"/>
        <v>ندارد</v>
      </c>
      <c r="U1599" s="1" t="str">
        <f>"خضرائي فريدون(4844003)"</f>
        <v>خضرائي فريدون(4844003)</v>
      </c>
      <c r="V1599" s="1">
        <v>951700073</v>
      </c>
      <c r="W1599" s="1">
        <v>951700073</v>
      </c>
      <c r="X1599" s="1" t="str">
        <f>"1395411403"</f>
        <v>1395411403</v>
      </c>
      <c r="Y1599" s="1" t="str">
        <f>"95/04/08"</f>
        <v>95/04/08</v>
      </c>
      <c r="Z1599" s="1" t="str">
        <f>"13375/510"</f>
        <v>13375/510</v>
      </c>
      <c r="AA1599" s="1" t="str">
        <f>"راه روستائي -روكش"</f>
        <v>راه روستائي -روكش</v>
      </c>
      <c r="AB1599" s="1" t="str">
        <f>"95/03/31"</f>
        <v>95/03/31</v>
      </c>
      <c r="AC1599" s="1" t="str">
        <f>"استان كرمان"</f>
        <v>استان كرمان</v>
      </c>
      <c r="AD1599" s="1" t="str">
        <f>"95/04/06"</f>
        <v>95/04/06</v>
      </c>
      <c r="AE1599" s="1" t="str">
        <f t="shared" si="429"/>
        <v>اختتام</v>
      </c>
      <c r="AF1599" s="1" t="str">
        <f>""</f>
        <v/>
      </c>
      <c r="AG1599" s="1" t="str">
        <f>""</f>
        <v/>
      </c>
      <c r="AH1599" s="1" t="str">
        <f>""</f>
        <v/>
      </c>
      <c r="AI1599" s="1" t="str">
        <f>""</f>
        <v/>
      </c>
      <c r="AJ1599" s="1" t="str">
        <f>""</f>
        <v/>
      </c>
      <c r="AK1599" s="1" t="str">
        <f>""</f>
        <v/>
      </c>
    </row>
    <row r="1600" spans="1:37" x14ac:dyDescent="0.2">
      <c r="A1600" s="1">
        <v>67000</v>
      </c>
      <c r="B1600" s="1">
        <v>951700133</v>
      </c>
      <c r="C1600" s="1" t="str">
        <f>"تخليه - کرمانشاه-جاده سنقر-کارخانه آسفالت دره سبز برناج"</f>
        <v>تخليه - کرمانشاه-جاده سنقر-کارخانه آسفالت دره سبز برناج</v>
      </c>
      <c r="D1600" s="1">
        <v>6726</v>
      </c>
      <c r="E1600" s="1">
        <v>66660</v>
      </c>
      <c r="F1600" s="1">
        <v>95</v>
      </c>
      <c r="G1600" s="1">
        <v>340</v>
      </c>
      <c r="H1600" s="1" t="str">
        <f>"95/05/12"</f>
        <v>95/05/12</v>
      </c>
      <c r="I1600" s="1" t="str">
        <f t="shared" si="418"/>
        <v>كيلوگرم</v>
      </c>
      <c r="J1600" s="1" t="str">
        <f t="shared" si="427"/>
        <v>0000000091</v>
      </c>
      <c r="K1600" s="1" t="str">
        <f t="shared" si="428"/>
        <v>قير  PG64-22</v>
      </c>
      <c r="L1600" s="1">
        <v>100</v>
      </c>
      <c r="M1600" s="1" t="str">
        <f t="shared" si="423"/>
        <v>مخازن قير اصفهان</v>
      </c>
      <c r="N1600" s="1">
        <v>11122</v>
      </c>
      <c r="O1600" s="1">
        <v>50031408</v>
      </c>
      <c r="P1600" s="1" t="str">
        <f>"  اسكان عمران بيستون"</f>
        <v xml:space="preserve">  اسكان عمران بيستون</v>
      </c>
      <c r="Q1600" s="1">
        <v>17</v>
      </c>
      <c r="R1600" s="1" t="str">
        <f>"فروش داخلي تهران - وزارت راه - راه روستايي - روکش"</f>
        <v>فروش داخلي تهران - وزارت راه - راه روستايي - روکش</v>
      </c>
      <c r="S1600" s="1" t="str">
        <f t="shared" si="419"/>
        <v>قرارداد فروش</v>
      </c>
      <c r="T1600" s="1" t="str">
        <f t="shared" si="420"/>
        <v>ندارد</v>
      </c>
      <c r="U1600" s="1" t="str">
        <f>"عظيمي محمد(2842015)"</f>
        <v>عظيمي محمد(2842015)</v>
      </c>
      <c r="V1600" s="1">
        <v>951700133</v>
      </c>
      <c r="W1600" s="1">
        <v>951700133</v>
      </c>
      <c r="X1600" s="1" t="str">
        <f>"1395419834"</f>
        <v>1395419834</v>
      </c>
      <c r="Y1600" s="1" t="str">
        <f>"95/05/12"</f>
        <v>95/05/12</v>
      </c>
      <c r="Z1600" s="1" t="str">
        <f>"19529/510"</f>
        <v>19529/510</v>
      </c>
      <c r="AA1600" s="1" t="str">
        <f>"راه روستائي -روكش"</f>
        <v>راه روستائي -روكش</v>
      </c>
      <c r="AB1600" s="1" t="str">
        <f>"95/05/03"</f>
        <v>95/05/03</v>
      </c>
      <c r="AC1600" s="1" t="str">
        <f>"استان كرمانشاه"</f>
        <v>استان كرمانشاه</v>
      </c>
      <c r="AD1600" s="1" t="str">
        <f>"95/05/11"</f>
        <v>95/05/11</v>
      </c>
      <c r="AE1600" s="1" t="str">
        <f t="shared" si="429"/>
        <v>اختتام</v>
      </c>
      <c r="AF1600" s="1" t="str">
        <f>""</f>
        <v/>
      </c>
      <c r="AG1600" s="1" t="str">
        <f>""</f>
        <v/>
      </c>
      <c r="AH1600" s="1" t="str">
        <f>""</f>
        <v/>
      </c>
      <c r="AI1600" s="1" t="str">
        <f>""</f>
        <v/>
      </c>
      <c r="AJ1600" s="1" t="str">
        <f>""</f>
        <v/>
      </c>
      <c r="AK1600" s="1" t="str">
        <f>""</f>
        <v/>
      </c>
    </row>
    <row r="1601" spans="1:37" x14ac:dyDescent="0.2">
      <c r="A1601" s="1">
        <v>150000</v>
      </c>
      <c r="B1601" s="1">
        <v>951900107</v>
      </c>
      <c r="C1601" s="1" t="str">
        <f>"تخليه -اصفهان مباركه مقابل طالخونچه كارخانه سپاهان"</f>
        <v>تخليه -اصفهان مباركه مقابل طالخونچه كارخانه سپاهان</v>
      </c>
      <c r="D1601" s="1">
        <v>6726</v>
      </c>
      <c r="E1601" s="1">
        <v>149440</v>
      </c>
      <c r="F1601" s="1">
        <v>95</v>
      </c>
      <c r="G1601" s="1">
        <v>560</v>
      </c>
      <c r="H1601" s="1" t="str">
        <f>"95/05/18"</f>
        <v>95/05/18</v>
      </c>
      <c r="I1601" s="1" t="str">
        <f t="shared" si="418"/>
        <v>كيلوگرم</v>
      </c>
      <c r="J1601" s="1" t="str">
        <f t="shared" si="427"/>
        <v>0000000091</v>
      </c>
      <c r="K1601" s="1" t="str">
        <f t="shared" si="428"/>
        <v>قير  PG64-22</v>
      </c>
      <c r="L1601" s="1">
        <v>100</v>
      </c>
      <c r="M1601" s="1" t="str">
        <f t="shared" si="423"/>
        <v>مخازن قير اصفهان</v>
      </c>
      <c r="N1601" s="1">
        <v>11147</v>
      </c>
      <c r="O1601" s="1">
        <v>50031484</v>
      </c>
      <c r="P1601" s="1" t="str">
        <f>"  تعاوني برآيندسازه اسپادانا"</f>
        <v xml:space="preserve">  تعاوني برآيندسازه اسپادانا</v>
      </c>
      <c r="Q1601" s="1">
        <v>19</v>
      </c>
      <c r="R16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01" s="1" t="str">
        <f t="shared" si="419"/>
        <v>قرارداد فروش</v>
      </c>
      <c r="T1601" s="1" t="str">
        <f t="shared" si="420"/>
        <v>ندارد</v>
      </c>
      <c r="U1601" s="1" t="str">
        <f>"شهبازي محمدرضا(1029ج89)"</f>
        <v>شهبازي محمدرضا(1029ج89)</v>
      </c>
      <c r="V1601" s="1">
        <v>951900107</v>
      </c>
      <c r="W1601" s="1">
        <v>951900107</v>
      </c>
      <c r="X1601" s="1" t="str">
        <f>"1395421983"</f>
        <v>1395421983</v>
      </c>
      <c r="Y1601" s="1" t="str">
        <f>"95/05/18"</f>
        <v>95/05/18</v>
      </c>
      <c r="Z1601" s="1" t="str">
        <f>"21876/510"</f>
        <v>21876/510</v>
      </c>
      <c r="AA1601" s="1" t="str">
        <f>"سازمان راهداري وحمل نقل جاده اي"</f>
        <v>سازمان راهداري وحمل نقل جاده اي</v>
      </c>
      <c r="AB1601" s="1" t="str">
        <f>"95/05/16"</f>
        <v>95/05/16</v>
      </c>
      <c r="AC1601" s="1" t="str">
        <f>"استان اصفهان"</f>
        <v>استان اصفهان</v>
      </c>
      <c r="AD1601" s="1" t="str">
        <f>"95/05/18"</f>
        <v>95/05/18</v>
      </c>
      <c r="AE1601" s="1" t="str">
        <f t="shared" si="429"/>
        <v>اختتام</v>
      </c>
      <c r="AF1601" s="1" t="str">
        <f>""</f>
        <v/>
      </c>
      <c r="AG1601" s="1" t="str">
        <f>""</f>
        <v/>
      </c>
      <c r="AH1601" s="1" t="str">
        <f>""</f>
        <v/>
      </c>
      <c r="AI1601" s="1" t="str">
        <f>""</f>
        <v/>
      </c>
      <c r="AJ1601" s="1" t="str">
        <f>""</f>
        <v/>
      </c>
      <c r="AK1601" s="1" t="str">
        <f>""</f>
        <v/>
      </c>
    </row>
    <row r="1602" spans="1:37" x14ac:dyDescent="0.2">
      <c r="A1602" s="1">
        <v>3000000</v>
      </c>
      <c r="B1602" s="1">
        <v>951800055</v>
      </c>
      <c r="C1602" s="1" t="str">
        <f>"تخليه تهران كيلومتر78آزادراه حرم تاحرم شركت نفت و گازمحمديان"</f>
        <v>تخليه تهران كيلومتر78آزادراه حرم تاحرم شركت نفت و گازمحمديان</v>
      </c>
      <c r="D1602" s="1">
        <v>7176</v>
      </c>
      <c r="E1602" s="1">
        <v>2548420</v>
      </c>
      <c r="F1602" s="1">
        <v>95</v>
      </c>
      <c r="G1602" s="1">
        <v>451580</v>
      </c>
      <c r="H1602" s="1" t="str">
        <f>"95/06/04"</f>
        <v>95/06/04</v>
      </c>
      <c r="I1602" s="1" t="str">
        <f t="shared" ref="I1602:I1665" si="430">"كيلوگرم"</f>
        <v>كيلوگرم</v>
      </c>
      <c r="J1602" s="1" t="str">
        <f t="shared" si="427"/>
        <v>0000000091</v>
      </c>
      <c r="K1602" s="1" t="str">
        <f t="shared" si="428"/>
        <v>قير  PG64-22</v>
      </c>
      <c r="L1602" s="1">
        <v>100</v>
      </c>
      <c r="M1602" s="1" t="str">
        <f t="shared" si="423"/>
        <v>مخازن قير اصفهان</v>
      </c>
      <c r="N1602" s="1">
        <v>11164</v>
      </c>
      <c r="O1602" s="1">
        <v>50031625</v>
      </c>
      <c r="P1602" s="1" t="str">
        <f>"  قرارگاه سازندگي خاتم الانبياء(ص )"</f>
        <v xml:space="preserve">  قرارگاه سازندگي خاتم الانبياء(ص )</v>
      </c>
      <c r="Q1602" s="1">
        <v>18</v>
      </c>
      <c r="R1602" s="1" t="str">
        <f>"فروش داخلي تهران - وزارت راه - شرکت ساخت و توسعه راهها"</f>
        <v>فروش داخلي تهران - وزارت راه - شرکت ساخت و توسعه راهها</v>
      </c>
      <c r="S1602" s="1" t="str">
        <f t="shared" ref="S1602:S1665" si="431">"قرارداد فروش"</f>
        <v>قرارداد فروش</v>
      </c>
      <c r="T1602" s="1" t="str">
        <f t="shared" ref="T1602:T1665" si="432">"ندارد"</f>
        <v>ندارد</v>
      </c>
      <c r="U1602" s="1" t="str">
        <f>"شيشه بر كريم(1841016)"</f>
        <v>شيشه بر كريم(1841016)</v>
      </c>
      <c r="V1602" s="1">
        <v>951800055</v>
      </c>
      <c r="W1602" s="1">
        <v>951800055</v>
      </c>
      <c r="X1602" s="1" t="str">
        <f>"1395426731"</f>
        <v>1395426731</v>
      </c>
      <c r="Y1602" s="1" t="str">
        <f>"95/06/04"</f>
        <v>95/06/04</v>
      </c>
      <c r="Z1602" s="1" t="str">
        <f>"23826/510"</f>
        <v>23826/510</v>
      </c>
      <c r="AA1602" s="1" t="str">
        <f>"شركت  ساخت وتوسعه راهها"</f>
        <v>شركت  ساخت وتوسعه راهها</v>
      </c>
      <c r="AB1602" s="1" t="str">
        <f>"95/05/26"</f>
        <v>95/05/26</v>
      </c>
      <c r="AC1602" s="1" t="str">
        <f>"استان تهران"</f>
        <v>استان تهران</v>
      </c>
      <c r="AD1602" s="1" t="str">
        <f>"95/06/03"</f>
        <v>95/06/03</v>
      </c>
      <c r="AE1602" s="1" t="str">
        <f t="shared" si="429"/>
        <v>اختتام</v>
      </c>
      <c r="AF1602" s="1" t="str">
        <f>""</f>
        <v/>
      </c>
      <c r="AG1602" s="1" t="str">
        <f>""</f>
        <v/>
      </c>
      <c r="AH1602" s="1" t="str">
        <f>""</f>
        <v/>
      </c>
      <c r="AI1602" s="1" t="str">
        <f>""</f>
        <v/>
      </c>
      <c r="AJ1602" s="1" t="str">
        <f>""</f>
        <v/>
      </c>
      <c r="AK1602" s="1" t="str">
        <f>""</f>
        <v/>
      </c>
    </row>
    <row r="1603" spans="1:37" x14ac:dyDescent="0.2">
      <c r="A1603" s="1">
        <v>500000</v>
      </c>
      <c r="B1603" s="1">
        <v>956100008</v>
      </c>
      <c r="C1603" s="1" t="str">
        <f>"تخليه قم جاده قديم قم كاشان جاده كهك صرم كارخانه شركت گستراميدصرم"</f>
        <v>تخليه قم جاده قديم قم كاشان جاده كهك صرم كارخانه شركت گستراميدصرم</v>
      </c>
      <c r="D1603" s="1">
        <v>7176</v>
      </c>
      <c r="E1603" s="1">
        <v>270560</v>
      </c>
      <c r="F1603" s="1">
        <v>95</v>
      </c>
      <c r="G1603" s="1">
        <v>229440</v>
      </c>
      <c r="H1603" s="1" t="str">
        <f>"95/06/10"</f>
        <v>95/06/10</v>
      </c>
      <c r="I1603" s="1" t="str">
        <f t="shared" si="430"/>
        <v>كيلوگرم</v>
      </c>
      <c r="J1603" s="1" t="str">
        <f t="shared" si="427"/>
        <v>0000000091</v>
      </c>
      <c r="K1603" s="1" t="str">
        <f t="shared" si="428"/>
        <v>قير  PG64-22</v>
      </c>
      <c r="L1603" s="1">
        <v>100</v>
      </c>
      <c r="M1603" s="1" t="str">
        <f t="shared" si="423"/>
        <v>مخازن قير اصفهان</v>
      </c>
      <c r="N1603" s="1">
        <v>11166</v>
      </c>
      <c r="O1603" s="1">
        <v>50031737</v>
      </c>
      <c r="P1603" s="1" t="str">
        <f>"  دي"</f>
        <v xml:space="preserve">  دي</v>
      </c>
      <c r="Q1603" s="1">
        <v>61</v>
      </c>
      <c r="R1603" s="1" t="str">
        <f>"فروش داخلي - وزارت راه - مسكن مهر"</f>
        <v>فروش داخلي - وزارت راه - مسكن مهر</v>
      </c>
      <c r="S1603" s="1" t="str">
        <f t="shared" si="431"/>
        <v>قرارداد فروش</v>
      </c>
      <c r="T1603" s="1" t="str">
        <f t="shared" si="432"/>
        <v>ندارد</v>
      </c>
      <c r="U1603" s="1" t="str">
        <f>"اميري علي(2842011)"</f>
        <v>اميري علي(2842011)</v>
      </c>
      <c r="V1603" s="1">
        <v>956100008</v>
      </c>
      <c r="W1603" s="1">
        <v>956100008</v>
      </c>
      <c r="X1603" s="1" t="str">
        <f>"1395427791"</f>
        <v>1395427791</v>
      </c>
      <c r="Y1603" s="1" t="str">
        <f>"95/06/10"</f>
        <v>95/06/10</v>
      </c>
      <c r="Z1603" s="1" t="str">
        <f>"23749/510"</f>
        <v>23749/510</v>
      </c>
      <c r="AA1603" s="1" t="str">
        <f>"مسكن مهر-وزارت راه"</f>
        <v>مسكن مهر-وزارت راه</v>
      </c>
      <c r="AB1603" s="1" t="str">
        <f>"95/05/25"</f>
        <v>95/05/25</v>
      </c>
      <c r="AC1603" s="1" t="str">
        <f>"قم"</f>
        <v>قم</v>
      </c>
      <c r="AD1603" s="1" t="str">
        <f>"95/06/09"</f>
        <v>95/06/09</v>
      </c>
      <c r="AE1603" s="1" t="str">
        <f t="shared" si="429"/>
        <v>اختتام</v>
      </c>
      <c r="AF1603" s="1" t="str">
        <f>""</f>
        <v/>
      </c>
      <c r="AG1603" s="1" t="str">
        <f>""</f>
        <v/>
      </c>
      <c r="AH1603" s="1" t="str">
        <f>""</f>
        <v/>
      </c>
      <c r="AI1603" s="1" t="str">
        <f>""</f>
        <v/>
      </c>
      <c r="AJ1603" s="1" t="str">
        <f>""</f>
        <v/>
      </c>
      <c r="AK1603" s="1" t="str">
        <f>""</f>
        <v/>
      </c>
    </row>
    <row r="1604" spans="1:37" x14ac:dyDescent="0.2">
      <c r="A1604" s="1">
        <v>500000</v>
      </c>
      <c r="B1604" s="1">
        <v>951900279</v>
      </c>
      <c r="C1604" s="1" t="str">
        <f>"تخليه - يزد-کارخانه آسفالت سازمان همياري شهرداري در بافق"</f>
        <v>تخليه - يزد-کارخانه آسفالت سازمان همياري شهرداري در بافق</v>
      </c>
      <c r="D1604" s="1">
        <v>9354</v>
      </c>
      <c r="E1604" s="1">
        <v>500000</v>
      </c>
      <c r="F1604" s="1">
        <v>95</v>
      </c>
      <c r="G1604" s="1">
        <v>0</v>
      </c>
      <c r="H1604" s="1" t="str">
        <f>"95/12/14"</f>
        <v>95/12/14</v>
      </c>
      <c r="I1604" s="1" t="str">
        <f t="shared" si="430"/>
        <v>كيلوگرم</v>
      </c>
      <c r="J1604" s="1" t="str">
        <f t="shared" si="427"/>
        <v>0000000091</v>
      </c>
      <c r="K1604" s="1" t="str">
        <f t="shared" si="428"/>
        <v>قير  PG64-22</v>
      </c>
      <c r="L1604" s="1">
        <v>100</v>
      </c>
      <c r="M1604" s="1" t="str">
        <f t="shared" si="423"/>
        <v>مخازن قير اصفهان</v>
      </c>
      <c r="N1604" s="1">
        <v>11270</v>
      </c>
      <c r="O1604" s="1">
        <v>50034031</v>
      </c>
      <c r="P1604" s="1" t="str">
        <f>"  اداره كل راهداري وحمل ونقل جاده اي يزد"</f>
        <v xml:space="preserve">  اداره كل راهداري وحمل ونقل جاده اي يزد</v>
      </c>
      <c r="Q1604" s="1">
        <v>19</v>
      </c>
      <c r="R16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04" s="1" t="str">
        <f t="shared" si="431"/>
        <v>قرارداد فروش</v>
      </c>
      <c r="T1604" s="1" t="str">
        <f t="shared" si="432"/>
        <v>ندارد</v>
      </c>
      <c r="U1604" s="1" t="str">
        <f>"قانعي محمدرضا(1011ج89)"</f>
        <v>قانعي محمدرضا(1011ج89)</v>
      </c>
      <c r="V1604" s="1">
        <v>951900279</v>
      </c>
      <c r="W1604" s="1">
        <v>951900279</v>
      </c>
      <c r="X1604" s="1" t="str">
        <f>"1395468799"</f>
        <v>1395468799</v>
      </c>
      <c r="Y1604" s="1" t="str">
        <f>"95/12/14"</f>
        <v>95/12/14</v>
      </c>
      <c r="Z1604" s="1" t="str">
        <f>"62391/710"</f>
        <v>62391/710</v>
      </c>
      <c r="AA1604" s="1" t="str">
        <f>"سازمان راهداري وحمل نقل جاده اي"</f>
        <v>سازمان راهداري وحمل نقل جاده اي</v>
      </c>
      <c r="AB1604" s="1" t="str">
        <f>"95/12/09"</f>
        <v>95/12/09</v>
      </c>
      <c r="AC1604" s="1" t="str">
        <f>"استان يزد"</f>
        <v>استان يزد</v>
      </c>
      <c r="AD1604" s="1" t="str">
        <f>"95/12/11"</f>
        <v>95/12/11</v>
      </c>
      <c r="AE1604" s="1" t="str">
        <f t="shared" si="429"/>
        <v>اختتام</v>
      </c>
      <c r="AF1604" s="1" t="str">
        <f>""</f>
        <v/>
      </c>
      <c r="AG1604" s="1" t="str">
        <f>""</f>
        <v/>
      </c>
      <c r="AH1604" s="1" t="str">
        <f>""</f>
        <v/>
      </c>
      <c r="AI1604" s="1" t="str">
        <f>""</f>
        <v/>
      </c>
      <c r="AJ1604" s="1" t="str">
        <f>""</f>
        <v/>
      </c>
      <c r="AK1604" s="1" t="str">
        <f>""</f>
        <v/>
      </c>
    </row>
    <row r="1605" spans="1:37" x14ac:dyDescent="0.2">
      <c r="A1605" s="1">
        <v>100000</v>
      </c>
      <c r="B1605" s="1">
        <v>951400170</v>
      </c>
      <c r="C1605" s="1" t="str">
        <f>"تخليه خراسان رضوي نيشابوركيلومتر3جاده فولادكارخانه آسفالت دل حفره"</f>
        <v>تخليه خراسان رضوي نيشابوركيلومتر3جاده فولادكارخانه آسفالت دل حفره</v>
      </c>
      <c r="D1605" s="1">
        <v>8998</v>
      </c>
      <c r="E1605" s="1">
        <v>96740</v>
      </c>
      <c r="F1605" s="1">
        <v>95</v>
      </c>
      <c r="G1605" s="1">
        <v>3260</v>
      </c>
      <c r="H1605" s="1" t="str">
        <f>"95/12/03"</f>
        <v>95/12/03</v>
      </c>
      <c r="I1605" s="1" t="str">
        <f t="shared" si="430"/>
        <v>كيلوگرم</v>
      </c>
      <c r="J1605" s="1" t="str">
        <f t="shared" si="427"/>
        <v>0000000091</v>
      </c>
      <c r="K1605" s="1" t="str">
        <f t="shared" si="428"/>
        <v>قير  PG64-22</v>
      </c>
      <c r="L1605" s="1">
        <v>100</v>
      </c>
      <c r="M1605" s="1" t="str">
        <f t="shared" si="423"/>
        <v>مخازن قير اصفهان</v>
      </c>
      <c r="N1605" s="1">
        <v>11271</v>
      </c>
      <c r="O1605" s="1">
        <v>50033831</v>
      </c>
      <c r="P1605" s="1" t="str">
        <f>"  كيان محورهومان"</f>
        <v xml:space="preserve">  كيان محورهومان</v>
      </c>
      <c r="Q1605" s="1">
        <v>14</v>
      </c>
      <c r="R1605" s="1" t="str">
        <f>"فروش داخلي - وزارت راه - حوزه راه روستايي ساخت"</f>
        <v>فروش داخلي - وزارت راه - حوزه راه روستايي ساخت</v>
      </c>
      <c r="S1605" s="1" t="str">
        <f t="shared" si="431"/>
        <v>قرارداد فروش</v>
      </c>
      <c r="T1605" s="1" t="str">
        <f t="shared" si="432"/>
        <v>ندارد</v>
      </c>
      <c r="U1605" s="1" t="str">
        <f>"حسيني سيدجواد(1841076)"</f>
        <v>حسيني سيدجواد(1841076)</v>
      </c>
      <c r="V1605" s="1">
        <v>951400170</v>
      </c>
      <c r="W1605" s="1">
        <v>951400170</v>
      </c>
      <c r="X1605" s="1" t="str">
        <f>"1395466555"</f>
        <v>1395466555</v>
      </c>
      <c r="Y1605" s="1" t="str">
        <f>"95/12/03"</f>
        <v>95/12/03</v>
      </c>
      <c r="Z1605" s="1" t="str">
        <f>"59152/710"</f>
        <v>59152/710</v>
      </c>
      <c r="AA1605" s="1" t="str">
        <f>"راه وروستايي -ساخت"</f>
        <v>راه وروستايي -ساخت</v>
      </c>
      <c r="AB1605" s="1" t="str">
        <f>"95/11/26"</f>
        <v>95/11/26</v>
      </c>
      <c r="AC1605" s="1" t="str">
        <f>"خراسان رضوي"</f>
        <v>خراسان رضوي</v>
      </c>
      <c r="AD1605" s="1" t="str">
        <f>"95/12/03"</f>
        <v>95/12/03</v>
      </c>
      <c r="AE1605" s="1" t="str">
        <f t="shared" si="429"/>
        <v>اختتام</v>
      </c>
      <c r="AF1605" s="1" t="str">
        <f>""</f>
        <v/>
      </c>
      <c r="AG1605" s="1" t="str">
        <f>""</f>
        <v/>
      </c>
      <c r="AH1605" s="1" t="str">
        <f>""</f>
        <v/>
      </c>
      <c r="AI1605" s="1" t="str">
        <f>""</f>
        <v/>
      </c>
      <c r="AJ1605" s="1" t="str">
        <f>""</f>
        <v/>
      </c>
      <c r="AK1605" s="1" t="str">
        <f>""</f>
        <v/>
      </c>
    </row>
    <row r="1606" spans="1:37" x14ac:dyDescent="0.2">
      <c r="A1606" s="1">
        <v>150000</v>
      </c>
      <c r="B1606" s="1">
        <v>951900293</v>
      </c>
      <c r="C1606" s="1" t="str">
        <f>"تخليه لرستان الشتركيلومتر6جاده خرگوش ناب كارخانه آسفالت شركت دانه بندي سلسله"</f>
        <v>تخليه لرستان الشتركيلومتر6جاده خرگوش ناب كارخانه آسفالت شركت دانه بندي سلسله</v>
      </c>
      <c r="D1606" s="1">
        <v>9354</v>
      </c>
      <c r="E1606" s="1">
        <v>148940</v>
      </c>
      <c r="F1606" s="1">
        <v>95</v>
      </c>
      <c r="G1606" s="1">
        <v>1060</v>
      </c>
      <c r="H1606" s="1" t="str">
        <f>"95/12/19"</f>
        <v>95/12/19</v>
      </c>
      <c r="I1606" s="1" t="str">
        <f t="shared" si="430"/>
        <v>كيلوگرم</v>
      </c>
      <c r="J1606" s="1" t="str">
        <f t="shared" si="427"/>
        <v>0000000091</v>
      </c>
      <c r="K1606" s="1" t="str">
        <f t="shared" si="428"/>
        <v>قير  PG64-22</v>
      </c>
      <c r="L1606" s="1">
        <v>100</v>
      </c>
      <c r="M1606" s="1" t="str">
        <f t="shared" si="423"/>
        <v>مخازن قير اصفهان</v>
      </c>
      <c r="N1606" s="1">
        <v>11295</v>
      </c>
      <c r="O1606" s="1">
        <v>50034099</v>
      </c>
      <c r="P1606" s="1" t="str">
        <f>"  اداره كل راهداري وحمل ونقل جاده اي لرستان"</f>
        <v xml:space="preserve">  اداره كل راهداري وحمل ونقل جاده اي لرستان</v>
      </c>
      <c r="Q1606" s="1">
        <v>19</v>
      </c>
      <c r="R160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06" s="1" t="str">
        <f t="shared" si="431"/>
        <v>قرارداد فروش</v>
      </c>
      <c r="T1606" s="1" t="str">
        <f t="shared" si="432"/>
        <v>ندارد</v>
      </c>
      <c r="U1606" s="1" t="str">
        <f>"ريسماني حسن(1007ج89)"</f>
        <v>ريسماني حسن(1007ج89)</v>
      </c>
      <c r="V1606" s="1">
        <v>951900293</v>
      </c>
      <c r="W1606" s="1">
        <v>951900293</v>
      </c>
      <c r="X1606" s="1" t="str">
        <f>"1395470074"</f>
        <v>1395470074</v>
      </c>
      <c r="Y1606" s="1" t="str">
        <f>"95/12/19"</f>
        <v>95/12/19</v>
      </c>
      <c r="Z1606" s="1" t="str">
        <f>"64842/710"</f>
        <v>64842/710</v>
      </c>
      <c r="AA1606" s="1" t="str">
        <f>"سازمان راهداري وحمل نقل جاده اي"</f>
        <v>سازمان راهداري وحمل نقل جاده اي</v>
      </c>
      <c r="AB1606" s="1" t="str">
        <f>"95/12/17"</f>
        <v>95/12/17</v>
      </c>
      <c r="AC1606" s="1" t="str">
        <f>"لرستان"</f>
        <v>لرستان</v>
      </c>
      <c r="AD1606" s="1" t="str">
        <f>"95/12/18"</f>
        <v>95/12/18</v>
      </c>
      <c r="AE1606" s="1" t="str">
        <f t="shared" si="429"/>
        <v>اختتام</v>
      </c>
      <c r="AF1606" s="1" t="str">
        <f>""</f>
        <v/>
      </c>
      <c r="AG1606" s="1" t="str">
        <f>""</f>
        <v/>
      </c>
      <c r="AH1606" s="1" t="str">
        <f>""</f>
        <v/>
      </c>
      <c r="AI1606" s="1" t="str">
        <f>""</f>
        <v/>
      </c>
      <c r="AJ1606" s="1" t="str">
        <f>""</f>
        <v/>
      </c>
      <c r="AK1606" s="1" t="str">
        <f>""</f>
        <v/>
      </c>
    </row>
    <row r="1607" spans="1:37" x14ac:dyDescent="0.2">
      <c r="A1607" s="1">
        <v>200000</v>
      </c>
      <c r="B1607" s="1">
        <v>951900307</v>
      </c>
      <c r="C1607" s="1" t="str">
        <f>"تخليه-کرمانشاه-کيلومتر 13 جاده سراب نيلوفر تقاطع سه راهي شاهيني-کارخانه آسفالت شرکت سازه آفرين کردستان"</f>
        <v>تخليه-کرمانشاه-کيلومتر 13 جاده سراب نيلوفر تقاطع سه راهي شاهيني-کارخانه آسفالت شرکت سازه آفرين کردستان</v>
      </c>
      <c r="D1607" s="1">
        <v>8348</v>
      </c>
      <c r="E1607" s="1">
        <v>198580</v>
      </c>
      <c r="F1607" s="1">
        <v>95</v>
      </c>
      <c r="G1607" s="1">
        <v>1420</v>
      </c>
      <c r="H1607" s="1" t="str">
        <f>"95/12/23"</f>
        <v>95/12/23</v>
      </c>
      <c r="I1607" s="1" t="str">
        <f t="shared" si="430"/>
        <v>كيلوگرم</v>
      </c>
      <c r="J1607" s="1" t="str">
        <f t="shared" si="427"/>
        <v>0000000091</v>
      </c>
      <c r="K1607" s="1" t="str">
        <f t="shared" si="428"/>
        <v>قير  PG64-22</v>
      </c>
      <c r="L1607" s="1">
        <v>100</v>
      </c>
      <c r="M1607" s="1" t="str">
        <f t="shared" si="423"/>
        <v>مخازن قير اصفهان</v>
      </c>
      <c r="N1607" s="1">
        <v>11297</v>
      </c>
      <c r="O1607" s="1">
        <v>50034161</v>
      </c>
      <c r="P1607" s="1" t="str">
        <f>"  عمران تابش غرب"</f>
        <v xml:space="preserve">  عمران تابش غرب</v>
      </c>
      <c r="Q1607" s="1">
        <v>19</v>
      </c>
      <c r="R160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07" s="1" t="str">
        <f t="shared" si="431"/>
        <v>قرارداد فروش</v>
      </c>
      <c r="T1607" s="1" t="str">
        <f t="shared" si="432"/>
        <v>ندارد</v>
      </c>
      <c r="U1607" s="1" t="str">
        <f>"ميهن دوست عبداله(2842010)"</f>
        <v>ميهن دوست عبداله(2842010)</v>
      </c>
      <c r="V1607" s="1">
        <v>951900307</v>
      </c>
      <c r="W1607" s="1">
        <v>951900307</v>
      </c>
      <c r="X1607" s="1" t="str">
        <f>"1395470893"</f>
        <v>1395470893</v>
      </c>
      <c r="Y1607" s="1" t="str">
        <f>"95/12/23"</f>
        <v>95/12/23</v>
      </c>
      <c r="Z1607" s="1" t="str">
        <f>"65759/710"</f>
        <v>65759/710</v>
      </c>
      <c r="AA1607" s="1" t="str">
        <f>"سازمان راهداري وحمل نقل جاده اي"</f>
        <v>سازمان راهداري وحمل نقل جاده اي</v>
      </c>
      <c r="AB1607" s="1" t="str">
        <f>"95/12/22"</f>
        <v>95/12/22</v>
      </c>
      <c r="AC1607" s="1" t="str">
        <f>"استان كرمانشاه"</f>
        <v>استان كرمانشاه</v>
      </c>
      <c r="AD1607" s="1" t="str">
        <f>"95/12/23"</f>
        <v>95/12/23</v>
      </c>
      <c r="AE1607" s="1" t="str">
        <f t="shared" si="429"/>
        <v>اختتام</v>
      </c>
      <c r="AF1607" s="1" t="str">
        <f>""</f>
        <v/>
      </c>
      <c r="AG1607" s="1" t="str">
        <f>""</f>
        <v/>
      </c>
      <c r="AH1607" s="1" t="str">
        <f>""</f>
        <v/>
      </c>
      <c r="AI1607" s="1" t="str">
        <f>""</f>
        <v/>
      </c>
      <c r="AJ1607" s="1" t="str">
        <f>""</f>
        <v/>
      </c>
      <c r="AK1607" s="1" t="str">
        <f>""</f>
        <v/>
      </c>
    </row>
    <row r="1608" spans="1:37" x14ac:dyDescent="0.2">
      <c r="A1608" s="1">
        <v>349000</v>
      </c>
      <c r="B1608" s="1">
        <v>956100013</v>
      </c>
      <c r="C1608" s="1" t="str">
        <f>"تخليه : اصفهان - جاده اصفهان مبارکه جنب صنايع هفتم تير کارخانه آسفالت مبارکه  شرکت ساتان"</f>
        <v>تخليه : اصفهان - جاده اصفهان مبارکه جنب صنايع هفتم تير کارخانه آسفالت مبارکه  شرکت ساتان</v>
      </c>
      <c r="D1608" s="1">
        <v>7176</v>
      </c>
      <c r="E1608" s="1">
        <v>347080</v>
      </c>
      <c r="F1608" s="1">
        <v>95</v>
      </c>
      <c r="G1608" s="1">
        <v>1920</v>
      </c>
      <c r="H1608" s="1" t="str">
        <f>"95/06/16"</f>
        <v>95/06/16</v>
      </c>
      <c r="I1608" s="1" t="str">
        <f t="shared" si="430"/>
        <v>كيلوگرم</v>
      </c>
      <c r="J1608" s="1" t="str">
        <f>"0000000092"</f>
        <v>0000000092</v>
      </c>
      <c r="K1608" s="1" t="str">
        <f>"قير  PG64-16"</f>
        <v>قير  PG64-16</v>
      </c>
      <c r="L1608" s="1">
        <v>100</v>
      </c>
      <c r="M1608" s="1" t="str">
        <f t="shared" ref="M1608:M1671" si="433">"مخازن قير اصفهان"</f>
        <v>مخازن قير اصفهان</v>
      </c>
      <c r="N1608" s="1">
        <v>1376</v>
      </c>
      <c r="O1608" s="1">
        <v>50031814</v>
      </c>
      <c r="P1608" s="1" t="str">
        <f>"  ساختماني ساتان"</f>
        <v xml:space="preserve">  ساختماني ساتان</v>
      </c>
      <c r="Q1608" s="1">
        <v>61</v>
      </c>
      <c r="R1608" s="1" t="str">
        <f>"فروش داخلي - وزارت راه - مسكن مهر"</f>
        <v>فروش داخلي - وزارت راه - مسكن مهر</v>
      </c>
      <c r="S1608" s="1" t="str">
        <f t="shared" si="431"/>
        <v>قرارداد فروش</v>
      </c>
      <c r="T1608" s="1" t="str">
        <f t="shared" si="432"/>
        <v>ندارد</v>
      </c>
      <c r="U1608" s="1" t="str">
        <f>"شهبازي محمدرضا(1029ج89)"</f>
        <v>شهبازي محمدرضا(1029ج89)</v>
      </c>
      <c r="V1608" s="1">
        <v>956100013</v>
      </c>
      <c r="W1608" s="1">
        <v>956100013</v>
      </c>
      <c r="X1608" s="1" t="str">
        <f>"1395429275"</f>
        <v>1395429275</v>
      </c>
      <c r="Y1608" s="1" t="str">
        <f>"95/06/16"</f>
        <v>95/06/16</v>
      </c>
      <c r="Z1608" s="1" t="str">
        <f>"28073/510"</f>
        <v>28073/510</v>
      </c>
      <c r="AA1608" s="1" t="str">
        <f>"مسكن مهر-وزارت راه"</f>
        <v>مسكن مهر-وزارت راه</v>
      </c>
      <c r="AB1608" s="1" t="str">
        <f>"95/06/13"</f>
        <v>95/06/13</v>
      </c>
      <c r="AC1608" s="1" t="str">
        <f>"استان اصفهان"</f>
        <v>استان اصفهان</v>
      </c>
      <c r="AD1608" s="1" t="str">
        <f>"95/06/16"</f>
        <v>95/06/16</v>
      </c>
      <c r="AE1608" s="1" t="str">
        <f t="shared" si="429"/>
        <v>اختتام</v>
      </c>
      <c r="AF1608" s="1" t="str">
        <f>""</f>
        <v/>
      </c>
      <c r="AG1608" s="1" t="str">
        <f>""</f>
        <v/>
      </c>
      <c r="AH1608" s="1" t="str">
        <f>""</f>
        <v/>
      </c>
      <c r="AI1608" s="1" t="str">
        <f>""</f>
        <v/>
      </c>
      <c r="AJ1608" s="1" t="str">
        <f>""</f>
        <v/>
      </c>
      <c r="AK1608" s="1" t="str">
        <f>""</f>
        <v/>
      </c>
    </row>
    <row r="1609" spans="1:37" x14ac:dyDescent="0.2">
      <c r="A1609" s="1">
        <v>25000</v>
      </c>
      <c r="B1609" s="1">
        <v>951100082</v>
      </c>
      <c r="C1609" s="1" t="str">
        <f>"تخليه -جوکار-جاده تويسرکان -کارخانه آسفالت کنجوران"</f>
        <v>تخليه -جوکار-جاده تويسرکان -کارخانه آسفالت کنجوران</v>
      </c>
      <c r="D1609" s="1">
        <v>9980</v>
      </c>
      <c r="E1609" s="1">
        <v>23240</v>
      </c>
      <c r="F1609" s="1">
        <v>95</v>
      </c>
      <c r="G1609" s="1">
        <v>1760</v>
      </c>
      <c r="H1609" s="1" t="str">
        <f>"95/04/14"</f>
        <v>95/04/14</v>
      </c>
      <c r="I1609" s="1" t="str">
        <f t="shared" si="430"/>
        <v>كيلوگرم</v>
      </c>
      <c r="J1609" s="1" t="str">
        <f>"1000000003"</f>
        <v>1000000003</v>
      </c>
      <c r="K1609" s="1" t="str">
        <f>"قير MC250"</f>
        <v>قير MC250</v>
      </c>
      <c r="L1609" s="1">
        <v>100</v>
      </c>
      <c r="M1609" s="1" t="str">
        <f t="shared" si="433"/>
        <v>مخازن قير اصفهان</v>
      </c>
      <c r="N1609" s="1">
        <v>10053</v>
      </c>
      <c r="O1609" s="1">
        <v>50031187</v>
      </c>
      <c r="P1609" s="1" t="str">
        <f>"  پوشش راه هگمتانه"</f>
        <v xml:space="preserve">  پوشش راه هگمتانه</v>
      </c>
      <c r="Q1609" s="1">
        <v>11</v>
      </c>
      <c r="R1609" s="1" t="str">
        <f>"فروش داخلي تهران - بورس"</f>
        <v>فروش داخلي تهران - بورس</v>
      </c>
      <c r="S1609" s="1" t="str">
        <f t="shared" si="431"/>
        <v>قرارداد فروش</v>
      </c>
      <c r="T1609" s="1" t="str">
        <f t="shared" si="432"/>
        <v>ندارد</v>
      </c>
      <c r="U1609" s="1" t="str">
        <f>"حاجيلوئي علي اصغر(2842019)"</f>
        <v>حاجيلوئي علي اصغر(2842019)</v>
      </c>
      <c r="V1609" s="1">
        <v>951100082</v>
      </c>
      <c r="W1609" s="1">
        <v>951100082</v>
      </c>
      <c r="X1609" s="1" t="str">
        <f>"1395412581"</f>
        <v>1395412581</v>
      </c>
      <c r="Y1609" s="1" t="str">
        <f>"95/04/13"</f>
        <v>95/04/13</v>
      </c>
      <c r="Z1609" s="1" t="str">
        <f>"95-34568"</f>
        <v>95-34568</v>
      </c>
      <c r="AA1609" s="1" t="str">
        <f>"شهرداريها"</f>
        <v>شهرداريها</v>
      </c>
      <c r="AB1609" s="1" t="str">
        <f>"95/04/13"</f>
        <v>95/04/13</v>
      </c>
      <c r="AC1609" s="1" t="str">
        <f>"استان همدان"</f>
        <v>استان همدان</v>
      </c>
      <c r="AD1609" s="1" t="str">
        <f>"95/04/12"</f>
        <v>95/04/12</v>
      </c>
      <c r="AE1609" s="1" t="str">
        <f t="shared" si="429"/>
        <v>اختتام</v>
      </c>
      <c r="AF1609" s="1" t="str">
        <f>""</f>
        <v/>
      </c>
      <c r="AG1609" s="1" t="str">
        <f>""</f>
        <v/>
      </c>
      <c r="AH1609" s="1" t="str">
        <f>""</f>
        <v/>
      </c>
      <c r="AI1609" s="1" t="str">
        <f>""</f>
        <v/>
      </c>
      <c r="AJ1609" s="1" t="str">
        <f>""</f>
        <v/>
      </c>
      <c r="AK1609" s="1" t="str">
        <f>""</f>
        <v/>
      </c>
    </row>
    <row r="1610" spans="1:37" x14ac:dyDescent="0.2">
      <c r="A1610" s="1">
        <v>183760</v>
      </c>
      <c r="B1610" s="1">
        <v>951800079</v>
      </c>
      <c r="C1610" s="1" t="str">
        <f>"يزد-تفت -كيلومتر5-شركت ناورود"</f>
        <v>يزد-تفت -كيلومتر5-شركت ناورود</v>
      </c>
      <c r="D1610" s="1">
        <v>8323</v>
      </c>
      <c r="E1610" s="1">
        <v>183220</v>
      </c>
      <c r="F1610" s="1">
        <v>95</v>
      </c>
      <c r="G1610" s="1">
        <v>540</v>
      </c>
      <c r="H1610" s="1" t="str">
        <f>"95/08/04"</f>
        <v>95/08/04</v>
      </c>
      <c r="I1610" s="1" t="str">
        <f t="shared" si="430"/>
        <v>كيلوگرم</v>
      </c>
      <c r="J1610" s="1" t="str">
        <f t="shared" ref="J1610:J1615" si="434">"0000000092"</f>
        <v>0000000092</v>
      </c>
      <c r="K1610" s="1" t="str">
        <f t="shared" ref="K1610:K1615" si="435">"قير  PG64-16"</f>
        <v>قير  PG64-16</v>
      </c>
      <c r="L1610" s="1">
        <v>100</v>
      </c>
      <c r="M1610" s="1" t="str">
        <f t="shared" si="433"/>
        <v>مخازن قير اصفهان</v>
      </c>
      <c r="N1610" s="1">
        <v>4062</v>
      </c>
      <c r="O1610" s="1">
        <v>50032255</v>
      </c>
      <c r="P1610" s="1" t="str">
        <f>"  ناورود"</f>
        <v xml:space="preserve">  ناورود</v>
      </c>
      <c r="Q1610" s="1">
        <v>18</v>
      </c>
      <c r="R1610" s="1" t="str">
        <f>"فروش داخلي تهران - وزارت راه - شرکت ساخت و توسعه راهها"</f>
        <v>فروش داخلي تهران - وزارت راه - شرکت ساخت و توسعه راهها</v>
      </c>
      <c r="S1610" s="1" t="str">
        <f t="shared" si="431"/>
        <v>قرارداد فروش</v>
      </c>
      <c r="T1610" s="1" t="str">
        <f t="shared" si="432"/>
        <v>ندارد</v>
      </c>
      <c r="U1610" s="1" t="str">
        <f>"فتاح زاده سيداحمد(3843011)"</f>
        <v>فتاح زاده سيداحمد(3843011)</v>
      </c>
      <c r="V1610" s="1">
        <v>951800079</v>
      </c>
      <c r="W1610" s="1">
        <v>951800079</v>
      </c>
      <c r="X1610" s="1" t="str">
        <f>"1395433832"</f>
        <v>1395433832</v>
      </c>
      <c r="Y1610" s="1" t="str">
        <f>"95/08/04"</f>
        <v>95/08/04</v>
      </c>
      <c r="Z1610" s="1" t="str">
        <f>"31806/510"</f>
        <v>31806/510</v>
      </c>
      <c r="AA1610" s="1" t="str">
        <f>"شركت  ساخت وتوسعه راهها"</f>
        <v>شركت  ساخت وتوسعه راهها</v>
      </c>
      <c r="AB1610" s="1" t="str">
        <f>"95/07/04"</f>
        <v>95/07/04</v>
      </c>
      <c r="AC1610" s="1" t="str">
        <f>"استان يزد"</f>
        <v>استان يزد</v>
      </c>
      <c r="AD1610" s="1" t="str">
        <f>"95/07/05"</f>
        <v>95/07/05</v>
      </c>
      <c r="AE1610" s="1" t="str">
        <f t="shared" si="429"/>
        <v>اختتام</v>
      </c>
      <c r="AF1610" s="1" t="str">
        <f>""</f>
        <v/>
      </c>
      <c r="AG1610" s="1" t="str">
        <f>""</f>
        <v/>
      </c>
      <c r="AH1610" s="1" t="str">
        <f>""</f>
        <v/>
      </c>
      <c r="AI1610" s="1" t="str">
        <f>""</f>
        <v/>
      </c>
      <c r="AJ1610" s="1" t="str">
        <f>""</f>
        <v/>
      </c>
      <c r="AK1610" s="1" t="str">
        <f>""</f>
        <v/>
      </c>
    </row>
    <row r="1611" spans="1:37" x14ac:dyDescent="0.2">
      <c r="A1611" s="1">
        <v>500000</v>
      </c>
      <c r="B1611" s="1">
        <v>951800020</v>
      </c>
      <c r="C1611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1611" s="1">
        <v>6050</v>
      </c>
      <c r="E1611" s="1">
        <v>493980</v>
      </c>
      <c r="F1611" s="1">
        <v>95</v>
      </c>
      <c r="G1611" s="1">
        <v>6020</v>
      </c>
      <c r="H1611" s="1" t="str">
        <f>"95/03/30"</f>
        <v>95/03/30</v>
      </c>
      <c r="I1611" s="1" t="str">
        <f t="shared" si="430"/>
        <v>كيلوگرم</v>
      </c>
      <c r="J1611" s="1" t="str">
        <f t="shared" si="434"/>
        <v>0000000092</v>
      </c>
      <c r="K1611" s="1" t="str">
        <f t="shared" si="435"/>
        <v>قير  PG64-16</v>
      </c>
      <c r="L1611" s="1">
        <v>100</v>
      </c>
      <c r="M1611" s="1" t="str">
        <f t="shared" si="433"/>
        <v>مخازن قير اصفهان</v>
      </c>
      <c r="N1611" s="1">
        <v>4089</v>
      </c>
      <c r="O1611" s="1">
        <v>50031078</v>
      </c>
      <c r="P1611" s="1" t="str">
        <f>"  تعاوني خدمات زيربنائي رفسنجان"</f>
        <v xml:space="preserve">  تعاوني خدمات زيربنائي رفسنجان</v>
      </c>
      <c r="Q1611" s="1">
        <v>18</v>
      </c>
      <c r="R1611" s="1" t="str">
        <f>"فروش داخلي تهران - وزارت راه - شرکت ساخت و توسعه راهها"</f>
        <v>فروش داخلي تهران - وزارت راه - شرکت ساخت و توسعه راهها</v>
      </c>
      <c r="S1611" s="1" t="str">
        <f t="shared" si="431"/>
        <v>قرارداد فروش</v>
      </c>
      <c r="T1611" s="1" t="str">
        <f t="shared" si="432"/>
        <v>ندارد</v>
      </c>
      <c r="U1611" s="1" t="str">
        <f>"تعاوني خدمات زيربنايي رفسنجان (00109)"</f>
        <v>تعاوني خدمات زيربنايي رفسنجان (00109)</v>
      </c>
      <c r="V1611" s="1">
        <v>951800020</v>
      </c>
      <c r="W1611" s="1">
        <v>951800020</v>
      </c>
      <c r="X1611" s="1" t="str">
        <f>"1395410158"</f>
        <v>1395410158</v>
      </c>
      <c r="Y1611" s="1" t="str">
        <f>"95/03/30"</f>
        <v>95/03/30</v>
      </c>
      <c r="Z1611" s="1" t="str">
        <f>"12305/510"</f>
        <v>12305/510</v>
      </c>
      <c r="AA1611" s="1" t="str">
        <f>"شركت  ساخت وتوسعه راهها"</f>
        <v>شركت  ساخت وتوسعه راهها</v>
      </c>
      <c r="AB1611" s="1" t="str">
        <f>"95/03/25"</f>
        <v>95/03/25</v>
      </c>
      <c r="AC1611" s="1" t="str">
        <f>"استان كرمان"</f>
        <v>استان كرمان</v>
      </c>
      <c r="AD1611" s="1" t="str">
        <f>"95/03/30"</f>
        <v>95/03/30</v>
      </c>
      <c r="AE1611" s="1" t="str">
        <f t="shared" si="429"/>
        <v>اختتام</v>
      </c>
      <c r="AF1611" s="1" t="str">
        <f>""</f>
        <v/>
      </c>
      <c r="AG1611" s="1" t="str">
        <f>""</f>
        <v/>
      </c>
      <c r="AH1611" s="1" t="str">
        <f>""</f>
        <v/>
      </c>
      <c r="AI1611" s="1" t="str">
        <f>""</f>
        <v/>
      </c>
      <c r="AJ1611" s="1" t="str">
        <f>""</f>
        <v/>
      </c>
      <c r="AK1611" s="1" t="str">
        <f>""</f>
        <v/>
      </c>
    </row>
    <row r="1612" spans="1:37" x14ac:dyDescent="0.2">
      <c r="A1612" s="1">
        <v>368320</v>
      </c>
      <c r="B1612" s="1">
        <v>951700293</v>
      </c>
      <c r="C1612" s="1" t="str">
        <f>"تخليه فارس نيريزكارخانه سيويل تونل"</f>
        <v>تخليه فارس نيريزكارخانه سيويل تونل</v>
      </c>
      <c r="D1612" s="1">
        <v>9061</v>
      </c>
      <c r="E1612" s="1">
        <v>367740</v>
      </c>
      <c r="F1612" s="1">
        <v>95</v>
      </c>
      <c r="G1612" s="1">
        <v>580</v>
      </c>
      <c r="H1612" s="1" t="str">
        <f>"95/10/05"</f>
        <v>95/10/05</v>
      </c>
      <c r="I1612" s="1" t="str">
        <f t="shared" si="430"/>
        <v>كيلوگرم</v>
      </c>
      <c r="J1612" s="1" t="str">
        <f t="shared" si="434"/>
        <v>0000000092</v>
      </c>
      <c r="K1612" s="1" t="str">
        <f t="shared" si="435"/>
        <v>قير  PG64-16</v>
      </c>
      <c r="L1612" s="1">
        <v>100</v>
      </c>
      <c r="M1612" s="1" t="str">
        <f t="shared" si="433"/>
        <v>مخازن قير اصفهان</v>
      </c>
      <c r="N1612" s="1">
        <v>4133</v>
      </c>
      <c r="O1612" s="1">
        <v>50033137</v>
      </c>
      <c r="P1612" s="1" t="str">
        <f>"  اداره كل راه وشهرسازي فارس"</f>
        <v xml:space="preserve">  اداره كل راه وشهرسازي فارس</v>
      </c>
      <c r="Q1612" s="1">
        <v>17</v>
      </c>
      <c r="R1612" s="1" t="str">
        <f>"فروش داخلي تهران - وزارت راه - راه روستايي - روکش"</f>
        <v>فروش داخلي تهران - وزارت راه - راه روستايي - روکش</v>
      </c>
      <c r="S1612" s="1" t="str">
        <f t="shared" si="431"/>
        <v>قرارداد فروش</v>
      </c>
      <c r="T1612" s="1" t="str">
        <f t="shared" si="432"/>
        <v>ندارد</v>
      </c>
      <c r="U1612" s="1" t="str">
        <f>"دهقانيان بيژن (4954038)"</f>
        <v>دهقانيان بيژن (4954038)</v>
      </c>
      <c r="V1612" s="1">
        <v>951700293</v>
      </c>
      <c r="W1612" s="1">
        <v>951700293</v>
      </c>
      <c r="X1612" s="1" t="str">
        <f>"1395436742"</f>
        <v>1395436742</v>
      </c>
      <c r="Y1612" s="1" t="str">
        <f>"95/10/05"</f>
        <v>95/10/05</v>
      </c>
      <c r="Z1612" s="1" t="str">
        <f>"33980/510"</f>
        <v>33980/510</v>
      </c>
      <c r="AA1612" s="1" t="str">
        <f>"راه روستائي -روكش"</f>
        <v>راه روستائي -روكش</v>
      </c>
      <c r="AB1612" s="1" t="str">
        <f>"95/07/14"</f>
        <v>95/07/14</v>
      </c>
      <c r="AC1612" s="1" t="str">
        <f>"استان فارس"</f>
        <v>استان فارس</v>
      </c>
      <c r="AD1612" s="1" t="str">
        <f>"95/07/17"</f>
        <v>95/07/17</v>
      </c>
      <c r="AE1612" s="1" t="str">
        <f t="shared" si="429"/>
        <v>اختتام</v>
      </c>
      <c r="AF1612" s="1" t="str">
        <f>""</f>
        <v/>
      </c>
      <c r="AG1612" s="1" t="str">
        <f>""</f>
        <v/>
      </c>
      <c r="AH1612" s="1" t="str">
        <f>""</f>
        <v/>
      </c>
      <c r="AI1612" s="1" t="str">
        <f>""</f>
        <v/>
      </c>
      <c r="AJ1612" s="1" t="str">
        <f>""</f>
        <v/>
      </c>
      <c r="AK1612" s="1" t="str">
        <f>""</f>
        <v/>
      </c>
    </row>
    <row r="1613" spans="1:37" x14ac:dyDescent="0.2">
      <c r="A1613" s="1">
        <v>54000</v>
      </c>
      <c r="B1613" s="1">
        <v>951700027</v>
      </c>
      <c r="C1613" s="1" t="str">
        <f>"تخليه -كرمان محوررفسنجان -يزدشركت پ بل"</f>
        <v>تخليه -كرمان محوررفسنجان -يزدشركت پ بل</v>
      </c>
      <c r="D1613" s="1">
        <v>5650</v>
      </c>
      <c r="E1613" s="1">
        <v>54000</v>
      </c>
      <c r="F1613" s="1">
        <v>95</v>
      </c>
      <c r="G1613" s="1">
        <v>0</v>
      </c>
      <c r="H1613" s="1" t="str">
        <f>"95/02/15"</f>
        <v>95/02/15</v>
      </c>
      <c r="I1613" s="1" t="str">
        <f t="shared" si="430"/>
        <v>كيلوگرم</v>
      </c>
      <c r="J1613" s="1" t="str">
        <f t="shared" si="434"/>
        <v>0000000092</v>
      </c>
      <c r="K1613" s="1" t="str">
        <f t="shared" si="435"/>
        <v>قير  PG64-16</v>
      </c>
      <c r="L1613" s="1">
        <v>100</v>
      </c>
      <c r="M1613" s="1" t="str">
        <f t="shared" si="433"/>
        <v>مخازن قير اصفهان</v>
      </c>
      <c r="N1613" s="1">
        <v>7034</v>
      </c>
      <c r="O1613" s="1">
        <v>50030779</v>
      </c>
      <c r="P1613" s="1" t="str">
        <f>"  اداره كل راه وشهرسازي كرمان"</f>
        <v xml:space="preserve">  اداره كل راه وشهرسازي كرمان</v>
      </c>
      <c r="Q1613" s="1">
        <v>17</v>
      </c>
      <c r="R1613" s="1" t="str">
        <f>"فروش داخلي تهران - وزارت راه - راه روستايي - روکش"</f>
        <v>فروش داخلي تهران - وزارت راه - راه روستايي - روکش</v>
      </c>
      <c r="S1613" s="1" t="str">
        <f t="shared" si="431"/>
        <v>قرارداد فروش</v>
      </c>
      <c r="T1613" s="1" t="str">
        <f t="shared" si="432"/>
        <v>ندارد</v>
      </c>
      <c r="U1613" s="1" t="str">
        <f>"خضرائي فريدون(4844003)"</f>
        <v>خضرائي فريدون(4844003)</v>
      </c>
      <c r="V1613" s="1">
        <v>951700027</v>
      </c>
      <c r="W1613" s="1">
        <v>951700027</v>
      </c>
      <c r="X1613" s="1" t="str">
        <f>"1395401964"</f>
        <v>1395401964</v>
      </c>
      <c r="Y1613" s="1" t="str">
        <f>"95/02/15"</f>
        <v>95/02/15</v>
      </c>
      <c r="Z1613" s="1" t="str">
        <f>"67369/510"</f>
        <v>67369/510</v>
      </c>
      <c r="AA1613" s="1" t="str">
        <f>"راه روستائي -روكش"</f>
        <v>راه روستائي -روكش</v>
      </c>
      <c r="AB1613" s="1" t="str">
        <f>"94/12/09"</f>
        <v>94/12/09</v>
      </c>
      <c r="AC1613" s="1" t="str">
        <f>"استان كرمان"</f>
        <v>استان كرمان</v>
      </c>
      <c r="AD1613" s="1" t="str">
        <f>"95/02/11"</f>
        <v>95/02/11</v>
      </c>
      <c r="AE1613" s="1" t="str">
        <f t="shared" si="429"/>
        <v>اختتام</v>
      </c>
      <c r="AF1613" s="1" t="str">
        <f>""</f>
        <v/>
      </c>
      <c r="AG1613" s="1" t="str">
        <f>""</f>
        <v/>
      </c>
      <c r="AH1613" s="1" t="str">
        <f>""</f>
        <v/>
      </c>
      <c r="AI1613" s="1" t="str">
        <f>""</f>
        <v/>
      </c>
      <c r="AJ1613" s="1" t="str">
        <f>""</f>
        <v/>
      </c>
      <c r="AK1613" s="1" t="str">
        <f>""</f>
        <v/>
      </c>
    </row>
    <row r="1614" spans="1:37" x14ac:dyDescent="0.2">
      <c r="A1614" s="1">
        <v>200000</v>
      </c>
      <c r="B1614" s="1">
        <v>951900060</v>
      </c>
      <c r="C1614" s="1" t="str">
        <f>"تخليه -پليس راه اصفهان -تهران جاده تخليه ضايعات سنگبريهاواتوبان ذوب آهن -كيلومتر29جاده اصفهان -شهركرد-زرين سپاهان"</f>
        <v>تخليه -پليس راه اصفهان -تهران جاده تخليه ضايعات سنگبريهاواتوبان ذوب آهن -كيلومتر29جاده اصفهان -شهركرد-زرين سپاهان</v>
      </c>
      <c r="D1614" s="1">
        <v>6250</v>
      </c>
      <c r="E1614" s="1">
        <v>199500</v>
      </c>
      <c r="F1614" s="1">
        <v>95</v>
      </c>
      <c r="G1614" s="1">
        <v>500</v>
      </c>
      <c r="H1614" s="1" t="str">
        <f>"95/04/29"</f>
        <v>95/04/29</v>
      </c>
      <c r="I1614" s="1" t="str">
        <f t="shared" si="430"/>
        <v>كيلوگرم</v>
      </c>
      <c r="J1614" s="1" t="str">
        <f t="shared" si="434"/>
        <v>0000000092</v>
      </c>
      <c r="K1614" s="1" t="str">
        <f t="shared" si="435"/>
        <v>قير  PG64-16</v>
      </c>
      <c r="L1614" s="1">
        <v>100</v>
      </c>
      <c r="M1614" s="1" t="str">
        <f t="shared" si="433"/>
        <v>مخازن قير اصفهان</v>
      </c>
      <c r="N1614" s="1">
        <v>7140</v>
      </c>
      <c r="O1614" s="1">
        <v>50031321</v>
      </c>
      <c r="P1614" s="1" t="str">
        <f>"  زرين سپاهان"</f>
        <v xml:space="preserve">  زرين سپاهان</v>
      </c>
      <c r="Q1614" s="1">
        <v>19</v>
      </c>
      <c r="R16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14" s="1" t="str">
        <f t="shared" si="431"/>
        <v>قرارداد فروش</v>
      </c>
      <c r="T1614" s="1" t="str">
        <f t="shared" si="432"/>
        <v>ندارد</v>
      </c>
      <c r="U1614" s="1" t="str">
        <f>"مرادي نجاتعلي(1020ج89)"</f>
        <v>مرادي نجاتعلي(1020ج89)</v>
      </c>
      <c r="V1614" s="1">
        <v>951900060</v>
      </c>
      <c r="W1614" s="1">
        <v>951900060</v>
      </c>
      <c r="X1614" s="1" t="str">
        <f>"1395416540"</f>
        <v>1395416540</v>
      </c>
      <c r="Y1614" s="1" t="str">
        <f>"95/04/29"</f>
        <v>95/04/29</v>
      </c>
      <c r="Z1614" s="1" t="str">
        <f>"18138/510"</f>
        <v>18138/510</v>
      </c>
      <c r="AA1614" s="1" t="str">
        <f>"سازمان راهداري وحمل نقل جاده اي"</f>
        <v>سازمان راهداري وحمل نقل جاده اي</v>
      </c>
      <c r="AB1614" s="1" t="str">
        <f>"95/04/27"</f>
        <v>95/04/27</v>
      </c>
      <c r="AC1614" s="1" t="str">
        <f>"استان اصفهان"</f>
        <v>استان اصفهان</v>
      </c>
      <c r="AD1614" s="1" t="str">
        <f>"95/04/29"</f>
        <v>95/04/29</v>
      </c>
      <c r="AE1614" s="1" t="str">
        <f t="shared" si="429"/>
        <v>اختتام</v>
      </c>
      <c r="AF1614" s="1" t="str">
        <f>""</f>
        <v/>
      </c>
      <c r="AG1614" s="1" t="str">
        <f>""</f>
        <v/>
      </c>
      <c r="AH1614" s="1" t="str">
        <f>""</f>
        <v/>
      </c>
      <c r="AI1614" s="1" t="str">
        <f>""</f>
        <v/>
      </c>
      <c r="AJ1614" s="1" t="str">
        <f>""</f>
        <v/>
      </c>
      <c r="AK1614" s="1" t="str">
        <f>""</f>
        <v/>
      </c>
    </row>
    <row r="1615" spans="1:37" x14ac:dyDescent="0.2">
      <c r="A1615" s="1">
        <v>1000000</v>
      </c>
      <c r="B1615" s="1">
        <v>951800005</v>
      </c>
      <c r="C1615" s="1" t="str">
        <f>"تخليه -خراسان رضوي -پروژه بانددوم محوربجستان -فردوس -روستاي آهنگ -آرادان"</f>
        <v>تخليه -خراسان رضوي -پروژه بانددوم محوربجستان -فردوس -روستاي آهنگ -آرادان</v>
      </c>
      <c r="D1615" s="1">
        <v>6050</v>
      </c>
      <c r="E1615" s="1">
        <v>998240</v>
      </c>
      <c r="F1615" s="1">
        <v>95</v>
      </c>
      <c r="G1615" s="1">
        <v>1760</v>
      </c>
      <c r="H1615" s="1" t="str">
        <f>"95/03/16"</f>
        <v>95/03/16</v>
      </c>
      <c r="I1615" s="1" t="str">
        <f t="shared" si="430"/>
        <v>كيلوگرم</v>
      </c>
      <c r="J1615" s="1" t="str">
        <f t="shared" si="434"/>
        <v>0000000092</v>
      </c>
      <c r="K1615" s="1" t="str">
        <f t="shared" si="435"/>
        <v>قير  PG64-16</v>
      </c>
      <c r="L1615" s="1">
        <v>100</v>
      </c>
      <c r="M1615" s="1" t="str">
        <f t="shared" si="433"/>
        <v>مخازن قير اصفهان</v>
      </c>
      <c r="N1615" s="1">
        <v>8049</v>
      </c>
      <c r="O1615" s="1">
        <v>50030966</v>
      </c>
      <c r="P1615" s="1" t="str">
        <f>"  ساختماني آرادان"</f>
        <v xml:space="preserve">  ساختماني آرادان</v>
      </c>
      <c r="Q1615" s="1">
        <v>18</v>
      </c>
      <c r="R1615" s="1" t="str">
        <f>"فروش داخلي تهران - وزارت راه - شرکت ساخت و توسعه راهها"</f>
        <v>فروش داخلي تهران - وزارت راه - شرکت ساخت و توسعه راهها</v>
      </c>
      <c r="S1615" s="1" t="str">
        <f t="shared" si="431"/>
        <v>قرارداد فروش</v>
      </c>
      <c r="T1615" s="1" t="str">
        <f t="shared" si="432"/>
        <v>ندارد</v>
      </c>
      <c r="U1615" s="1" t="str">
        <f>"فتاح زاده سيداحمد(3843011)"</f>
        <v>فتاح زاده سيداحمد(3843011)</v>
      </c>
      <c r="V1615" s="1">
        <v>951800005</v>
      </c>
      <c r="W1615" s="1">
        <v>951800005</v>
      </c>
      <c r="X1615" s="1" t="str">
        <f>"1395407683"</f>
        <v>1395407683</v>
      </c>
      <c r="Y1615" s="1" t="str">
        <f>"95/03/16"</f>
        <v>95/03/16</v>
      </c>
      <c r="Z1615" s="1" t="str">
        <f>"10188/510"</f>
        <v>10188/510</v>
      </c>
      <c r="AA1615" s="1" t="str">
        <f>"شركت  ساخت وتوسعه راهها"</f>
        <v>شركت  ساخت وتوسعه راهها</v>
      </c>
      <c r="AB1615" s="1" t="str">
        <f>"95/03/11"</f>
        <v>95/03/11</v>
      </c>
      <c r="AC1615" s="1" t="str">
        <f>"خراسان رضوي"</f>
        <v>خراسان رضوي</v>
      </c>
      <c r="AD1615" s="1" t="str">
        <f>"95/03/16"</f>
        <v>95/03/16</v>
      </c>
      <c r="AE1615" s="1" t="str">
        <f t="shared" si="429"/>
        <v>اختتام</v>
      </c>
      <c r="AF1615" s="1" t="str">
        <f>""</f>
        <v/>
      </c>
      <c r="AG1615" s="1" t="str">
        <f>""</f>
        <v/>
      </c>
      <c r="AH1615" s="1" t="str">
        <f>""</f>
        <v/>
      </c>
      <c r="AI1615" s="1" t="str">
        <f>""</f>
        <v/>
      </c>
      <c r="AJ1615" s="1" t="str">
        <f>""</f>
        <v/>
      </c>
      <c r="AK1615" s="1" t="str">
        <f>""</f>
        <v/>
      </c>
    </row>
    <row r="1616" spans="1:37" x14ac:dyDescent="0.2">
      <c r="A1616" s="1">
        <v>20000</v>
      </c>
      <c r="B1616" s="1">
        <v>956200132</v>
      </c>
      <c r="C161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616" s="1">
        <v>12507</v>
      </c>
      <c r="E1616" s="1">
        <v>20000</v>
      </c>
      <c r="F1616" s="1">
        <v>95</v>
      </c>
      <c r="G1616" s="1">
        <v>0</v>
      </c>
      <c r="H1616" s="1" t="str">
        <f>"95/10/12"</f>
        <v>95/10/12</v>
      </c>
      <c r="I1616" s="1" t="str">
        <f t="shared" si="430"/>
        <v>كيلوگرم</v>
      </c>
      <c r="J1616" s="1" t="str">
        <f>"1000000003"</f>
        <v>1000000003</v>
      </c>
      <c r="K1616" s="1" t="str">
        <f>"قير MC250"</f>
        <v>قير MC250</v>
      </c>
      <c r="L1616" s="1">
        <v>100</v>
      </c>
      <c r="M1616" s="1" t="str">
        <f t="shared" si="433"/>
        <v>مخازن قير اصفهان</v>
      </c>
      <c r="N1616" s="1">
        <v>11001</v>
      </c>
      <c r="O1616" s="1">
        <v>50033239</v>
      </c>
      <c r="P1616" s="1" t="str">
        <f>"  بنياد مسکن انقلاب اسلامي نجف آباد"</f>
        <v xml:space="preserve">  بنياد مسکن انقلاب اسلامي نجف آباد</v>
      </c>
      <c r="Q1616" s="1">
        <v>62</v>
      </c>
      <c r="R1616" s="1" t="str">
        <f>"فروش داخلي - سازمان بنيادمسكن انقلاب اسلامي"</f>
        <v>فروش داخلي - سازمان بنيادمسكن انقلاب اسلامي</v>
      </c>
      <c r="S1616" s="1" t="str">
        <f t="shared" si="431"/>
        <v>قرارداد فروش</v>
      </c>
      <c r="T1616" s="1" t="str">
        <f t="shared" si="432"/>
        <v>ندارد</v>
      </c>
      <c r="U1616" s="1" t="str">
        <f>"سيفي پور عبدالمجيد(1009ج89)"</f>
        <v>سيفي پور عبدالمجيد(1009ج89)</v>
      </c>
      <c r="V1616" s="1">
        <v>956200132</v>
      </c>
      <c r="W1616" s="1">
        <v>956200132</v>
      </c>
      <c r="X1616" s="1" t="str">
        <f>"1395456108"</f>
        <v>1395456108</v>
      </c>
      <c r="Y1616" s="1" t="str">
        <f>"95/10/12"</f>
        <v>95/10/12</v>
      </c>
      <c r="Z1616" s="1" t="str">
        <f>"42756/د"</f>
        <v>42756/د</v>
      </c>
      <c r="AA1616" s="1" t="str">
        <f>"بنيادمسكن انقلاب اسلامي"</f>
        <v>بنيادمسكن انقلاب اسلامي</v>
      </c>
      <c r="AB1616" s="1" t="str">
        <f>"95/10/08"</f>
        <v>95/10/08</v>
      </c>
      <c r="AC1616" s="1" t="str">
        <f>"استان اصفهان"</f>
        <v>استان اصفهان</v>
      </c>
      <c r="AD1616" s="1" t="str">
        <f>"95/10/11"</f>
        <v>95/10/11</v>
      </c>
      <c r="AE1616" s="1" t="str">
        <f t="shared" si="429"/>
        <v>اختتام</v>
      </c>
      <c r="AF1616" s="1" t="str">
        <f>""</f>
        <v/>
      </c>
      <c r="AG1616" s="1" t="str">
        <f>""</f>
        <v/>
      </c>
      <c r="AH1616" s="1" t="str">
        <f>""</f>
        <v/>
      </c>
      <c r="AI1616" s="1" t="str">
        <f>""</f>
        <v/>
      </c>
      <c r="AJ1616" s="1" t="str">
        <f>""</f>
        <v/>
      </c>
      <c r="AK1616" s="1" t="str">
        <f>""</f>
        <v/>
      </c>
    </row>
    <row r="1617" spans="1:37" x14ac:dyDescent="0.2">
      <c r="A1617" s="1">
        <v>15000</v>
      </c>
      <c r="B1617" s="1">
        <v>956200018</v>
      </c>
      <c r="C1617" s="1" t="str">
        <f>"تخليه-اصفهان-خور-محور جاده جعفرآباد-کيلومتر 8- کارخانه آسفالت رحيمي"</f>
        <v>تخليه-اصفهان-خور-محور جاده جعفرآباد-کيلومتر 8- کارخانه آسفالت رحيمي</v>
      </c>
      <c r="D1617" s="1">
        <v>9860</v>
      </c>
      <c r="E1617" s="1">
        <v>11580</v>
      </c>
      <c r="F1617" s="1">
        <v>95</v>
      </c>
      <c r="G1617" s="1">
        <v>3420</v>
      </c>
      <c r="H1617" s="1" t="str">
        <f>"95/03/12"</f>
        <v>95/03/12</v>
      </c>
      <c r="I1617" s="1" t="str">
        <f t="shared" si="430"/>
        <v>كيلوگرم</v>
      </c>
      <c r="J1617" s="1" t="str">
        <f>"1000000003"</f>
        <v>1000000003</v>
      </c>
      <c r="K1617" s="1" t="str">
        <f>"قير MC250"</f>
        <v>قير MC250</v>
      </c>
      <c r="L1617" s="1">
        <v>100</v>
      </c>
      <c r="M1617" s="1" t="str">
        <f t="shared" si="433"/>
        <v>مخازن قير اصفهان</v>
      </c>
      <c r="N1617" s="1">
        <v>11027</v>
      </c>
      <c r="O1617" s="1">
        <v>50031335</v>
      </c>
      <c r="P1617" s="1" t="str">
        <f>"  نوژان خشت"</f>
        <v xml:space="preserve">  نوژان خشت</v>
      </c>
      <c r="Q1617" s="1">
        <v>62</v>
      </c>
      <c r="R1617" s="1" t="str">
        <f>"فروش داخلي - سازمان بنيادمسكن انقلاب اسلامي"</f>
        <v>فروش داخلي - سازمان بنيادمسكن انقلاب اسلامي</v>
      </c>
      <c r="S1617" s="1" t="str">
        <f t="shared" si="431"/>
        <v>قرارداد فروش</v>
      </c>
      <c r="T1617" s="1" t="str">
        <f t="shared" si="432"/>
        <v>ندارد</v>
      </c>
      <c r="U1617" s="1" t="str">
        <f>"ريسماني حسن(1007ج89)"</f>
        <v>ريسماني حسن(1007ج89)</v>
      </c>
      <c r="V1617" s="1">
        <v>956200018</v>
      </c>
      <c r="W1617" s="1">
        <v>956200018</v>
      </c>
      <c r="X1617" s="1" t="str">
        <f>"1395407390"</f>
        <v>1395407390</v>
      </c>
      <c r="Y1617" s="1" t="str">
        <f>"95/03/12"</f>
        <v>95/03/12</v>
      </c>
      <c r="Z1617" s="1" t="str">
        <f>"9711/د"</f>
        <v>9711/د</v>
      </c>
      <c r="AA1617" s="1" t="str">
        <f>"بنيادمسكن انقلاب اسلامي"</f>
        <v>بنيادمسكن انقلاب اسلامي</v>
      </c>
      <c r="AB1617" s="1" t="str">
        <f>"95/03/11"</f>
        <v>95/03/11</v>
      </c>
      <c r="AC1617" s="1" t="str">
        <f>"استان اصفهان"</f>
        <v>استان اصفهان</v>
      </c>
      <c r="AD1617" s="1" t="str">
        <f>"95/03/12"</f>
        <v>95/03/12</v>
      </c>
      <c r="AE1617" s="1" t="str">
        <f t="shared" si="429"/>
        <v>اختتام</v>
      </c>
      <c r="AF1617" s="1" t="str">
        <f>""</f>
        <v/>
      </c>
      <c r="AG1617" s="1" t="str">
        <f>""</f>
        <v/>
      </c>
      <c r="AH1617" s="1" t="str">
        <f>""</f>
        <v/>
      </c>
      <c r="AI1617" s="1" t="str">
        <f>""</f>
        <v/>
      </c>
      <c r="AJ1617" s="1" t="str">
        <f>""</f>
        <v/>
      </c>
      <c r="AK1617" s="1" t="str">
        <f>""</f>
        <v/>
      </c>
    </row>
    <row r="1618" spans="1:37" x14ac:dyDescent="0.2">
      <c r="A1618" s="1">
        <v>15000</v>
      </c>
      <c r="B1618" s="1">
        <v>956200149</v>
      </c>
      <c r="C1618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1618" s="1">
        <v>12507</v>
      </c>
      <c r="E1618" s="1">
        <v>14620</v>
      </c>
      <c r="F1618" s="1">
        <v>95</v>
      </c>
      <c r="G1618" s="1">
        <v>380</v>
      </c>
      <c r="H1618" s="1" t="str">
        <f>"95/10/20"</f>
        <v>95/10/20</v>
      </c>
      <c r="I1618" s="1" t="str">
        <f t="shared" si="430"/>
        <v>كيلوگرم</v>
      </c>
      <c r="J1618" s="1" t="str">
        <f>"1000000003"</f>
        <v>1000000003</v>
      </c>
      <c r="K1618" s="1" t="str">
        <f>"قير MC250"</f>
        <v>قير MC250</v>
      </c>
      <c r="L1618" s="1">
        <v>100</v>
      </c>
      <c r="M1618" s="1" t="str">
        <f t="shared" si="433"/>
        <v>مخازن قير اصفهان</v>
      </c>
      <c r="N1618" s="1">
        <v>10271</v>
      </c>
      <c r="O1618" s="1">
        <v>50033346</v>
      </c>
      <c r="P1618" s="1" t="str">
        <f>"  آرياگسترشهرضا"</f>
        <v xml:space="preserve">  آرياگسترشهرضا</v>
      </c>
      <c r="Q1618" s="1">
        <v>62</v>
      </c>
      <c r="R1618" s="1" t="str">
        <f>"فروش داخلي - سازمان بنيادمسكن انقلاب اسلامي"</f>
        <v>فروش داخلي - سازمان بنيادمسكن انقلاب اسلامي</v>
      </c>
      <c r="S1618" s="1" t="str">
        <f t="shared" si="431"/>
        <v>قرارداد فروش</v>
      </c>
      <c r="T1618" s="1" t="str">
        <f t="shared" si="432"/>
        <v>ندارد</v>
      </c>
      <c r="U1618" s="1" t="str">
        <f>"علي عابدي ابوالقاسم(1003ج89)"</f>
        <v>علي عابدي ابوالقاسم(1003ج89)</v>
      </c>
      <c r="V1618" s="1">
        <v>956200149</v>
      </c>
      <c r="W1618" s="1">
        <v>956200149</v>
      </c>
      <c r="X1618" s="1" t="str">
        <f>"1395457464"</f>
        <v>1395457464</v>
      </c>
      <c r="Y1618" s="1" t="str">
        <f>"95/10/20"</f>
        <v>95/10/20</v>
      </c>
      <c r="Z1618" s="1" t="str">
        <f>"44852/د"</f>
        <v>44852/د</v>
      </c>
      <c r="AA1618" s="1" t="str">
        <f>"بنيادمسكن انقلاب اسلامي"</f>
        <v>بنيادمسكن انقلاب اسلامي</v>
      </c>
      <c r="AB1618" s="1" t="str">
        <f>"95/10/20"</f>
        <v>95/10/20</v>
      </c>
      <c r="AC1618" s="1" t="str">
        <f>"استان اصفهان"</f>
        <v>استان اصفهان</v>
      </c>
      <c r="AD1618" s="1" t="str">
        <f>"95/10/18"</f>
        <v>95/10/18</v>
      </c>
      <c r="AE1618" s="1" t="str">
        <f t="shared" si="429"/>
        <v>اختتام</v>
      </c>
      <c r="AF1618" s="1" t="str">
        <f>""</f>
        <v/>
      </c>
      <c r="AG1618" s="1" t="str">
        <f>""</f>
        <v/>
      </c>
      <c r="AH1618" s="1" t="str">
        <f>""</f>
        <v/>
      </c>
      <c r="AI1618" s="1" t="str">
        <f>""</f>
        <v/>
      </c>
      <c r="AJ1618" s="1" t="str">
        <f>""</f>
        <v/>
      </c>
      <c r="AK1618" s="1" t="str">
        <f>""</f>
        <v/>
      </c>
    </row>
    <row r="1619" spans="1:37" x14ac:dyDescent="0.2">
      <c r="A1619" s="1">
        <v>500000</v>
      </c>
      <c r="B1619" s="1">
        <v>951700348</v>
      </c>
      <c r="C1619" s="1" t="str">
        <f>"ايرانشهر-اداره كل راه وشهرسازي  ايرانشهر"</f>
        <v>ايرانشهر-اداره كل راه وشهرسازي  ايرانشهر</v>
      </c>
      <c r="D1619" s="1">
        <v>9354</v>
      </c>
      <c r="E1619" s="1">
        <v>500000</v>
      </c>
      <c r="F1619" s="1">
        <v>95</v>
      </c>
      <c r="G1619" s="1">
        <v>0</v>
      </c>
      <c r="H1619" s="1" t="str">
        <f>"95/12/18"</f>
        <v>95/12/18</v>
      </c>
      <c r="I1619" s="1" t="str">
        <f t="shared" si="430"/>
        <v>كيلوگرم</v>
      </c>
      <c r="J1619" s="1" t="str">
        <f>"0000000092"</f>
        <v>0000000092</v>
      </c>
      <c r="K1619" s="1" t="str">
        <f>"قير  PG64-16"</f>
        <v>قير  PG64-16</v>
      </c>
      <c r="L1619" s="1">
        <v>100</v>
      </c>
      <c r="M1619" s="1" t="str">
        <f t="shared" si="433"/>
        <v>مخازن قير اصفهان</v>
      </c>
      <c r="N1619" s="1">
        <v>8068</v>
      </c>
      <c r="O1619" s="1">
        <v>50034330</v>
      </c>
      <c r="P1619" s="1" t="str">
        <f>"  اداره كل راه وشهرسازي ايرانشهر"</f>
        <v xml:space="preserve">  اداره كل راه وشهرسازي ايرانشهر</v>
      </c>
      <c r="Q1619" s="1">
        <v>17</v>
      </c>
      <c r="R1619" s="1" t="str">
        <f>"فروش داخلي تهران - وزارت راه - راه روستايي - روکش"</f>
        <v>فروش داخلي تهران - وزارت راه - راه روستايي - روکش</v>
      </c>
      <c r="S1619" s="1" t="str">
        <f t="shared" si="431"/>
        <v>قرارداد فروش</v>
      </c>
      <c r="T1619" s="1" t="str">
        <f t="shared" si="432"/>
        <v>ندارد</v>
      </c>
      <c r="U1619" s="1" t="str">
        <f>"پورباقري ترابر (4914036)"</f>
        <v>پورباقري ترابر (4914036)</v>
      </c>
      <c r="V1619" s="1">
        <v>951700348</v>
      </c>
      <c r="W1619" s="1">
        <v>951700348</v>
      </c>
      <c r="X1619" s="1" t="str">
        <f>"1395469560"</f>
        <v>1395469560</v>
      </c>
      <c r="Y1619" s="1" t="str">
        <f>"95/12/18"</f>
        <v>95/12/18</v>
      </c>
      <c r="Z1619" s="1" t="str">
        <f>"64104/710"</f>
        <v>64104/710</v>
      </c>
      <c r="AA1619" s="1" t="str">
        <f>"راه روستائي -روكش"</f>
        <v>راه روستائي -روكش</v>
      </c>
      <c r="AB1619" s="1" t="str">
        <f>"95/12/15"</f>
        <v>95/12/15</v>
      </c>
      <c r="AC1619" s="1" t="str">
        <f>"ايرانشهر"</f>
        <v>ايرانشهر</v>
      </c>
      <c r="AD1619" s="1" t="str">
        <f>"95/12/17"</f>
        <v>95/12/17</v>
      </c>
      <c r="AE1619" s="1" t="str">
        <f t="shared" si="429"/>
        <v>اختتام</v>
      </c>
      <c r="AF1619" s="1" t="str">
        <f>""</f>
        <v/>
      </c>
      <c r="AG1619" s="1" t="str">
        <f>""</f>
        <v/>
      </c>
      <c r="AH1619" s="1" t="str">
        <f>""</f>
        <v/>
      </c>
      <c r="AI1619" s="1" t="str">
        <f>""</f>
        <v/>
      </c>
      <c r="AJ1619" s="1" t="str">
        <f>""</f>
        <v/>
      </c>
      <c r="AK1619" s="1" t="str">
        <f>""</f>
        <v/>
      </c>
    </row>
    <row r="1620" spans="1:37" x14ac:dyDescent="0.2">
      <c r="A1620" s="1">
        <v>64520</v>
      </c>
      <c r="B1620" s="1">
        <v>951700278</v>
      </c>
      <c r="C1620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1620" s="1">
        <v>8323</v>
      </c>
      <c r="E1620" s="1">
        <v>64520</v>
      </c>
      <c r="F1620" s="1">
        <v>95</v>
      </c>
      <c r="G1620" s="1">
        <v>0</v>
      </c>
      <c r="H1620" s="1" t="str">
        <f>"95/08/09"</f>
        <v>95/08/09</v>
      </c>
      <c r="I1620" s="1" t="str">
        <f t="shared" si="430"/>
        <v>كيلوگرم</v>
      </c>
      <c r="J1620" s="1" t="str">
        <f>"0000000092"</f>
        <v>0000000092</v>
      </c>
      <c r="K1620" s="1" t="str">
        <f>"قير  PG64-16"</f>
        <v>قير  PG64-16</v>
      </c>
      <c r="L1620" s="1">
        <v>100</v>
      </c>
      <c r="M1620" s="1" t="str">
        <f t="shared" si="433"/>
        <v>مخازن قير اصفهان</v>
      </c>
      <c r="N1620" s="1">
        <v>8091</v>
      </c>
      <c r="O1620" s="1">
        <v>50032415</v>
      </c>
      <c r="P1620" s="1" t="str">
        <f>"  اداره كل راه وشهرسازي اصفهان"</f>
        <v xml:space="preserve">  اداره كل راه وشهرسازي اصفهان</v>
      </c>
      <c r="Q1620" s="1">
        <v>17</v>
      </c>
      <c r="R1620" s="1" t="str">
        <f>"فروش داخلي تهران - وزارت راه - راه روستايي - روکش"</f>
        <v>فروش داخلي تهران - وزارت راه - راه روستايي - روکش</v>
      </c>
      <c r="S1620" s="1" t="str">
        <f t="shared" si="431"/>
        <v>قرارداد فروش</v>
      </c>
      <c r="T1620" s="1" t="str">
        <f t="shared" si="432"/>
        <v>ندارد</v>
      </c>
      <c r="U1620" s="1" t="str">
        <f>"اسماعيلي پور امين (1013ج89)"</f>
        <v>اسماعيلي پور امين (1013ج89)</v>
      </c>
      <c r="V1620" s="1">
        <v>951700278</v>
      </c>
      <c r="W1620" s="1">
        <v>951700278</v>
      </c>
      <c r="X1620" s="1" t="str">
        <f>"1395426942"</f>
        <v>1395426942</v>
      </c>
      <c r="Y1620" s="1" t="str">
        <f>"95/08/09"</f>
        <v>95/08/09</v>
      </c>
      <c r="Z1620" s="1" t="str">
        <f>"24452/510"</f>
        <v>24452/510</v>
      </c>
      <c r="AA1620" s="1" t="str">
        <f>"راه روستائي -روكش"</f>
        <v>راه روستائي -روكش</v>
      </c>
      <c r="AB1620" s="1" t="str">
        <f>"95/05/03"</f>
        <v>95/05/03</v>
      </c>
      <c r="AC1620" s="1" t="str">
        <f>"استان اصفهان"</f>
        <v>استان اصفهان</v>
      </c>
      <c r="AD1620" s="1" t="str">
        <f>"95/06/06"</f>
        <v>95/06/06</v>
      </c>
      <c r="AE1620" s="1" t="str">
        <f t="shared" si="429"/>
        <v>اختتام</v>
      </c>
      <c r="AF1620" s="1" t="str">
        <f>""</f>
        <v/>
      </c>
      <c r="AG1620" s="1" t="str">
        <f>""</f>
        <v/>
      </c>
      <c r="AH1620" s="1" t="str">
        <f>""</f>
        <v/>
      </c>
      <c r="AI1620" s="1" t="str">
        <f>""</f>
        <v/>
      </c>
      <c r="AJ1620" s="1" t="str">
        <f>""</f>
        <v/>
      </c>
      <c r="AK1620" s="1" t="str">
        <f>""</f>
        <v/>
      </c>
    </row>
    <row r="1621" spans="1:37" x14ac:dyDescent="0.2">
      <c r="A1621" s="1">
        <v>50000</v>
      </c>
      <c r="B1621" s="1">
        <v>956200106</v>
      </c>
      <c r="C1621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621" s="1">
        <v>10906</v>
      </c>
      <c r="E1621" s="1">
        <v>48600</v>
      </c>
      <c r="F1621" s="1">
        <v>95</v>
      </c>
      <c r="G1621" s="1">
        <v>1400</v>
      </c>
      <c r="H1621" s="1" t="str">
        <f>"95/09/17"</f>
        <v>95/09/17</v>
      </c>
      <c r="I1621" s="1" t="str">
        <f t="shared" si="430"/>
        <v>كيلوگرم</v>
      </c>
      <c r="J1621" s="1" t="str">
        <f>"1000000003"</f>
        <v>1000000003</v>
      </c>
      <c r="K1621" s="1" t="str">
        <f>"قير MC250"</f>
        <v>قير MC250</v>
      </c>
      <c r="L1621" s="1">
        <v>100</v>
      </c>
      <c r="M1621" s="1" t="str">
        <f t="shared" si="433"/>
        <v>مخازن قير اصفهان</v>
      </c>
      <c r="N1621" s="1">
        <v>11082</v>
      </c>
      <c r="O1621" s="1">
        <v>50032901</v>
      </c>
      <c r="P1621" s="1" t="str">
        <f>"  پارسيان كاني پاسارگاد"</f>
        <v xml:space="preserve">  پارسيان كاني پاسارگاد</v>
      </c>
      <c r="Q1621" s="1">
        <v>62</v>
      </c>
      <c r="R1621" s="1" t="str">
        <f>"فروش داخلي - سازمان بنيادمسكن انقلاب اسلامي"</f>
        <v>فروش داخلي - سازمان بنيادمسكن انقلاب اسلامي</v>
      </c>
      <c r="S1621" s="1" t="str">
        <f t="shared" si="431"/>
        <v>قرارداد فروش</v>
      </c>
      <c r="T1621" s="1" t="str">
        <f t="shared" si="432"/>
        <v>ندارد</v>
      </c>
      <c r="U1621" s="1" t="str">
        <f>"قره باغي مجيد(1871065)"</f>
        <v>قره باغي مجيد(1871065)</v>
      </c>
      <c r="V1621" s="1">
        <v>956200106</v>
      </c>
      <c r="W1621" s="1">
        <v>956200106</v>
      </c>
      <c r="X1621" s="1" t="str">
        <f>"1395449865"</f>
        <v>1395449865</v>
      </c>
      <c r="Y1621" s="1" t="str">
        <f>"95/09/16"</f>
        <v>95/09/16</v>
      </c>
      <c r="Z1621" s="1" t="str">
        <f>"38877/د"</f>
        <v>38877/د</v>
      </c>
      <c r="AA1621" s="1" t="str">
        <f>"بنياد"</f>
        <v>بنياد</v>
      </c>
      <c r="AB1621" s="1" t="str">
        <f>"95/09/15"</f>
        <v>95/09/15</v>
      </c>
      <c r="AC1621" s="1" t="str">
        <f>"استان اصفهان"</f>
        <v>استان اصفهان</v>
      </c>
      <c r="AD1621" s="1" t="str">
        <f>"95/09/16"</f>
        <v>95/09/16</v>
      </c>
      <c r="AE1621" s="1" t="str">
        <f t="shared" si="429"/>
        <v>اختتام</v>
      </c>
      <c r="AF1621" s="1" t="str">
        <f>""</f>
        <v/>
      </c>
      <c r="AG1621" s="1" t="str">
        <f>""</f>
        <v/>
      </c>
      <c r="AH1621" s="1" t="str">
        <f>""</f>
        <v/>
      </c>
      <c r="AI1621" s="1" t="str">
        <f>""</f>
        <v/>
      </c>
      <c r="AJ1621" s="1" t="str">
        <f>""</f>
        <v/>
      </c>
      <c r="AK1621" s="1" t="str">
        <f>""</f>
        <v/>
      </c>
    </row>
    <row r="1622" spans="1:37" x14ac:dyDescent="0.2">
      <c r="A1622" s="1">
        <v>67000</v>
      </c>
      <c r="B1622" s="1">
        <v>952000329</v>
      </c>
      <c r="C1622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1622" s="1">
        <v>9361</v>
      </c>
      <c r="E1622" s="1">
        <v>65740</v>
      </c>
      <c r="F1622" s="1">
        <v>95</v>
      </c>
      <c r="G1622" s="1">
        <v>1260</v>
      </c>
      <c r="H1622" s="1" t="str">
        <f>"95/11/24"</f>
        <v>95/11/24</v>
      </c>
      <c r="I1622" s="1" t="str">
        <f t="shared" si="430"/>
        <v>كيلوگرم</v>
      </c>
      <c r="J1622" s="1" t="str">
        <f>"0000000076"</f>
        <v>0000000076</v>
      </c>
      <c r="K1622" s="1" t="str">
        <f>"قير 60/70 - فله"</f>
        <v>قير 60/70 - فله</v>
      </c>
      <c r="L1622" s="1">
        <v>100</v>
      </c>
      <c r="M1622" s="1" t="str">
        <f t="shared" si="433"/>
        <v>مخازن قير اصفهان</v>
      </c>
      <c r="N1622" s="1">
        <v>10663</v>
      </c>
      <c r="O1622" s="1">
        <v>50033693</v>
      </c>
      <c r="P1622" s="1" t="str">
        <f>"  شهرداري لايبيد"</f>
        <v xml:space="preserve">  شهرداري لايبيد</v>
      </c>
      <c r="Q1622" s="1">
        <v>20</v>
      </c>
      <c r="R1622" s="1" t="str">
        <f>"فروش داخلي - سازمان شهرداري ها و دهياري هاي كشور"</f>
        <v>فروش داخلي - سازمان شهرداري ها و دهياري هاي كشور</v>
      </c>
      <c r="S1622" s="1" t="str">
        <f t="shared" si="431"/>
        <v>قرارداد فروش</v>
      </c>
      <c r="T1622" s="1" t="str">
        <f t="shared" si="432"/>
        <v>ندارد</v>
      </c>
      <c r="U1622" s="1" t="str">
        <f>"ريسماني حسن(1007ج89)"</f>
        <v>ريسماني حسن(1007ج89)</v>
      </c>
      <c r="V1622" s="1">
        <v>952000329</v>
      </c>
      <c r="W1622" s="1">
        <v>952000329</v>
      </c>
      <c r="X1622" s="1" t="str">
        <f>"1395464401"</f>
        <v>1395464401</v>
      </c>
      <c r="Y1622" s="1" t="str">
        <f>"95/11/24"</f>
        <v>95/11/24</v>
      </c>
      <c r="Z1622" s="1" t="str">
        <f>"43388"</f>
        <v>43388</v>
      </c>
      <c r="AA1622" s="1" t="str">
        <f>"شهرداريها"</f>
        <v>شهرداريها</v>
      </c>
      <c r="AB1622" s="1" t="str">
        <f>"95/09/02"</f>
        <v>95/09/02</v>
      </c>
      <c r="AC1622" s="1" t="str">
        <f>"استان اصفهان"</f>
        <v>استان اصفهان</v>
      </c>
      <c r="AD1622" s="1" t="str">
        <f>"95/11/23"</f>
        <v>95/11/23</v>
      </c>
      <c r="AE1622" s="1" t="str">
        <f t="shared" si="429"/>
        <v>اختتام</v>
      </c>
      <c r="AF1622" s="1" t="str">
        <f>""</f>
        <v/>
      </c>
      <c r="AG1622" s="1" t="str">
        <f>""</f>
        <v/>
      </c>
      <c r="AH1622" s="1" t="str">
        <f>""</f>
        <v/>
      </c>
      <c r="AI1622" s="1" t="str">
        <f>""</f>
        <v/>
      </c>
      <c r="AJ1622" s="1" t="str">
        <f>""</f>
        <v/>
      </c>
      <c r="AK1622" s="1" t="str">
        <f>""</f>
        <v/>
      </c>
    </row>
    <row r="1623" spans="1:37" x14ac:dyDescent="0.2">
      <c r="A1623" s="1">
        <v>160000</v>
      </c>
      <c r="B1623" s="1">
        <v>952000146</v>
      </c>
      <c r="C1623" s="1" t="str">
        <f>"تخليه -يزد-كارخانه آسفالت سازمان همياري يزد"</f>
        <v>تخليه -يزد-كارخانه آسفالت سازمان همياري يزد</v>
      </c>
      <c r="D1623" s="1">
        <v>6976</v>
      </c>
      <c r="E1623" s="1">
        <v>158480</v>
      </c>
      <c r="F1623" s="1">
        <v>95</v>
      </c>
      <c r="G1623" s="1">
        <v>1520</v>
      </c>
      <c r="H1623" s="1" t="str">
        <f>"95/07/14"</f>
        <v>95/07/14</v>
      </c>
      <c r="I1623" s="1" t="str">
        <f t="shared" si="430"/>
        <v>كيلوگرم</v>
      </c>
      <c r="J1623" s="1" t="str">
        <f>"0000000076"</f>
        <v>0000000076</v>
      </c>
      <c r="K1623" s="1" t="str">
        <f>"قير 60/70 - فله"</f>
        <v>قير 60/70 - فله</v>
      </c>
      <c r="L1623" s="1">
        <v>100</v>
      </c>
      <c r="M1623" s="1" t="str">
        <f t="shared" si="433"/>
        <v>مخازن قير اصفهان</v>
      </c>
      <c r="N1623" s="1">
        <v>10672</v>
      </c>
      <c r="O1623" s="1">
        <v>50032105</v>
      </c>
      <c r="P1623" s="1" t="str">
        <f>"  شهرداري حميديا"</f>
        <v xml:space="preserve">  شهرداري حميديا</v>
      </c>
      <c r="Q1623" s="1">
        <v>20</v>
      </c>
      <c r="R1623" s="1" t="str">
        <f>"فروش داخلي - سازمان شهرداري ها و دهياري هاي كشور"</f>
        <v>فروش داخلي - سازمان شهرداري ها و دهياري هاي كشور</v>
      </c>
      <c r="S1623" s="1" t="str">
        <f t="shared" si="431"/>
        <v>قرارداد فروش</v>
      </c>
      <c r="T1623" s="1" t="str">
        <f t="shared" si="432"/>
        <v>ندارد</v>
      </c>
      <c r="U1623" s="1" t="str">
        <f>"قانعي محمدرضا(1011ج89)"</f>
        <v>قانعي محمدرضا(1011ج89)</v>
      </c>
      <c r="V1623" s="1">
        <v>952000146</v>
      </c>
      <c r="W1623" s="1">
        <v>952000146</v>
      </c>
      <c r="X1623" s="1" t="str">
        <f>"1395436486"</f>
        <v>1395436486</v>
      </c>
      <c r="Y1623" s="1" t="str">
        <f>"95/07/14"</f>
        <v>95/07/14</v>
      </c>
      <c r="Z1623" s="1" t="str">
        <f>"27936"</f>
        <v>27936</v>
      </c>
      <c r="AA1623" s="1" t="str">
        <f>"شهرداريها"</f>
        <v>شهرداريها</v>
      </c>
      <c r="AB1623" s="1" t="str">
        <f>"95/06/13"</f>
        <v>95/06/13</v>
      </c>
      <c r="AC1623" s="1" t="str">
        <f>"استان يزد"</f>
        <v>استان يزد</v>
      </c>
      <c r="AD1623" s="1" t="str">
        <f>"95/07/14"</f>
        <v>95/07/14</v>
      </c>
      <c r="AE1623" s="1" t="str">
        <f t="shared" ref="AE1623:AE1628" si="436">"اختتام"</f>
        <v>اختتام</v>
      </c>
      <c r="AF1623" s="1" t="str">
        <f>""</f>
        <v/>
      </c>
      <c r="AG1623" s="1" t="str">
        <f>""</f>
        <v/>
      </c>
      <c r="AH1623" s="1" t="str">
        <f>""</f>
        <v/>
      </c>
      <c r="AI1623" s="1" t="str">
        <f>""</f>
        <v/>
      </c>
      <c r="AJ1623" s="1" t="str">
        <f>""</f>
        <v/>
      </c>
      <c r="AK1623" s="1" t="str">
        <f>""</f>
        <v/>
      </c>
    </row>
    <row r="1624" spans="1:37" x14ac:dyDescent="0.2">
      <c r="A1624" s="1">
        <v>500000</v>
      </c>
      <c r="B1624" s="1">
        <v>951800012</v>
      </c>
      <c r="C1624" s="1" t="str">
        <f>"تخليه -ساوه بعدازپليس راه ساوه -همدان كارخانه آسفالت ايران اپرون"</f>
        <v>تخليه -ساوه بعدازپليس راه ساوه -همدان كارخانه آسفالت ايران اپرون</v>
      </c>
      <c r="D1624" s="1">
        <v>6050</v>
      </c>
      <c r="E1624" s="1">
        <v>500000</v>
      </c>
      <c r="F1624" s="1">
        <v>95</v>
      </c>
      <c r="G1624" s="1">
        <v>0</v>
      </c>
      <c r="H1624" s="1" t="str">
        <f>"95/03/22"</f>
        <v>95/03/22</v>
      </c>
      <c r="I1624" s="1" t="str">
        <f t="shared" si="430"/>
        <v>كيلوگرم</v>
      </c>
      <c r="J1624" s="1" t="str">
        <f>"0000000092"</f>
        <v>0000000092</v>
      </c>
      <c r="K1624" s="1" t="str">
        <f>"قير  PG64-16"</f>
        <v>قير  PG64-16</v>
      </c>
      <c r="L1624" s="1">
        <v>100</v>
      </c>
      <c r="M1624" s="1" t="str">
        <f t="shared" si="433"/>
        <v>مخازن قير اصفهان</v>
      </c>
      <c r="N1624" s="1">
        <v>8102</v>
      </c>
      <c r="O1624" s="1">
        <v>50031004</v>
      </c>
      <c r="P1624" s="1" t="str">
        <f>"  ايران اپرون"</f>
        <v xml:space="preserve">  ايران اپرون</v>
      </c>
      <c r="Q1624" s="1">
        <v>18</v>
      </c>
      <c r="R1624" s="1" t="str">
        <f>"فروش داخلي تهران - وزارت راه - شرکت ساخت و توسعه راهها"</f>
        <v>فروش داخلي تهران - وزارت راه - شرکت ساخت و توسعه راهها</v>
      </c>
      <c r="S1624" s="1" t="str">
        <f t="shared" si="431"/>
        <v>قرارداد فروش</v>
      </c>
      <c r="T1624" s="1" t="str">
        <f t="shared" si="432"/>
        <v>ندارد</v>
      </c>
      <c r="U1624" s="1" t="str">
        <f>"معماريان سعيد(1004ج89)"</f>
        <v>معماريان سعيد(1004ج89)</v>
      </c>
      <c r="V1624" s="1">
        <v>951800012</v>
      </c>
      <c r="W1624" s="1">
        <v>951800012</v>
      </c>
      <c r="X1624" s="1" t="str">
        <f>"1395408772"</f>
        <v>1395408772</v>
      </c>
      <c r="Y1624" s="1" t="str">
        <f>"95/03/22"</f>
        <v>95/03/22</v>
      </c>
      <c r="Z1624" s="1" t="str">
        <f>"11055/510"</f>
        <v>11055/510</v>
      </c>
      <c r="AA1624" s="1" t="str">
        <f>"شركت  ساخت وتوسعه راهها"</f>
        <v>شركت  ساخت وتوسعه راهها</v>
      </c>
      <c r="AB1624" s="1" t="str">
        <f>"95/03/18"</f>
        <v>95/03/18</v>
      </c>
      <c r="AC1624" s="1" t="str">
        <f>"استان مركزي"</f>
        <v>استان مركزي</v>
      </c>
      <c r="AD1624" s="1" t="str">
        <f>"95/03/22"</f>
        <v>95/03/22</v>
      </c>
      <c r="AE1624" s="1" t="str">
        <f t="shared" si="436"/>
        <v>اختتام</v>
      </c>
      <c r="AF1624" s="1" t="str">
        <f>""</f>
        <v/>
      </c>
      <c r="AG1624" s="1" t="str">
        <f>""</f>
        <v/>
      </c>
      <c r="AH1624" s="1" t="str">
        <f>""</f>
        <v/>
      </c>
      <c r="AI1624" s="1" t="str">
        <f>""</f>
        <v/>
      </c>
      <c r="AJ1624" s="1" t="str">
        <f>""</f>
        <v/>
      </c>
      <c r="AK1624" s="1" t="str">
        <f>""</f>
        <v/>
      </c>
    </row>
    <row r="1625" spans="1:37" x14ac:dyDescent="0.2">
      <c r="A1625" s="1">
        <v>196000</v>
      </c>
      <c r="B1625" s="1">
        <v>951400057</v>
      </c>
      <c r="C1625" s="1" t="str">
        <f>"تخليه -خرم آباد-جاده كمربندي -جاده پيريجد-كيلومتر2"</f>
        <v>تخليه -خرم آباد-جاده كمربندي -جاده پيريجد-كيلومتر2</v>
      </c>
      <c r="D1625" s="1">
        <v>6726</v>
      </c>
      <c r="E1625" s="1">
        <v>196000</v>
      </c>
      <c r="F1625" s="1">
        <v>95</v>
      </c>
      <c r="G1625" s="1">
        <v>0</v>
      </c>
      <c r="H1625" s="1" t="str">
        <f>"95/05/24"</f>
        <v>95/05/24</v>
      </c>
      <c r="I1625" s="1" t="str">
        <f t="shared" si="430"/>
        <v>كيلوگرم</v>
      </c>
      <c r="J1625" s="1" t="str">
        <f>"0000000092"</f>
        <v>0000000092</v>
      </c>
      <c r="K1625" s="1" t="str">
        <f>"قير  PG64-16"</f>
        <v>قير  PG64-16</v>
      </c>
      <c r="L1625" s="1">
        <v>100</v>
      </c>
      <c r="M1625" s="1" t="str">
        <f t="shared" si="433"/>
        <v>مخازن قير اصفهان</v>
      </c>
      <c r="N1625" s="1">
        <v>8305</v>
      </c>
      <c r="O1625" s="1">
        <v>50031513</v>
      </c>
      <c r="P1625" s="1" t="str">
        <f>"  سپهربستر"</f>
        <v xml:space="preserve">  سپهربستر</v>
      </c>
      <c r="Q1625" s="1">
        <v>14</v>
      </c>
      <c r="R1625" s="1" t="str">
        <f>"فروش داخلي - وزارت راه - حوزه راه روستايي ساخت"</f>
        <v>فروش داخلي - وزارت راه - حوزه راه روستايي ساخت</v>
      </c>
      <c r="S1625" s="1" t="str">
        <f t="shared" si="431"/>
        <v>قرارداد فروش</v>
      </c>
      <c r="T1625" s="1" t="str">
        <f t="shared" si="432"/>
        <v>ندارد</v>
      </c>
      <c r="U1625" s="1" t="str">
        <f>"ريسماني حسن(1007ج89)"</f>
        <v>ريسماني حسن(1007ج89)</v>
      </c>
      <c r="V1625" s="1">
        <v>951400057</v>
      </c>
      <c r="W1625" s="1">
        <v>951400057</v>
      </c>
      <c r="X1625" s="1" t="str">
        <f>"1395423495"</f>
        <v>1395423495</v>
      </c>
      <c r="Y1625" s="1" t="str">
        <f>"95/05/24"</f>
        <v>95/05/24</v>
      </c>
      <c r="Z1625" s="1" t="str">
        <f>"22187/510"</f>
        <v>22187/510</v>
      </c>
      <c r="AA1625" s="1" t="str">
        <f>"راه وروستايي -ساخت"</f>
        <v>راه وروستايي -ساخت</v>
      </c>
      <c r="AB1625" s="1" t="str">
        <f>"95/05/17"</f>
        <v>95/05/17</v>
      </c>
      <c r="AC1625" s="1" t="str">
        <f>"لرستان"</f>
        <v>لرستان</v>
      </c>
      <c r="AD1625" s="1" t="str">
        <f>"95/05/23"</f>
        <v>95/05/23</v>
      </c>
      <c r="AE1625" s="1" t="str">
        <f t="shared" si="436"/>
        <v>اختتام</v>
      </c>
      <c r="AF1625" s="1" t="str">
        <f>""</f>
        <v/>
      </c>
      <c r="AG1625" s="1" t="str">
        <f>""</f>
        <v/>
      </c>
      <c r="AH1625" s="1" t="str">
        <f>""</f>
        <v/>
      </c>
      <c r="AI1625" s="1" t="str">
        <f>""</f>
        <v/>
      </c>
      <c r="AJ1625" s="1" t="str">
        <f>""</f>
        <v/>
      </c>
      <c r="AK1625" s="1" t="str">
        <f>""</f>
        <v/>
      </c>
    </row>
    <row r="1626" spans="1:37" x14ac:dyDescent="0.2">
      <c r="A1626" s="1">
        <v>200000</v>
      </c>
      <c r="B1626" s="1">
        <v>951700139</v>
      </c>
      <c r="C1626" s="1" t="str">
        <f>"تخليه -ايلام -كيلومتر59محورايلام -دره شهر-مخازن قيرشركت ايلام راهبان"</f>
        <v>تخليه -ايلام -كيلومتر59محورايلام -دره شهر-مخازن قيرشركت ايلام راهبان</v>
      </c>
      <c r="D1626" s="1">
        <v>6726</v>
      </c>
      <c r="E1626" s="1">
        <v>200000</v>
      </c>
      <c r="F1626" s="1">
        <v>95</v>
      </c>
      <c r="G1626" s="1">
        <v>0</v>
      </c>
      <c r="H1626" s="1" t="str">
        <f>"95/05/16"</f>
        <v>95/05/16</v>
      </c>
      <c r="I1626" s="1" t="str">
        <f t="shared" si="430"/>
        <v>كيلوگرم</v>
      </c>
      <c r="J1626" s="1" t="str">
        <f>"0000000092"</f>
        <v>0000000092</v>
      </c>
      <c r="K1626" s="1" t="str">
        <f>"قير  PG64-16"</f>
        <v>قير  PG64-16</v>
      </c>
      <c r="L1626" s="1">
        <v>100</v>
      </c>
      <c r="M1626" s="1" t="str">
        <f t="shared" si="433"/>
        <v>مخازن قير اصفهان</v>
      </c>
      <c r="N1626" s="1">
        <v>8353</v>
      </c>
      <c r="O1626" s="1">
        <v>50031438</v>
      </c>
      <c r="P1626" s="1" t="str">
        <f>"  اداره كل راه و شهرسازي  ايلام"</f>
        <v xml:space="preserve">  اداره كل راه و شهرسازي  ايلام</v>
      </c>
      <c r="Q1626" s="1">
        <v>17</v>
      </c>
      <c r="R1626" s="1" t="str">
        <f>"فروش داخلي تهران - وزارت راه - راه روستايي - روکش"</f>
        <v>فروش داخلي تهران - وزارت راه - راه روستايي - روکش</v>
      </c>
      <c r="S1626" s="1" t="str">
        <f t="shared" si="431"/>
        <v>قرارداد فروش</v>
      </c>
      <c r="T1626" s="1" t="str">
        <f t="shared" si="432"/>
        <v>ندارد</v>
      </c>
      <c r="U1626" s="1" t="str">
        <f>"عظيمي محمد(2842015)"</f>
        <v>عظيمي محمد(2842015)</v>
      </c>
      <c r="V1626" s="1">
        <v>951700139</v>
      </c>
      <c r="W1626" s="1">
        <v>951700139</v>
      </c>
      <c r="X1626" s="1" t="str">
        <f>"1395421158"</f>
        <v>1395421158</v>
      </c>
      <c r="Y1626" s="1" t="str">
        <f>"95/05/16"</f>
        <v>95/05/16</v>
      </c>
      <c r="Z1626" s="1" t="str">
        <f>"20815/510"</f>
        <v>20815/510</v>
      </c>
      <c r="AA1626" s="1" t="str">
        <f>"راه روستائي -روكش"</f>
        <v>راه روستائي -روكش</v>
      </c>
      <c r="AB1626" s="1" t="str">
        <f>"95/05/11"</f>
        <v>95/05/11</v>
      </c>
      <c r="AC1626" s="1" t="str">
        <f>"استان ايلام"</f>
        <v>استان ايلام</v>
      </c>
      <c r="AD1626" s="1" t="str">
        <f>"95/05/13"</f>
        <v>95/05/13</v>
      </c>
      <c r="AE1626" s="1" t="str">
        <f t="shared" si="436"/>
        <v>اختتام</v>
      </c>
      <c r="AF1626" s="1" t="str">
        <f>""</f>
        <v/>
      </c>
      <c r="AG1626" s="1" t="str">
        <f>""</f>
        <v/>
      </c>
      <c r="AH1626" s="1" t="str">
        <f>""</f>
        <v/>
      </c>
      <c r="AI1626" s="1" t="str">
        <f>""</f>
        <v/>
      </c>
      <c r="AJ1626" s="1" t="str">
        <f>""</f>
        <v/>
      </c>
      <c r="AK1626" s="1" t="str">
        <f>""</f>
        <v/>
      </c>
    </row>
    <row r="1627" spans="1:37" x14ac:dyDescent="0.2">
      <c r="A1627" s="1">
        <v>79000</v>
      </c>
      <c r="B1627" s="1">
        <v>956200130</v>
      </c>
      <c r="C1627" s="1" t="str">
        <f>"تخليه -سيستان وبلوچستان-سيب سوران-رحمت آباد-کارگاه شن و ماسه آقاي زارعي"</f>
        <v>تخليه -سيستان وبلوچستان-سيب سوران-رحمت آباد-کارگاه شن و ماسه آقاي زارعي</v>
      </c>
      <c r="D1627" s="1">
        <v>12507</v>
      </c>
      <c r="E1627" s="1">
        <v>74680</v>
      </c>
      <c r="F1627" s="1">
        <v>95</v>
      </c>
      <c r="G1627" s="1">
        <v>4320</v>
      </c>
      <c r="H1627" s="1" t="str">
        <f>"95/10/11"</f>
        <v>95/10/11</v>
      </c>
      <c r="I1627" s="1" t="str">
        <f t="shared" si="430"/>
        <v>كيلوگرم</v>
      </c>
      <c r="J1627" s="1" t="str">
        <f>"1000000003"</f>
        <v>1000000003</v>
      </c>
      <c r="K1627" s="1" t="str">
        <f>"قير MC250"</f>
        <v>قير MC250</v>
      </c>
      <c r="L1627" s="1">
        <v>100</v>
      </c>
      <c r="M1627" s="1" t="str">
        <f t="shared" si="433"/>
        <v>مخازن قير اصفهان</v>
      </c>
      <c r="N1627" s="1">
        <v>11070</v>
      </c>
      <c r="O1627" s="1">
        <v>50033234</v>
      </c>
      <c r="P1627" s="1" t="str">
        <f>"  شايان نقشه جنوب"</f>
        <v xml:space="preserve">  شايان نقشه جنوب</v>
      </c>
      <c r="Q1627" s="1">
        <v>62</v>
      </c>
      <c r="R1627" s="1" t="str">
        <f>"فروش داخلي - سازمان بنيادمسكن انقلاب اسلامي"</f>
        <v>فروش داخلي - سازمان بنيادمسكن انقلاب اسلامي</v>
      </c>
      <c r="S1627" s="1" t="str">
        <f t="shared" si="431"/>
        <v>قرارداد فروش</v>
      </c>
      <c r="T1627" s="1" t="str">
        <f t="shared" si="432"/>
        <v>ندارد</v>
      </c>
      <c r="U1627" s="1" t="str">
        <f>"تاج سعيد هوشنگ (1031ج 89)"</f>
        <v>تاج سعيد هوشنگ (1031ج 89)</v>
      </c>
      <c r="V1627" s="1">
        <v>956200130</v>
      </c>
      <c r="W1627" s="1">
        <v>956200130</v>
      </c>
      <c r="X1627" s="1" t="str">
        <f>"1395456108"</f>
        <v>1395456108</v>
      </c>
      <c r="Y1627" s="1" t="str">
        <f>"95/10/11"</f>
        <v>95/10/11</v>
      </c>
      <c r="Z1627" s="1" t="str">
        <f>"42760/د"</f>
        <v>42760/د</v>
      </c>
      <c r="AA1627" s="1" t="str">
        <f>"بنيادمسكن انقلاب اسلامي"</f>
        <v>بنيادمسكن انقلاب اسلامي</v>
      </c>
      <c r="AB1627" s="1" t="str">
        <f>"95/10/08"</f>
        <v>95/10/08</v>
      </c>
      <c r="AC1627" s="1" t="str">
        <f>"استان سيستان بلوچستان"</f>
        <v>استان سيستان بلوچستان</v>
      </c>
      <c r="AD1627" s="1" t="str">
        <f>"95/10/11"</f>
        <v>95/10/11</v>
      </c>
      <c r="AE1627" s="1" t="str">
        <f t="shared" si="436"/>
        <v>اختتام</v>
      </c>
      <c r="AF1627" s="1" t="str">
        <f>""</f>
        <v/>
      </c>
      <c r="AG1627" s="1" t="str">
        <f>""</f>
        <v/>
      </c>
      <c r="AH1627" s="1" t="str">
        <f>""</f>
        <v/>
      </c>
      <c r="AI1627" s="1" t="str">
        <f>""</f>
        <v/>
      </c>
      <c r="AJ1627" s="1" t="str">
        <f>""</f>
        <v/>
      </c>
      <c r="AK1627" s="1" t="str">
        <f>""</f>
        <v/>
      </c>
    </row>
    <row r="1628" spans="1:37" x14ac:dyDescent="0.2">
      <c r="A1628" s="1">
        <v>30000</v>
      </c>
      <c r="B1628" s="1">
        <v>956200182</v>
      </c>
      <c r="C1628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628" s="1">
        <v>13027</v>
      </c>
      <c r="E1628" s="1">
        <v>29500</v>
      </c>
      <c r="F1628" s="1">
        <v>95</v>
      </c>
      <c r="G1628" s="1">
        <v>500</v>
      </c>
      <c r="H1628" s="1" t="str">
        <f>"95/11/05"</f>
        <v>95/11/05</v>
      </c>
      <c r="I1628" s="1" t="str">
        <f t="shared" si="430"/>
        <v>كيلوگرم</v>
      </c>
      <c r="J1628" s="1" t="str">
        <f>"1000000003"</f>
        <v>1000000003</v>
      </c>
      <c r="K1628" s="1" t="str">
        <f>"قير MC250"</f>
        <v>قير MC250</v>
      </c>
      <c r="L1628" s="1">
        <v>100</v>
      </c>
      <c r="M1628" s="1" t="str">
        <f t="shared" si="433"/>
        <v>مخازن قير اصفهان</v>
      </c>
      <c r="N1628" s="1">
        <v>11082</v>
      </c>
      <c r="O1628" s="1">
        <v>50033541</v>
      </c>
      <c r="P1628" s="1" t="str">
        <f>"  پارسيان كاني پاسارگاد"</f>
        <v xml:space="preserve">  پارسيان كاني پاسارگاد</v>
      </c>
      <c r="Q1628" s="1">
        <v>62</v>
      </c>
      <c r="R1628" s="1" t="str">
        <f>"فروش داخلي - سازمان بنيادمسكن انقلاب اسلامي"</f>
        <v>فروش داخلي - سازمان بنيادمسكن انقلاب اسلامي</v>
      </c>
      <c r="S1628" s="1" t="str">
        <f t="shared" si="431"/>
        <v>قرارداد فروش</v>
      </c>
      <c r="T1628" s="1" t="str">
        <f t="shared" si="432"/>
        <v>ندارد</v>
      </c>
      <c r="U1628" s="1" t="str">
        <f>"مرادي نجاتعلي(1020ج89)"</f>
        <v>مرادي نجاتعلي(1020ج89)</v>
      </c>
      <c r="V1628" s="1">
        <v>956200182</v>
      </c>
      <c r="W1628" s="1">
        <v>956200182</v>
      </c>
      <c r="X1628" s="1" t="str">
        <f>"1395460607"</f>
        <v>1395460607</v>
      </c>
      <c r="Y1628" s="1" t="str">
        <f>"95/11/05"</f>
        <v>95/11/05</v>
      </c>
      <c r="Z1628" s="1" t="str">
        <f>"45490/د"</f>
        <v>45490/د</v>
      </c>
      <c r="AA1628" s="1" t="str">
        <f>"بنيادمسكن انقلاب اسلامي"</f>
        <v>بنيادمسكن انقلاب اسلامي</v>
      </c>
      <c r="AB1628" s="1" t="str">
        <f>"95/10/25"</f>
        <v>95/10/25</v>
      </c>
      <c r="AC1628" s="1" t="str">
        <f>"استان اصفهان"</f>
        <v>استان اصفهان</v>
      </c>
      <c r="AD1628" s="1" t="str">
        <f>"95/11/05"</f>
        <v>95/11/05</v>
      </c>
      <c r="AE1628" s="1" t="str">
        <f t="shared" si="436"/>
        <v>اختتام</v>
      </c>
      <c r="AF1628" s="1" t="str">
        <f>""</f>
        <v/>
      </c>
      <c r="AG1628" s="1" t="str">
        <f>""</f>
        <v/>
      </c>
      <c r="AH1628" s="1" t="str">
        <f>""</f>
        <v/>
      </c>
      <c r="AI1628" s="1" t="str">
        <f>""</f>
        <v/>
      </c>
      <c r="AJ1628" s="1" t="str">
        <f>""</f>
        <v/>
      </c>
      <c r="AK1628" s="1" t="str">
        <f>""</f>
        <v/>
      </c>
    </row>
    <row r="1629" spans="1:37" x14ac:dyDescent="0.2">
      <c r="A1629" s="1">
        <v>48000</v>
      </c>
      <c r="B1629" s="1">
        <v>951100102</v>
      </c>
      <c r="C1629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29" s="1">
        <v>10200</v>
      </c>
      <c r="E1629" s="1">
        <v>48000</v>
      </c>
      <c r="F1629" s="1">
        <v>95</v>
      </c>
      <c r="G1629" s="1">
        <v>0</v>
      </c>
      <c r="H1629" s="1" t="str">
        <f>"95/05/23"</f>
        <v>95/05/23</v>
      </c>
      <c r="I1629" s="1" t="str">
        <f t="shared" si="430"/>
        <v>كيلوگرم</v>
      </c>
      <c r="J1629" s="1" t="str">
        <f>"1000000003"</f>
        <v>1000000003</v>
      </c>
      <c r="K1629" s="1" t="str">
        <f>"قير MC250"</f>
        <v>قير MC250</v>
      </c>
      <c r="L1629" s="1">
        <v>100</v>
      </c>
      <c r="M1629" s="1" t="str">
        <f t="shared" si="433"/>
        <v>مخازن قير اصفهان</v>
      </c>
      <c r="N1629" s="1">
        <v>11096</v>
      </c>
      <c r="O1629" s="1">
        <v>50031508</v>
      </c>
      <c r="P1629" s="1" t="str">
        <f>"  شهرداري زنجان"</f>
        <v xml:space="preserve">  شهرداري زنجان</v>
      </c>
      <c r="Q1629" s="1">
        <v>11</v>
      </c>
      <c r="R1629" s="1" t="str">
        <f>"فروش داخلي تهران - بورس"</f>
        <v>فروش داخلي تهران - بورس</v>
      </c>
      <c r="S1629" s="1" t="str">
        <f t="shared" si="431"/>
        <v>قرارداد فروش</v>
      </c>
      <c r="T1629" s="1" t="str">
        <f t="shared" si="432"/>
        <v>ندارد</v>
      </c>
      <c r="U1629" s="1" t="str">
        <f>"هادي سيه رود(3863023)"</f>
        <v>هادي سيه رود(3863023)</v>
      </c>
      <c r="V1629" s="1">
        <v>951100102</v>
      </c>
      <c r="W1629" s="1">
        <v>951100102</v>
      </c>
      <c r="X1629" s="1" t="str">
        <f>"1395423484"</f>
        <v>1395423484</v>
      </c>
      <c r="Y1629" s="1" t="str">
        <f>"95/05/23"</f>
        <v>95/05/23</v>
      </c>
      <c r="Z1629" s="1" t="str">
        <f>"95/2/21394"</f>
        <v>95/2/21394</v>
      </c>
      <c r="AA1629" s="1" t="str">
        <f>"شهرداريها"</f>
        <v>شهرداريها</v>
      </c>
      <c r="AB1629" s="1" t="str">
        <f>"95/05/16"</f>
        <v>95/05/16</v>
      </c>
      <c r="AC1629" s="1" t="str">
        <f>"استان زنجان"</f>
        <v>استان زنجان</v>
      </c>
      <c r="AD1629" s="1" t="str">
        <f>"95/05/23"</f>
        <v>95/05/23</v>
      </c>
      <c r="AE1629" s="1" t="str">
        <f>"تاييدشده"</f>
        <v>تاييدشده</v>
      </c>
      <c r="AF1629" s="1" t="str">
        <f>""</f>
        <v/>
      </c>
      <c r="AG1629" s="1" t="str">
        <f>""</f>
        <v/>
      </c>
      <c r="AH1629" s="1" t="str">
        <f>""</f>
        <v/>
      </c>
      <c r="AI1629" s="1" t="str">
        <f>""</f>
        <v/>
      </c>
      <c r="AJ1629" s="1" t="str">
        <f>""</f>
        <v/>
      </c>
      <c r="AK1629" s="1" t="str">
        <f>""</f>
        <v/>
      </c>
    </row>
    <row r="1630" spans="1:37" x14ac:dyDescent="0.2">
      <c r="A1630" s="1">
        <v>500000</v>
      </c>
      <c r="B1630" s="1">
        <v>951900025</v>
      </c>
      <c r="C1630" s="1" t="str">
        <f>"تخليه-آزادراه قم- کاشان-مقابل باغ فين-کارخانه تدبير راه صفاهان"</f>
        <v>تخليه-آزادراه قم- کاشان-مقابل باغ فين-کارخانه تدبير راه صفاهان</v>
      </c>
      <c r="D1630" s="1">
        <v>6050</v>
      </c>
      <c r="E1630" s="1">
        <v>500000</v>
      </c>
      <c r="F1630" s="1">
        <v>95</v>
      </c>
      <c r="G1630" s="1">
        <v>0</v>
      </c>
      <c r="H1630" s="1" t="str">
        <f>"95/03/30"</f>
        <v>95/03/30</v>
      </c>
      <c r="I1630" s="1" t="str">
        <f t="shared" si="430"/>
        <v>كيلوگرم</v>
      </c>
      <c r="J1630" s="1" t="str">
        <f>"0000000092"</f>
        <v>0000000092</v>
      </c>
      <c r="K1630" s="1" t="str">
        <f>"قير  PG64-16"</f>
        <v>قير  PG64-16</v>
      </c>
      <c r="L1630" s="1">
        <v>100</v>
      </c>
      <c r="M1630" s="1" t="str">
        <f t="shared" si="433"/>
        <v>مخازن قير اصفهان</v>
      </c>
      <c r="N1630" s="1">
        <v>8508</v>
      </c>
      <c r="O1630" s="1">
        <v>50031073</v>
      </c>
      <c r="P1630" s="1" t="str">
        <f>"  آزادراه اميركبير"</f>
        <v xml:space="preserve">  آزادراه اميركبير</v>
      </c>
      <c r="Q1630" s="1">
        <v>19</v>
      </c>
      <c r="R163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30" s="1" t="str">
        <f t="shared" si="431"/>
        <v>قرارداد فروش</v>
      </c>
      <c r="T1630" s="1" t="str">
        <f t="shared" si="432"/>
        <v>ندارد</v>
      </c>
      <c r="U1630" s="1" t="str">
        <f>"علي عابدي ابوالقاسم(1003ج89)"</f>
        <v>علي عابدي ابوالقاسم(1003ج89)</v>
      </c>
      <c r="V1630" s="1">
        <v>951900025</v>
      </c>
      <c r="W1630" s="1">
        <v>951900025</v>
      </c>
      <c r="X1630" s="1" t="str">
        <f>"1395410065"</f>
        <v>1395410065</v>
      </c>
      <c r="Y1630" s="1" t="str">
        <f>"95/03/29"</f>
        <v>95/03/29</v>
      </c>
      <c r="Z1630" s="1" t="str">
        <f>"62500/510"</f>
        <v>62500/510</v>
      </c>
      <c r="AA1630" s="1" t="str">
        <f>"سازمان راهداري وحمل نقل جاده اي"</f>
        <v>سازمان راهداري وحمل نقل جاده اي</v>
      </c>
      <c r="AB1630" s="1" t="str">
        <f>"94/11/12"</f>
        <v>94/11/12</v>
      </c>
      <c r="AC1630" s="1" t="str">
        <f>"استان اصفهان"</f>
        <v>استان اصفهان</v>
      </c>
      <c r="AD1630" s="1" t="str">
        <f>"95/03/29"</f>
        <v>95/03/29</v>
      </c>
      <c r="AE1630" s="1" t="str">
        <f t="shared" ref="AE1630:AE1667" si="437">"اختتام"</f>
        <v>اختتام</v>
      </c>
      <c r="AF1630" s="1" t="str">
        <f>""</f>
        <v/>
      </c>
      <c r="AG1630" s="1" t="str">
        <f>""</f>
        <v/>
      </c>
      <c r="AH1630" s="1" t="str">
        <f>""</f>
        <v/>
      </c>
      <c r="AI1630" s="1" t="str">
        <f>""</f>
        <v/>
      </c>
      <c r="AJ1630" s="1" t="str">
        <f>""</f>
        <v/>
      </c>
      <c r="AK1630" s="1" t="str">
        <f>""</f>
        <v/>
      </c>
    </row>
    <row r="1631" spans="1:37" x14ac:dyDescent="0.2">
      <c r="A1631" s="1">
        <v>600000</v>
      </c>
      <c r="B1631" s="1">
        <v>951900021</v>
      </c>
      <c r="C1631" s="1" t="str">
        <f>"تخليه -اصفهان -شهرك صنعتي تيران -كارخانه آسفالت ميلادراه سپاهان"</f>
        <v>تخليه -اصفهان -شهرك صنعتي تيران -كارخانه آسفالت ميلادراه سپاهان</v>
      </c>
      <c r="D1631" s="1">
        <v>5650</v>
      </c>
      <c r="E1631" s="1">
        <v>599160</v>
      </c>
      <c r="F1631" s="1">
        <v>95</v>
      </c>
      <c r="G1631" s="1">
        <v>840</v>
      </c>
      <c r="H1631" s="1" t="str">
        <f>"95/02/30"</f>
        <v>95/02/30</v>
      </c>
      <c r="I1631" s="1" t="str">
        <f t="shared" si="430"/>
        <v>كيلوگرم</v>
      </c>
      <c r="J1631" s="1" t="str">
        <f>"0000000092"</f>
        <v>0000000092</v>
      </c>
      <c r="K1631" s="1" t="str">
        <f>"قير  PG64-16"</f>
        <v>قير  PG64-16</v>
      </c>
      <c r="L1631" s="1">
        <v>100</v>
      </c>
      <c r="M1631" s="1" t="str">
        <f t="shared" si="433"/>
        <v>مخازن قير اصفهان</v>
      </c>
      <c r="N1631" s="1">
        <v>8643</v>
      </c>
      <c r="O1631" s="1">
        <v>50030885</v>
      </c>
      <c r="P1631" s="1" t="str">
        <f>"  ميلاد راه سپاهان"</f>
        <v xml:space="preserve">  ميلاد راه سپاهان</v>
      </c>
      <c r="Q1631" s="1">
        <v>19</v>
      </c>
      <c r="R16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31" s="1" t="str">
        <f t="shared" si="431"/>
        <v>قرارداد فروش</v>
      </c>
      <c r="T1631" s="1" t="str">
        <f t="shared" si="432"/>
        <v>ندارد</v>
      </c>
      <c r="U1631" s="1" t="str">
        <f>"مرادي نجاتعلي(1020ج89)"</f>
        <v>مرادي نجاتعلي(1020ج89)</v>
      </c>
      <c r="V1631" s="1">
        <v>951900021</v>
      </c>
      <c r="W1631" s="1">
        <v>951900021</v>
      </c>
      <c r="X1631" s="1" t="str">
        <f>"1395404432"</f>
        <v>1395404432</v>
      </c>
      <c r="Y1631" s="1" t="str">
        <f>"95/02/30"</f>
        <v>95/02/30</v>
      </c>
      <c r="Z1631" s="1" t="str">
        <f>"42544/510"</f>
        <v>42544/510</v>
      </c>
      <c r="AA1631" s="1" t="str">
        <f>"سازمان راهداري وحمل نقل جاده اي"</f>
        <v>سازمان راهداري وحمل نقل جاده اي</v>
      </c>
      <c r="AB1631" s="1" t="str">
        <f>"94/08/04"</f>
        <v>94/08/04</v>
      </c>
      <c r="AC1631" s="1" t="str">
        <f>"استان اصفهان"</f>
        <v>استان اصفهان</v>
      </c>
      <c r="AD1631" s="1" t="str">
        <f>"95/02/27"</f>
        <v>95/02/27</v>
      </c>
      <c r="AE1631" s="1" t="str">
        <f t="shared" si="437"/>
        <v>اختتام</v>
      </c>
      <c r="AF1631" s="1" t="str">
        <f>""</f>
        <v/>
      </c>
      <c r="AG1631" s="1" t="str">
        <f>""</f>
        <v/>
      </c>
      <c r="AH1631" s="1" t="str">
        <f>""</f>
        <v/>
      </c>
      <c r="AI1631" s="1" t="str">
        <f>""</f>
        <v/>
      </c>
      <c r="AJ1631" s="1" t="str">
        <f>""</f>
        <v/>
      </c>
      <c r="AK1631" s="1" t="str">
        <f>""</f>
        <v/>
      </c>
    </row>
    <row r="1632" spans="1:37" x14ac:dyDescent="0.2">
      <c r="A1632" s="1">
        <v>42000</v>
      </c>
      <c r="B1632" s="1">
        <v>951100055</v>
      </c>
      <c r="C1632" s="1" t="str">
        <f>"تخليه -ساوه كيلومتر 5جاده همدان دست راست مجتمع توليدي سازمان عمران شهر داري"</f>
        <v>تخليه -ساوه كيلومتر 5جاده همدان دست راست مجتمع توليدي سازمان عمران شهر داري</v>
      </c>
      <c r="D1632" s="1">
        <v>9860</v>
      </c>
      <c r="E1632" s="1">
        <v>40200</v>
      </c>
      <c r="F1632" s="1">
        <v>95</v>
      </c>
      <c r="G1632" s="1">
        <v>1800</v>
      </c>
      <c r="H1632" s="1" t="str">
        <f>"95/03/08"</f>
        <v>95/03/08</v>
      </c>
      <c r="I1632" s="1" t="str">
        <f t="shared" si="430"/>
        <v>كيلوگرم</v>
      </c>
      <c r="J1632" s="1" t="str">
        <f>"1000000003"</f>
        <v>1000000003</v>
      </c>
      <c r="K1632" s="1" t="str">
        <f>"قير MC250"</f>
        <v>قير MC250</v>
      </c>
      <c r="L1632" s="1">
        <v>100</v>
      </c>
      <c r="M1632" s="1" t="str">
        <f t="shared" si="433"/>
        <v>مخازن قير اصفهان</v>
      </c>
      <c r="N1632" s="1">
        <v>9409</v>
      </c>
      <c r="O1632" s="1">
        <v>50030901</v>
      </c>
      <c r="P1632" s="1" t="str">
        <f>"  شهرداري ساوه"</f>
        <v xml:space="preserve">  شهرداري ساوه</v>
      </c>
      <c r="Q1632" s="1">
        <v>11</v>
      </c>
      <c r="R1632" s="1" t="str">
        <f>"فروش داخلي تهران - بورس"</f>
        <v>فروش داخلي تهران - بورس</v>
      </c>
      <c r="S1632" s="1" t="str">
        <f t="shared" si="431"/>
        <v>قرارداد فروش</v>
      </c>
      <c r="T1632" s="1" t="str">
        <f t="shared" si="432"/>
        <v>ندارد</v>
      </c>
      <c r="U1632" s="1" t="str">
        <f>"اميري علي(2842011)"</f>
        <v>اميري علي(2842011)</v>
      </c>
      <c r="V1632" s="1">
        <v>951100055</v>
      </c>
      <c r="W1632" s="1">
        <v>951100055</v>
      </c>
      <c r="X1632" s="1" t="str">
        <f>"1395406246"</f>
        <v>1395406246</v>
      </c>
      <c r="Y1632" s="1" t="str">
        <f>"95/03/08"</f>
        <v>95/03/08</v>
      </c>
      <c r="Z1632" s="1" t="str">
        <f>"16/5855"</f>
        <v>16/5855</v>
      </c>
      <c r="AA1632" s="1" t="str">
        <f>"شهرداريها"</f>
        <v>شهرداريها</v>
      </c>
      <c r="AB1632" s="1" t="str">
        <f>"95/02/26"</f>
        <v>95/02/26</v>
      </c>
      <c r="AC1632" s="1" t="str">
        <f>"استان مركزي"</f>
        <v>استان مركزي</v>
      </c>
      <c r="AD1632" s="1" t="str">
        <f>"95/03/08"</f>
        <v>95/03/08</v>
      </c>
      <c r="AE1632" s="1" t="str">
        <f t="shared" si="437"/>
        <v>اختتام</v>
      </c>
      <c r="AF1632" s="1" t="str">
        <f>""</f>
        <v/>
      </c>
      <c r="AG1632" s="1" t="str">
        <f>""</f>
        <v/>
      </c>
      <c r="AH1632" s="1" t="str">
        <f>""</f>
        <v/>
      </c>
      <c r="AI1632" s="1" t="str">
        <f>""</f>
        <v/>
      </c>
      <c r="AJ1632" s="1" t="str">
        <f>""</f>
        <v/>
      </c>
      <c r="AK1632" s="1" t="str">
        <f>""</f>
        <v/>
      </c>
    </row>
    <row r="1633" spans="1:37" x14ac:dyDescent="0.2">
      <c r="A1633" s="1">
        <v>40000</v>
      </c>
      <c r="B1633" s="1">
        <v>952000124</v>
      </c>
      <c r="C1633" s="1" t="str">
        <f>"تخليه كهگيلويه وبويراحمد-ياسوج كارخانه آسفالت دارشاهي"</f>
        <v>تخليه كهگيلويه وبويراحمد-ياسوج كارخانه آسفالت دارشاهي</v>
      </c>
      <c r="D1633" s="1">
        <v>11000</v>
      </c>
      <c r="E1633" s="1">
        <v>40000</v>
      </c>
      <c r="F1633" s="1">
        <v>95</v>
      </c>
      <c r="G1633" s="1">
        <v>0</v>
      </c>
      <c r="H1633" s="1" t="str">
        <f>"95/07/11"</f>
        <v>95/07/11</v>
      </c>
      <c r="I1633" s="1" t="str">
        <f t="shared" si="430"/>
        <v>كيلوگرم</v>
      </c>
      <c r="J1633" s="1" t="str">
        <f>"1000000003"</f>
        <v>1000000003</v>
      </c>
      <c r="K1633" s="1" t="str">
        <f>"قير MC250"</f>
        <v>قير MC250</v>
      </c>
      <c r="L1633" s="1">
        <v>100</v>
      </c>
      <c r="M1633" s="1" t="str">
        <f t="shared" si="433"/>
        <v>مخازن قير اصفهان</v>
      </c>
      <c r="N1633" s="1">
        <v>11191</v>
      </c>
      <c r="O1633" s="1">
        <v>50033057</v>
      </c>
      <c r="P1633" s="1" t="str">
        <f>"  شهرداري گراب سفلي"</f>
        <v xml:space="preserve">  شهرداري گراب سفلي</v>
      </c>
      <c r="Q1633" s="1">
        <v>20</v>
      </c>
      <c r="R1633" s="1" t="str">
        <f>"فروش داخلي - سازمان شهرداري ها و دهياري هاي كشور"</f>
        <v>فروش داخلي - سازمان شهرداري ها و دهياري هاي كشور</v>
      </c>
      <c r="S1633" s="1" t="str">
        <f t="shared" si="431"/>
        <v>قرارداد فروش</v>
      </c>
      <c r="T1633" s="1" t="str">
        <f t="shared" si="432"/>
        <v>ندارد</v>
      </c>
      <c r="U1633" s="1" t="str">
        <f>"تعاوني جم گستر (1001 ج 89)"</f>
        <v>تعاوني جم گستر (1001 ج 89)</v>
      </c>
      <c r="V1633" s="1">
        <v>952000124</v>
      </c>
      <c r="W1633" s="1">
        <v>952000124</v>
      </c>
      <c r="X1633" s="1" t="str">
        <f>"1395435094"</f>
        <v>1395435094</v>
      </c>
      <c r="Y1633" s="1" t="str">
        <f>"95/07/11"</f>
        <v>95/07/11</v>
      </c>
      <c r="Z1633" s="1" t="str">
        <f>"32546"</f>
        <v>32546</v>
      </c>
      <c r="AA1633" s="1" t="str">
        <f>"شهرداريها"</f>
        <v>شهرداريها</v>
      </c>
      <c r="AB1633" s="1" t="str">
        <f>"95/07/06"</f>
        <v>95/07/06</v>
      </c>
      <c r="AC1633" s="1" t="str">
        <f>"كهكيلويه و بوير احمد"</f>
        <v>كهكيلويه و بوير احمد</v>
      </c>
      <c r="AD1633" s="1" t="str">
        <f>"95/07/10"</f>
        <v>95/07/10</v>
      </c>
      <c r="AE1633" s="1" t="str">
        <f t="shared" si="437"/>
        <v>اختتام</v>
      </c>
      <c r="AF1633" s="1" t="str">
        <f>""</f>
        <v/>
      </c>
      <c r="AG1633" s="1" t="str">
        <f>""</f>
        <v/>
      </c>
      <c r="AH1633" s="1" t="str">
        <f>""</f>
        <v/>
      </c>
      <c r="AI1633" s="1" t="str">
        <f>""</f>
        <v/>
      </c>
      <c r="AJ1633" s="1" t="str">
        <f>""</f>
        <v/>
      </c>
      <c r="AK1633" s="1" t="str">
        <f>""</f>
        <v/>
      </c>
    </row>
    <row r="1634" spans="1:37" x14ac:dyDescent="0.2">
      <c r="A1634" s="1">
        <v>75340</v>
      </c>
      <c r="B1634" s="1">
        <v>951400082</v>
      </c>
      <c r="C1634" s="1" t="str">
        <f>"تخليه 100كيلومترمانده به چابهار-محورجكيگور-چابهار-فني مهندسي راهدارصنعت"</f>
        <v>تخليه 100كيلومترمانده به چابهار-محورجكيگور-چابهار-فني مهندسي راهدارصنعت</v>
      </c>
      <c r="D1634" s="1">
        <v>8323</v>
      </c>
      <c r="E1634" s="1">
        <v>75060</v>
      </c>
      <c r="F1634" s="1">
        <v>95</v>
      </c>
      <c r="G1634" s="1">
        <v>280</v>
      </c>
      <c r="H1634" s="1" t="str">
        <f>"95/08/08"</f>
        <v>95/08/08</v>
      </c>
      <c r="I1634" s="1" t="str">
        <f t="shared" si="430"/>
        <v>كيلوگرم</v>
      </c>
      <c r="J1634" s="1" t="str">
        <f t="shared" ref="J1634:J1642" si="438">"0000000092"</f>
        <v>0000000092</v>
      </c>
      <c r="K1634" s="1" t="str">
        <f t="shared" ref="K1634:K1642" si="439">"قير  PG64-16"</f>
        <v>قير  PG64-16</v>
      </c>
      <c r="L1634" s="1">
        <v>100</v>
      </c>
      <c r="M1634" s="1" t="str">
        <f t="shared" si="433"/>
        <v>مخازن قير اصفهان</v>
      </c>
      <c r="N1634" s="1">
        <v>9406</v>
      </c>
      <c r="O1634" s="1">
        <v>50032371</v>
      </c>
      <c r="P1634" s="1" t="str">
        <f>"  فني مهندسي راهدارصنعت"</f>
        <v xml:space="preserve">  فني مهندسي راهدارصنعت</v>
      </c>
      <c r="Q1634" s="1">
        <v>14</v>
      </c>
      <c r="R1634" s="1" t="str">
        <f>"فروش داخلي - وزارت راه - حوزه راه روستايي ساخت"</f>
        <v>فروش داخلي - وزارت راه - حوزه راه روستايي ساخت</v>
      </c>
      <c r="S1634" s="1" t="str">
        <f t="shared" si="431"/>
        <v>قرارداد فروش</v>
      </c>
      <c r="T1634" s="1" t="str">
        <f t="shared" si="432"/>
        <v>ندارد</v>
      </c>
      <c r="U1634" s="1" t="str">
        <f>"شهبازي محمدرضا(1029ج89)"</f>
        <v>شهبازي محمدرضا(1029ج89)</v>
      </c>
      <c r="V1634" s="1">
        <v>951400082</v>
      </c>
      <c r="W1634" s="1">
        <v>951400082</v>
      </c>
      <c r="X1634" s="1" t="str">
        <f>"1395408770"</f>
        <v>1395408770</v>
      </c>
      <c r="Y1634" s="1" t="str">
        <f>"95/08/08"</f>
        <v>95/08/08</v>
      </c>
      <c r="Z1634" s="1" t="str">
        <f>"11093/510"</f>
        <v>11093/510</v>
      </c>
      <c r="AA1634" s="1" t="str">
        <f>"راه وروستايي -ساخت"</f>
        <v>راه وروستايي -ساخت</v>
      </c>
      <c r="AB1634" s="1" t="str">
        <f>"95/03/18"</f>
        <v>95/03/18</v>
      </c>
      <c r="AC1634" s="1" t="str">
        <f>"ايرانشهر"</f>
        <v>ايرانشهر</v>
      </c>
      <c r="AD1634" s="1" t="str">
        <f>"95/03/22"</f>
        <v>95/03/22</v>
      </c>
      <c r="AE1634" s="1" t="str">
        <f t="shared" si="437"/>
        <v>اختتام</v>
      </c>
      <c r="AF1634" s="1" t="str">
        <f>""</f>
        <v/>
      </c>
      <c r="AG1634" s="1" t="str">
        <f>""</f>
        <v/>
      </c>
      <c r="AH1634" s="1" t="str">
        <f>""</f>
        <v/>
      </c>
      <c r="AI1634" s="1" t="str">
        <f>""</f>
        <v/>
      </c>
      <c r="AJ1634" s="1" t="str">
        <f>""</f>
        <v/>
      </c>
      <c r="AK1634" s="1" t="str">
        <f>""</f>
        <v/>
      </c>
    </row>
    <row r="1635" spans="1:37" x14ac:dyDescent="0.2">
      <c r="A1635" s="1">
        <v>1000000</v>
      </c>
      <c r="B1635" s="1">
        <v>951900255</v>
      </c>
      <c r="C1635" s="1" t="str">
        <f>"تخليه -جنوب كرمان -جيرفت جنب كارخانه سبوس -كارخانه ره يادسازه جنوب"</f>
        <v>تخليه -جنوب كرمان -جيرفت جنب كارخانه سبوس -كارخانه ره يادسازه جنوب</v>
      </c>
      <c r="D1635" s="1">
        <v>9511</v>
      </c>
      <c r="E1635" s="1">
        <v>998780</v>
      </c>
      <c r="F1635" s="1">
        <v>95</v>
      </c>
      <c r="G1635" s="1">
        <v>1220</v>
      </c>
      <c r="H1635" s="1" t="str">
        <f>"95/11/03"</f>
        <v>95/11/03</v>
      </c>
      <c r="I1635" s="1" t="str">
        <f t="shared" si="430"/>
        <v>كيلوگرم</v>
      </c>
      <c r="J1635" s="1" t="str">
        <f t="shared" si="438"/>
        <v>0000000092</v>
      </c>
      <c r="K1635" s="1" t="str">
        <f t="shared" si="439"/>
        <v>قير  PG64-16</v>
      </c>
      <c r="L1635" s="1">
        <v>100</v>
      </c>
      <c r="M1635" s="1" t="str">
        <f t="shared" si="433"/>
        <v>مخازن قير اصفهان</v>
      </c>
      <c r="N1635" s="1">
        <v>9424</v>
      </c>
      <c r="O1635" s="1">
        <v>50033469</v>
      </c>
      <c r="P1635" s="1" t="str">
        <f>"  راه وساختمان ره يادسازه جنوب"</f>
        <v xml:space="preserve">  راه وساختمان ره يادسازه جنوب</v>
      </c>
      <c r="Q1635" s="1">
        <v>19</v>
      </c>
      <c r="R16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35" s="1" t="str">
        <f t="shared" si="431"/>
        <v>قرارداد فروش</v>
      </c>
      <c r="T1635" s="1" t="str">
        <f t="shared" si="432"/>
        <v>ندارد</v>
      </c>
      <c r="U1635" s="1" t="str">
        <f>"حاصليان ترابرجنوب مرتضي حاصلي (4844006)"</f>
        <v>حاصليان ترابرجنوب مرتضي حاصلي (4844006)</v>
      </c>
      <c r="V1635" s="1">
        <v>951900255</v>
      </c>
      <c r="W1635" s="1">
        <v>951900255</v>
      </c>
      <c r="X1635" s="1" t="str">
        <f>"1395456603"</f>
        <v>1395456603</v>
      </c>
      <c r="Y1635" s="1" t="str">
        <f>"95/11/03"</f>
        <v>95/11/03</v>
      </c>
      <c r="Z1635" s="1" t="str">
        <f>"46047/710"</f>
        <v>46047/710</v>
      </c>
      <c r="AA1635" s="1" t="str">
        <f>"سازمان راهداري وحمل نقل جاده اي"</f>
        <v>سازمان راهداري وحمل نقل جاده اي</v>
      </c>
      <c r="AB1635" s="1" t="str">
        <f>"95/09/22"</f>
        <v>95/09/22</v>
      </c>
      <c r="AC1635" s="1" t="str">
        <f>"جنوب کرمان"</f>
        <v>جنوب کرمان</v>
      </c>
      <c r="AD1635" s="1" t="str">
        <f>"95/10/14"</f>
        <v>95/10/14</v>
      </c>
      <c r="AE1635" s="1" t="str">
        <f t="shared" si="437"/>
        <v>اختتام</v>
      </c>
      <c r="AF1635" s="1" t="str">
        <f>""</f>
        <v/>
      </c>
      <c r="AG1635" s="1" t="str">
        <f>""</f>
        <v/>
      </c>
      <c r="AH1635" s="1" t="str">
        <f>""</f>
        <v/>
      </c>
      <c r="AI1635" s="1" t="str">
        <f>""</f>
        <v/>
      </c>
      <c r="AJ1635" s="1" t="str">
        <f>""</f>
        <v/>
      </c>
      <c r="AK1635" s="1" t="str">
        <f>""</f>
        <v/>
      </c>
    </row>
    <row r="1636" spans="1:37" x14ac:dyDescent="0.2">
      <c r="A1636" s="1">
        <v>1310000</v>
      </c>
      <c r="B1636" s="1">
        <v>951700071</v>
      </c>
      <c r="C1636" s="1" t="str">
        <f>"تخليه -خرم آباد-جاده خرم آباد-كوهدشت كيلومتر50جنب پل قديمي كارخانه آسفالت بهاروند"</f>
        <v>تخليه -خرم آباد-جاده خرم آباد-كوهدشت كيلومتر50جنب پل قديمي كارخانه آسفالت بهاروند</v>
      </c>
      <c r="D1636" s="1">
        <v>6250</v>
      </c>
      <c r="E1636" s="1">
        <v>1310000</v>
      </c>
      <c r="F1636" s="1">
        <v>95</v>
      </c>
      <c r="G1636" s="1">
        <v>0</v>
      </c>
      <c r="H1636" s="1" t="str">
        <f>"95/04/06"</f>
        <v>95/04/06</v>
      </c>
      <c r="I1636" s="1" t="str">
        <f t="shared" si="430"/>
        <v>كيلوگرم</v>
      </c>
      <c r="J1636" s="1" t="str">
        <f t="shared" si="438"/>
        <v>0000000092</v>
      </c>
      <c r="K1636" s="1" t="str">
        <f t="shared" si="439"/>
        <v>قير  PG64-16</v>
      </c>
      <c r="L1636" s="1">
        <v>100</v>
      </c>
      <c r="M1636" s="1" t="str">
        <f t="shared" si="433"/>
        <v>مخازن قير اصفهان</v>
      </c>
      <c r="N1636" s="1">
        <v>9527</v>
      </c>
      <c r="O1636" s="1">
        <v>50031143</v>
      </c>
      <c r="P1636" s="1" t="str">
        <f>"  آبادگران راه خرم"</f>
        <v xml:space="preserve">  آبادگران راه خرم</v>
      </c>
      <c r="Q1636" s="1">
        <v>17</v>
      </c>
      <c r="R1636" s="1" t="str">
        <f>"فروش داخلي تهران - وزارت راه - راه روستايي - روکش"</f>
        <v>فروش داخلي تهران - وزارت راه - راه روستايي - روکش</v>
      </c>
      <c r="S1636" s="1" t="str">
        <f t="shared" si="431"/>
        <v>قرارداد فروش</v>
      </c>
      <c r="T1636" s="1" t="str">
        <f t="shared" si="432"/>
        <v>ندارد</v>
      </c>
      <c r="U1636" s="1" t="str">
        <f>"ريسماني حسن(1007ج89)"</f>
        <v>ريسماني حسن(1007ج89)</v>
      </c>
      <c r="V1636" s="1">
        <v>951700071</v>
      </c>
      <c r="W1636" s="1">
        <v>951700071</v>
      </c>
      <c r="X1636" s="1" t="str">
        <f>"1395411356"</f>
        <v>1395411356</v>
      </c>
      <c r="Y1636" s="1" t="str">
        <f>"95/04/06"</f>
        <v>95/04/06</v>
      </c>
      <c r="Z1636" s="1" t="str">
        <f>"13019/510"</f>
        <v>13019/510</v>
      </c>
      <c r="AA1636" s="1" t="str">
        <f>"راه روستائي -روكش"</f>
        <v>راه روستائي -روكش</v>
      </c>
      <c r="AB1636" s="1" t="str">
        <f>"95/03/29"</f>
        <v>95/03/29</v>
      </c>
      <c r="AC1636" s="1" t="str">
        <f>"لرستان"</f>
        <v>لرستان</v>
      </c>
      <c r="AD1636" s="1" t="str">
        <f>"95/04/06"</f>
        <v>95/04/06</v>
      </c>
      <c r="AE1636" s="1" t="str">
        <f t="shared" si="437"/>
        <v>اختتام</v>
      </c>
      <c r="AF1636" s="1" t="str">
        <f>""</f>
        <v/>
      </c>
      <c r="AG1636" s="1" t="str">
        <f>""</f>
        <v/>
      </c>
      <c r="AH1636" s="1" t="str">
        <f>""</f>
        <v/>
      </c>
      <c r="AI1636" s="1" t="str">
        <f>""</f>
        <v/>
      </c>
      <c r="AJ1636" s="1" t="str">
        <f>""</f>
        <v/>
      </c>
      <c r="AK1636" s="1" t="str">
        <f>""</f>
        <v/>
      </c>
    </row>
    <row r="1637" spans="1:37" x14ac:dyDescent="0.2">
      <c r="A1637" s="1">
        <v>500000</v>
      </c>
      <c r="B1637" s="1">
        <v>951800009</v>
      </c>
      <c r="C1637" s="1" t="str">
        <f>"تخليه -اصفهان -داران -سه راه فريدون شهر-كيلومتريك به سمت بوئين مياندشت"</f>
        <v>تخليه -اصفهان -داران -سه راه فريدون شهر-كيلومتريك به سمت بوئين مياندشت</v>
      </c>
      <c r="D1637" s="1">
        <v>6050</v>
      </c>
      <c r="E1637" s="1">
        <v>500000</v>
      </c>
      <c r="F1637" s="1">
        <v>95</v>
      </c>
      <c r="G1637" s="1">
        <v>0</v>
      </c>
      <c r="H1637" s="1" t="str">
        <f>"95/03/18"</f>
        <v>95/03/18</v>
      </c>
      <c r="I1637" s="1" t="str">
        <f t="shared" si="430"/>
        <v>كيلوگرم</v>
      </c>
      <c r="J1637" s="1" t="str">
        <f t="shared" si="438"/>
        <v>0000000092</v>
      </c>
      <c r="K1637" s="1" t="str">
        <f t="shared" si="439"/>
        <v>قير  PG64-16</v>
      </c>
      <c r="L1637" s="1">
        <v>100</v>
      </c>
      <c r="M1637" s="1" t="str">
        <f t="shared" si="433"/>
        <v>مخازن قير اصفهان</v>
      </c>
      <c r="N1637" s="1">
        <v>9639</v>
      </c>
      <c r="O1637" s="1">
        <v>50030979</v>
      </c>
      <c r="P1637" s="1" t="str">
        <f>"  بهاران بتن فراگيران"</f>
        <v xml:space="preserve">  بهاران بتن فراگيران</v>
      </c>
      <c r="Q1637" s="1">
        <v>18</v>
      </c>
      <c r="R1637" s="1" t="str">
        <f>"فروش داخلي تهران - وزارت راه - شرکت ساخت و توسعه راهها"</f>
        <v>فروش داخلي تهران - وزارت راه - شرکت ساخت و توسعه راهها</v>
      </c>
      <c r="S1637" s="1" t="str">
        <f t="shared" si="431"/>
        <v>قرارداد فروش</v>
      </c>
      <c r="T1637" s="1" t="str">
        <f t="shared" si="432"/>
        <v>ندارد</v>
      </c>
      <c r="U1637" s="1" t="str">
        <f>"مرادي نجاتعلي(1020ج89)"</f>
        <v>مرادي نجاتعلي(1020ج89)</v>
      </c>
      <c r="V1637" s="1">
        <v>951800009</v>
      </c>
      <c r="W1637" s="1">
        <v>951800009</v>
      </c>
      <c r="X1637" s="1" t="str">
        <f>"1395407988"</f>
        <v>1395407988</v>
      </c>
      <c r="Y1637" s="1" t="str">
        <f>"95/03/18"</f>
        <v>95/03/18</v>
      </c>
      <c r="Z1637" s="1" t="str">
        <f>"10416/510"</f>
        <v>10416/510</v>
      </c>
      <c r="AA1637" s="1" t="str">
        <f>"شركت  ساخت وتوسعه راهها"</f>
        <v>شركت  ساخت وتوسعه راهها</v>
      </c>
      <c r="AB1637" s="1" t="str">
        <f>"95/03/12"</f>
        <v>95/03/12</v>
      </c>
      <c r="AC1637" s="1" t="str">
        <f>"استان اصفهان"</f>
        <v>استان اصفهان</v>
      </c>
      <c r="AD1637" s="1" t="str">
        <f>"95/03/18"</f>
        <v>95/03/18</v>
      </c>
      <c r="AE1637" s="1" t="str">
        <f t="shared" si="437"/>
        <v>اختتام</v>
      </c>
      <c r="AF1637" s="1" t="str">
        <f>""</f>
        <v/>
      </c>
      <c r="AG1637" s="1" t="str">
        <f>""</f>
        <v/>
      </c>
      <c r="AH1637" s="1" t="str">
        <f>""</f>
        <v/>
      </c>
      <c r="AI1637" s="1" t="str">
        <f>""</f>
        <v/>
      </c>
      <c r="AJ1637" s="1" t="str">
        <f>""</f>
        <v/>
      </c>
      <c r="AK1637" s="1" t="str">
        <f>""</f>
        <v/>
      </c>
    </row>
    <row r="1638" spans="1:37" x14ac:dyDescent="0.2">
      <c r="A1638" s="1">
        <v>120000</v>
      </c>
      <c r="B1638" s="1">
        <v>951300012</v>
      </c>
      <c r="C1638" s="1" t="str">
        <f>"تخليه-فريدونشهر-کارخانه آسفالت شهرداري"</f>
        <v>تخليه-فريدونشهر-کارخانه آسفالت شهرداري</v>
      </c>
      <c r="D1638" s="1">
        <v>6250</v>
      </c>
      <c r="E1638" s="1">
        <v>119860</v>
      </c>
      <c r="F1638" s="1">
        <v>95</v>
      </c>
      <c r="G1638" s="1">
        <v>140</v>
      </c>
      <c r="H1638" s="1" t="str">
        <f>"95/04/22"</f>
        <v>95/04/22</v>
      </c>
      <c r="I1638" s="1" t="str">
        <f t="shared" si="430"/>
        <v>كيلوگرم</v>
      </c>
      <c r="J1638" s="1" t="str">
        <f t="shared" si="438"/>
        <v>0000000092</v>
      </c>
      <c r="K1638" s="1" t="str">
        <f t="shared" si="439"/>
        <v>قير  PG64-16</v>
      </c>
      <c r="L1638" s="1">
        <v>100</v>
      </c>
      <c r="M1638" s="1" t="str">
        <f t="shared" si="433"/>
        <v>مخازن قير اصفهان</v>
      </c>
      <c r="N1638" s="1">
        <v>9814</v>
      </c>
      <c r="O1638" s="1">
        <v>50031273</v>
      </c>
      <c r="P1638" s="1" t="str">
        <f>"  بنيادمسكن انقلاب اسلامي اصفهان"</f>
        <v xml:space="preserve">  بنيادمسكن انقلاب اسلامي اصفهان</v>
      </c>
      <c r="Q1638" s="1">
        <v>13</v>
      </c>
      <c r="R1638" s="1" t="str">
        <f>"فروش داخلي - وزارت راه - حوزه بنياد مسكن"</f>
        <v>فروش داخلي - وزارت راه - حوزه بنياد مسكن</v>
      </c>
      <c r="S1638" s="1" t="str">
        <f t="shared" si="431"/>
        <v>قرارداد فروش</v>
      </c>
      <c r="T1638" s="1" t="str">
        <f t="shared" si="432"/>
        <v>ندارد</v>
      </c>
      <c r="U1638" s="1" t="str">
        <f>"سيفي پور گودرز(1019ج89)"</f>
        <v>سيفي پور گودرز(1019ج89)</v>
      </c>
      <c r="V1638" s="1">
        <v>951300012</v>
      </c>
      <c r="W1638" s="1">
        <v>951300012</v>
      </c>
      <c r="X1638" s="1" t="str">
        <f>"1395414429"</f>
        <v>1395414429</v>
      </c>
      <c r="Y1638" s="1" t="str">
        <f>"95/04/21"</f>
        <v>95/04/21</v>
      </c>
      <c r="Z1638" s="1" t="str">
        <f>"15329/510"</f>
        <v>15329/510</v>
      </c>
      <c r="AA1638" s="1" t="str">
        <f>"بنياد مسكن -مسكن مهر"</f>
        <v>بنياد مسكن -مسكن مهر</v>
      </c>
      <c r="AB1638" s="1" t="str">
        <f>"95/04/09"</f>
        <v>95/04/09</v>
      </c>
      <c r="AC1638" s="1" t="str">
        <f>"استان اصفهان"</f>
        <v>استان اصفهان</v>
      </c>
      <c r="AD1638" s="1" t="str">
        <f>"95/04/21"</f>
        <v>95/04/21</v>
      </c>
      <c r="AE1638" s="1" t="str">
        <f t="shared" si="437"/>
        <v>اختتام</v>
      </c>
      <c r="AF1638" s="1" t="str">
        <f>""</f>
        <v/>
      </c>
      <c r="AG1638" s="1" t="str">
        <f>""</f>
        <v/>
      </c>
      <c r="AH1638" s="1" t="str">
        <f>""</f>
        <v/>
      </c>
      <c r="AI1638" s="1" t="str">
        <f>""</f>
        <v/>
      </c>
      <c r="AJ1638" s="1" t="str">
        <f>""</f>
        <v/>
      </c>
      <c r="AK1638" s="1" t="str">
        <f>""</f>
        <v/>
      </c>
    </row>
    <row r="1639" spans="1:37" x14ac:dyDescent="0.2">
      <c r="A1639" s="1">
        <v>1000000</v>
      </c>
      <c r="B1639" s="1">
        <v>951600004</v>
      </c>
      <c r="C1639" s="1" t="str">
        <f>"تخليه -لرستان آسفالت سازمان همياري شهرداريهاي استان لرستان"</f>
        <v>تخليه -لرستان آسفالت سازمان همياري شهرداريهاي استان لرستان</v>
      </c>
      <c r="D1639" s="1">
        <v>6050</v>
      </c>
      <c r="E1639" s="1">
        <v>999000</v>
      </c>
      <c r="F1639" s="1">
        <v>95</v>
      </c>
      <c r="G1639" s="1">
        <v>1000</v>
      </c>
      <c r="H1639" s="1" t="str">
        <f>"95/03/31"</f>
        <v>95/03/31</v>
      </c>
      <c r="I1639" s="1" t="str">
        <f t="shared" si="430"/>
        <v>كيلوگرم</v>
      </c>
      <c r="J1639" s="1" t="str">
        <f t="shared" si="438"/>
        <v>0000000092</v>
      </c>
      <c r="K1639" s="1" t="str">
        <f t="shared" si="439"/>
        <v>قير  PG64-16</v>
      </c>
      <c r="L1639" s="1">
        <v>100</v>
      </c>
      <c r="M1639" s="1" t="str">
        <f t="shared" si="433"/>
        <v>مخازن قير اصفهان</v>
      </c>
      <c r="N1639" s="1">
        <v>9952</v>
      </c>
      <c r="O1639" s="1">
        <v>50031088</v>
      </c>
      <c r="P1639" s="1" t="str">
        <f>"  قرارگاه سازندگي خاتم الانبياء-موسسه اميدپارس"</f>
        <v xml:space="preserve">  قرارگاه سازندگي خاتم الانبياء-موسسه اميدپارس</v>
      </c>
      <c r="Q1639" s="1">
        <v>16</v>
      </c>
      <c r="R1639" s="1" t="str">
        <f>"فروش داخلي تهران - وزارت راه - معاونت اقتصاد"</f>
        <v>فروش داخلي تهران - وزارت راه - معاونت اقتصاد</v>
      </c>
      <c r="S1639" s="1" t="str">
        <f t="shared" si="431"/>
        <v>قرارداد فروش</v>
      </c>
      <c r="T1639" s="1" t="str">
        <f t="shared" si="432"/>
        <v>ندارد</v>
      </c>
      <c r="U1639" s="1" t="str">
        <f>"رضائي كلهر حسن (1901099)"</f>
        <v>رضائي كلهر حسن (1901099)</v>
      </c>
      <c r="V1639" s="1">
        <v>951600004</v>
      </c>
      <c r="W1639" s="1">
        <v>951600004</v>
      </c>
      <c r="X1639" s="1" t="str">
        <f>"1395410184"</f>
        <v>1395410184</v>
      </c>
      <c r="Y1639" s="1" t="str">
        <f>"95/03/31"</f>
        <v>95/03/31</v>
      </c>
      <c r="Z1639" s="1" t="str">
        <f>"11392/510"</f>
        <v>11392/510</v>
      </c>
      <c r="AA1639" s="1" t="str">
        <f>"معاونت اقتصادوزارت راه وشهرسازي"</f>
        <v>معاونت اقتصادوزارت راه وشهرسازي</v>
      </c>
      <c r="AB1639" s="1" t="str">
        <f>"95/03/19"</f>
        <v>95/03/19</v>
      </c>
      <c r="AC1639" s="1" t="str">
        <f>"لرستان"</f>
        <v>لرستان</v>
      </c>
      <c r="AD1639" s="1" t="str">
        <f>"95/03/30"</f>
        <v>95/03/30</v>
      </c>
      <c r="AE1639" s="1" t="str">
        <f t="shared" si="437"/>
        <v>اختتام</v>
      </c>
      <c r="AF1639" s="1" t="str">
        <f>""</f>
        <v/>
      </c>
      <c r="AG1639" s="1" t="str">
        <f>""</f>
        <v/>
      </c>
      <c r="AH1639" s="1" t="str">
        <f>""</f>
        <v/>
      </c>
      <c r="AI1639" s="1" t="str">
        <f>""</f>
        <v/>
      </c>
      <c r="AJ1639" s="1" t="str">
        <f>""</f>
        <v/>
      </c>
      <c r="AK1639" s="1" t="str">
        <f>""</f>
        <v/>
      </c>
    </row>
    <row r="1640" spans="1:37" x14ac:dyDescent="0.2">
      <c r="A1640" s="1">
        <v>800000</v>
      </c>
      <c r="B1640" s="1">
        <v>951700305</v>
      </c>
      <c r="C1640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640" s="1">
        <v>9061</v>
      </c>
      <c r="E1640" s="1">
        <v>798840</v>
      </c>
      <c r="F1640" s="1">
        <v>95</v>
      </c>
      <c r="G1640" s="1">
        <v>1160</v>
      </c>
      <c r="H1640" s="1" t="str">
        <f>"95/10/25"</f>
        <v>95/10/25</v>
      </c>
      <c r="I1640" s="1" t="str">
        <f t="shared" si="430"/>
        <v>كيلوگرم</v>
      </c>
      <c r="J1640" s="1" t="str">
        <f t="shared" si="438"/>
        <v>0000000092</v>
      </c>
      <c r="K1640" s="1" t="str">
        <f t="shared" si="439"/>
        <v>قير  PG64-16</v>
      </c>
      <c r="L1640" s="1">
        <v>100</v>
      </c>
      <c r="M1640" s="1" t="str">
        <f t="shared" si="433"/>
        <v>مخازن قير اصفهان</v>
      </c>
      <c r="N1640" s="1">
        <v>10547</v>
      </c>
      <c r="O1640" s="1">
        <v>50033398</v>
      </c>
      <c r="P1640" s="1" t="str">
        <f>"  پي و پل جنوب"</f>
        <v xml:space="preserve">  پي و پل جنوب</v>
      </c>
      <c r="Q1640" s="1">
        <v>17</v>
      </c>
      <c r="R1640" s="1" t="str">
        <f>"فروش داخلي تهران - وزارت راه - راه روستايي - روکش"</f>
        <v>فروش داخلي تهران - وزارت راه - راه روستايي - روکش</v>
      </c>
      <c r="S1640" s="1" t="str">
        <f t="shared" si="431"/>
        <v>قرارداد فروش</v>
      </c>
      <c r="T1640" s="1" t="str">
        <f t="shared" si="432"/>
        <v>ندارد</v>
      </c>
      <c r="U1640" s="1" t="str">
        <f>"قره باغي مجيد(1871065)"</f>
        <v>قره باغي مجيد(1871065)</v>
      </c>
      <c r="V1640" s="1">
        <v>951700305</v>
      </c>
      <c r="W1640" s="1">
        <v>951700305</v>
      </c>
      <c r="X1640" s="1" t="str">
        <f>"1395458678"</f>
        <v>1395458678</v>
      </c>
      <c r="Y1640" s="1" t="str">
        <f>"95/10/25"</f>
        <v>95/10/25</v>
      </c>
      <c r="Z1640" s="1" t="str">
        <f>"52218/710"</f>
        <v>52218/710</v>
      </c>
      <c r="AA1640" s="1" t="str">
        <f>"راه روستائي -روكش"</f>
        <v>راه روستائي -روكش</v>
      </c>
      <c r="AB1640" s="1" t="str">
        <f>"95/10/22"</f>
        <v>95/10/22</v>
      </c>
      <c r="AC1640" s="1" t="str">
        <f>"استان هرمزگان"</f>
        <v>استان هرمزگان</v>
      </c>
      <c r="AD1640" s="1" t="str">
        <f>"95/10/25"</f>
        <v>95/10/25</v>
      </c>
      <c r="AE1640" s="1" t="str">
        <f t="shared" si="437"/>
        <v>اختتام</v>
      </c>
      <c r="AF1640" s="1" t="str">
        <f>""</f>
        <v/>
      </c>
      <c r="AG1640" s="1" t="str">
        <f>""</f>
        <v/>
      </c>
      <c r="AH1640" s="1" t="str">
        <f>""</f>
        <v/>
      </c>
      <c r="AI1640" s="1" t="str">
        <f>""</f>
        <v/>
      </c>
      <c r="AJ1640" s="1" t="str">
        <f>""</f>
        <v/>
      </c>
      <c r="AK1640" s="1" t="str">
        <f>""</f>
        <v/>
      </c>
    </row>
    <row r="1641" spans="1:37" x14ac:dyDescent="0.2">
      <c r="A1641" s="1">
        <v>300000</v>
      </c>
      <c r="B1641" s="1">
        <v>951400144</v>
      </c>
      <c r="C1641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641" s="1">
        <v>9511</v>
      </c>
      <c r="E1641" s="1">
        <v>300000</v>
      </c>
      <c r="F1641" s="1">
        <v>95</v>
      </c>
      <c r="G1641" s="1">
        <v>0</v>
      </c>
      <c r="H1641" s="1" t="str">
        <f>"95/11/10"</f>
        <v>95/11/10</v>
      </c>
      <c r="I1641" s="1" t="str">
        <f t="shared" si="430"/>
        <v>كيلوگرم</v>
      </c>
      <c r="J1641" s="1" t="str">
        <f t="shared" si="438"/>
        <v>0000000092</v>
      </c>
      <c r="K1641" s="1" t="str">
        <f t="shared" si="439"/>
        <v>قير  PG64-16</v>
      </c>
      <c r="L1641" s="1">
        <v>100</v>
      </c>
      <c r="M1641" s="1" t="str">
        <f t="shared" si="433"/>
        <v>مخازن قير اصفهان</v>
      </c>
      <c r="N1641" s="1">
        <v>10547</v>
      </c>
      <c r="O1641" s="1">
        <v>50033561</v>
      </c>
      <c r="P1641" s="1" t="str">
        <f>"  پي و پل جنوب"</f>
        <v xml:space="preserve">  پي و پل جنوب</v>
      </c>
      <c r="Q1641" s="1">
        <v>14</v>
      </c>
      <c r="R1641" s="1" t="str">
        <f>"فروش داخلي - وزارت راه - حوزه راه روستايي ساخت"</f>
        <v>فروش داخلي - وزارت راه - حوزه راه روستايي ساخت</v>
      </c>
      <c r="S1641" s="1" t="str">
        <f t="shared" si="431"/>
        <v>قرارداد فروش</v>
      </c>
      <c r="T1641" s="1" t="str">
        <f t="shared" si="432"/>
        <v>ندارد</v>
      </c>
      <c r="U1641" s="1" t="str">
        <f>"قره باغي مجيد(1871065)"</f>
        <v>قره باغي مجيد(1871065)</v>
      </c>
      <c r="V1641" s="1">
        <v>951400144</v>
      </c>
      <c r="W1641" s="1">
        <v>951400144</v>
      </c>
      <c r="X1641" s="1" t="str">
        <f>"1395461522"</f>
        <v>1395461522</v>
      </c>
      <c r="Y1641" s="1" t="str">
        <f>"95/11/10"</f>
        <v>95/11/10</v>
      </c>
      <c r="Z1641" s="1" t="str">
        <f>"55035/710"</f>
        <v>55035/710</v>
      </c>
      <c r="AA1641" s="1" t="str">
        <f>"راه وروستايي -ساخت"</f>
        <v>راه وروستايي -ساخت</v>
      </c>
      <c r="AB1641" s="1" t="str">
        <f>"95/11/06"</f>
        <v>95/11/06</v>
      </c>
      <c r="AC1641" s="1" t="str">
        <f>"جنوب کرمان"</f>
        <v>جنوب کرمان</v>
      </c>
      <c r="AD1641" s="1" t="str">
        <f>"95/11/10"</f>
        <v>95/11/10</v>
      </c>
      <c r="AE1641" s="1" t="str">
        <f t="shared" si="437"/>
        <v>اختتام</v>
      </c>
      <c r="AF1641" s="1" t="str">
        <f>""</f>
        <v/>
      </c>
      <c r="AG1641" s="1" t="str">
        <f>""</f>
        <v/>
      </c>
      <c r="AH1641" s="1" t="str">
        <f>""</f>
        <v/>
      </c>
      <c r="AI1641" s="1" t="str">
        <f>""</f>
        <v/>
      </c>
      <c r="AJ1641" s="1" t="str">
        <f>""</f>
        <v/>
      </c>
      <c r="AK1641" s="1" t="str">
        <f>""</f>
        <v/>
      </c>
    </row>
    <row r="1642" spans="1:37" x14ac:dyDescent="0.2">
      <c r="A1642" s="1">
        <v>200000</v>
      </c>
      <c r="B1642" s="1">
        <v>951400173</v>
      </c>
      <c r="C1642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642" s="1">
        <v>8998</v>
      </c>
      <c r="E1642" s="1">
        <v>199860</v>
      </c>
      <c r="F1642" s="1">
        <v>95</v>
      </c>
      <c r="G1642" s="1">
        <v>140</v>
      </c>
      <c r="H1642" s="1" t="str">
        <f>"95/12/16"</f>
        <v>95/12/16</v>
      </c>
      <c r="I1642" s="1" t="str">
        <f t="shared" si="430"/>
        <v>كيلوگرم</v>
      </c>
      <c r="J1642" s="1" t="str">
        <f t="shared" si="438"/>
        <v>0000000092</v>
      </c>
      <c r="K1642" s="1" t="str">
        <f t="shared" si="439"/>
        <v>قير  PG64-16</v>
      </c>
      <c r="L1642" s="1">
        <v>100</v>
      </c>
      <c r="M1642" s="1" t="str">
        <f t="shared" si="433"/>
        <v>مخازن قير اصفهان</v>
      </c>
      <c r="N1642" s="1">
        <v>10547</v>
      </c>
      <c r="O1642" s="1">
        <v>50034016</v>
      </c>
      <c r="P1642" s="1" t="str">
        <f>"  پي و پل جنوب"</f>
        <v xml:space="preserve">  پي و پل جنوب</v>
      </c>
      <c r="Q1642" s="1">
        <v>14</v>
      </c>
      <c r="R1642" s="1" t="str">
        <f>"فروش داخلي - وزارت راه - حوزه راه روستايي ساخت"</f>
        <v>فروش داخلي - وزارت راه - حوزه راه روستايي ساخت</v>
      </c>
      <c r="S1642" s="1" t="str">
        <f t="shared" si="431"/>
        <v>قرارداد فروش</v>
      </c>
      <c r="T1642" s="1" t="str">
        <f t="shared" si="432"/>
        <v>ندارد</v>
      </c>
      <c r="U1642" s="1" t="str">
        <f>"قره باغي مجيد(1871065)"</f>
        <v>قره باغي مجيد(1871065)</v>
      </c>
      <c r="V1642" s="1">
        <v>951400173</v>
      </c>
      <c r="W1642" s="1">
        <v>951400173</v>
      </c>
      <c r="X1642" s="1" t="str">
        <f>"1395469184"</f>
        <v>1395469184</v>
      </c>
      <c r="Y1642" s="1" t="str">
        <f>"95/12/16"</f>
        <v>95/12/16</v>
      </c>
      <c r="Z1642" s="1" t="str">
        <f>"63260/710"</f>
        <v>63260/710</v>
      </c>
      <c r="AA1642" s="1" t="str">
        <f>"راه وروستايي -ساخت"</f>
        <v>راه وروستايي -ساخت</v>
      </c>
      <c r="AB1642" s="1" t="str">
        <f>"95/12/11"</f>
        <v>95/12/11</v>
      </c>
      <c r="AC1642" s="1" t="str">
        <f>"استان هرمزگان"</f>
        <v>استان هرمزگان</v>
      </c>
      <c r="AD1642" s="1" t="str">
        <f>"95/12/16"</f>
        <v>95/12/16</v>
      </c>
      <c r="AE1642" s="1" t="str">
        <f t="shared" si="437"/>
        <v>اختتام</v>
      </c>
      <c r="AF1642" s="1" t="str">
        <f>""</f>
        <v/>
      </c>
      <c r="AG1642" s="1" t="str">
        <f>""</f>
        <v/>
      </c>
      <c r="AH1642" s="1" t="str">
        <f>""</f>
        <v/>
      </c>
      <c r="AI1642" s="1" t="str">
        <f>""</f>
        <v/>
      </c>
      <c r="AJ1642" s="1" t="str">
        <f>""</f>
        <v/>
      </c>
      <c r="AK1642" s="1" t="str">
        <f>""</f>
        <v/>
      </c>
    </row>
    <row r="1643" spans="1:37" x14ac:dyDescent="0.2">
      <c r="A1643" s="1">
        <v>73000</v>
      </c>
      <c r="B1643" s="1">
        <v>952000316</v>
      </c>
      <c r="C1643" s="1" t="str">
        <f>"تخليه اصفهان نرسيده به شهروزوان كارخانه آسفالت خاكپي"</f>
        <v>تخليه اصفهان نرسيده به شهروزوان كارخانه آسفالت خاكپي</v>
      </c>
      <c r="D1643" s="1">
        <v>9361</v>
      </c>
      <c r="E1643" s="1">
        <v>72760</v>
      </c>
      <c r="F1643" s="1">
        <v>95</v>
      </c>
      <c r="G1643" s="1">
        <v>240</v>
      </c>
      <c r="H1643" s="1" t="str">
        <f>"95/11/23"</f>
        <v>95/11/23</v>
      </c>
      <c r="I1643" s="1" t="str">
        <f t="shared" si="430"/>
        <v>كيلوگرم</v>
      </c>
      <c r="J1643" s="1" t="str">
        <f>"0000000076"</f>
        <v>0000000076</v>
      </c>
      <c r="K1643" s="1" t="str">
        <f>"قير 60/70 - فله"</f>
        <v>قير 60/70 - فله</v>
      </c>
      <c r="L1643" s="1">
        <v>100</v>
      </c>
      <c r="M1643" s="1" t="str">
        <f t="shared" si="433"/>
        <v>مخازن قير اصفهان</v>
      </c>
      <c r="N1643" s="1">
        <v>10673</v>
      </c>
      <c r="O1643" s="1">
        <v>50033673</v>
      </c>
      <c r="P1643" s="1" t="str">
        <f>"  شهرداري وزوان"</f>
        <v xml:space="preserve">  شهرداري وزوان</v>
      </c>
      <c r="Q1643" s="1">
        <v>20</v>
      </c>
      <c r="R1643" s="1" t="str">
        <f>"فروش داخلي - سازمان شهرداري ها و دهياري هاي كشور"</f>
        <v>فروش داخلي - سازمان شهرداري ها و دهياري هاي كشور</v>
      </c>
      <c r="S1643" s="1" t="str">
        <f t="shared" si="431"/>
        <v>قرارداد فروش</v>
      </c>
      <c r="T1643" s="1" t="str">
        <f t="shared" si="432"/>
        <v>ندارد</v>
      </c>
      <c r="U1643" s="1" t="str">
        <f>"ريسماني حسن(1007ج89)"</f>
        <v>ريسماني حسن(1007ج89)</v>
      </c>
      <c r="V1643" s="1">
        <v>952000316</v>
      </c>
      <c r="W1643" s="1">
        <v>952000316</v>
      </c>
      <c r="X1643" s="1" t="str">
        <f>"1395464401"</f>
        <v>1395464401</v>
      </c>
      <c r="Y1643" s="1" t="str">
        <f>"95/11/23"</f>
        <v>95/11/23</v>
      </c>
      <c r="Z1643" s="1" t="str">
        <f>"43467"</f>
        <v>43467</v>
      </c>
      <c r="AA1643" s="1" t="str">
        <f>"شهرداريها"</f>
        <v>شهرداريها</v>
      </c>
      <c r="AB1643" s="1" t="str">
        <f>"95/09/02"</f>
        <v>95/09/02</v>
      </c>
      <c r="AC1643" s="1" t="str">
        <f>"استان اصفهان"</f>
        <v>استان اصفهان</v>
      </c>
      <c r="AD1643" s="1" t="str">
        <f>"95/11/23"</f>
        <v>95/11/23</v>
      </c>
      <c r="AE1643" s="1" t="str">
        <f t="shared" si="437"/>
        <v>اختتام</v>
      </c>
      <c r="AF1643" s="1" t="str">
        <f>""</f>
        <v/>
      </c>
      <c r="AG1643" s="1" t="str">
        <f>""</f>
        <v/>
      </c>
      <c r="AH1643" s="1" t="str">
        <f>""</f>
        <v/>
      </c>
      <c r="AI1643" s="1" t="str">
        <f>""</f>
        <v/>
      </c>
      <c r="AJ1643" s="1" t="str">
        <f>""</f>
        <v/>
      </c>
      <c r="AK1643" s="1" t="str">
        <f>""</f>
        <v/>
      </c>
    </row>
    <row r="1644" spans="1:37" x14ac:dyDescent="0.2">
      <c r="A1644" s="1">
        <v>110000</v>
      </c>
      <c r="B1644" s="1">
        <v>952000104</v>
      </c>
      <c r="C1644" s="1" t="str">
        <f>"تخليه-مبارکه-مقابل شهر طالخونچه-مقابلمجتمع امير کبير معدن شن و ماسه سپاهان"</f>
        <v>تخليه-مبارکه-مقابل شهر طالخونچه-مقابلمجتمع امير کبير معدن شن و ماسه سپاهان</v>
      </c>
      <c r="D1644" s="1">
        <v>6976</v>
      </c>
      <c r="E1644" s="1">
        <v>107980</v>
      </c>
      <c r="F1644" s="1">
        <v>95</v>
      </c>
      <c r="G1644" s="1">
        <v>2020</v>
      </c>
      <c r="H1644" s="1" t="str">
        <f>"95/07/05"</f>
        <v>95/07/05</v>
      </c>
      <c r="I1644" s="1" t="str">
        <f t="shared" si="430"/>
        <v>كيلوگرم</v>
      </c>
      <c r="J1644" s="1" t="str">
        <f>"0000000076"</f>
        <v>0000000076</v>
      </c>
      <c r="K1644" s="1" t="str">
        <f>"قير 60/70 - فله"</f>
        <v>قير 60/70 - فله</v>
      </c>
      <c r="L1644" s="1">
        <v>100</v>
      </c>
      <c r="M1644" s="1" t="str">
        <f t="shared" si="433"/>
        <v>مخازن قير اصفهان</v>
      </c>
      <c r="N1644" s="1">
        <v>10679</v>
      </c>
      <c r="O1644" s="1">
        <v>50031969</v>
      </c>
      <c r="P1644" s="1" t="str">
        <f>"  شهرداري ديزيچه"</f>
        <v xml:space="preserve">  شهرداري ديزيچه</v>
      </c>
      <c r="Q1644" s="1">
        <v>20</v>
      </c>
      <c r="R1644" s="1" t="str">
        <f>"فروش داخلي - سازمان شهرداري ها و دهياري هاي كشور"</f>
        <v>فروش داخلي - سازمان شهرداري ها و دهياري هاي كشور</v>
      </c>
      <c r="S1644" s="1" t="str">
        <f t="shared" si="431"/>
        <v>قرارداد فروش</v>
      </c>
      <c r="T1644" s="1" t="str">
        <f t="shared" si="432"/>
        <v>ندارد</v>
      </c>
      <c r="U1644" s="1" t="str">
        <f>"شهبازي محمدرضا(1029ج89)"</f>
        <v>شهبازي محمدرضا(1029ج89)</v>
      </c>
      <c r="V1644" s="1">
        <v>952000104</v>
      </c>
      <c r="W1644" s="1">
        <v>952000104</v>
      </c>
      <c r="X1644" s="1" t="str">
        <f>"1395433645"</f>
        <v>1395433645</v>
      </c>
      <c r="Y1644" s="1" t="str">
        <f>"95/07/05"</f>
        <v>95/07/05</v>
      </c>
      <c r="Z1644" s="1" t="str">
        <f>"27742"</f>
        <v>27742</v>
      </c>
      <c r="AA1644" s="1" t="str">
        <f>"شهرداريها"</f>
        <v>شهرداريها</v>
      </c>
      <c r="AB1644" s="1" t="str">
        <f>"95/06/10"</f>
        <v>95/06/10</v>
      </c>
      <c r="AC1644" s="1" t="str">
        <f>"استان اصفهان"</f>
        <v>استان اصفهان</v>
      </c>
      <c r="AD1644" s="1" t="str">
        <f>"95/07/04"</f>
        <v>95/07/04</v>
      </c>
      <c r="AE1644" s="1" t="str">
        <f t="shared" si="437"/>
        <v>اختتام</v>
      </c>
      <c r="AF1644" s="1" t="str">
        <f>""</f>
        <v/>
      </c>
      <c r="AG1644" s="1" t="str">
        <f>""</f>
        <v/>
      </c>
      <c r="AH1644" s="1" t="str">
        <f>""</f>
        <v/>
      </c>
      <c r="AI1644" s="1" t="str">
        <f>""</f>
        <v/>
      </c>
      <c r="AJ1644" s="1" t="str">
        <f>""</f>
        <v/>
      </c>
      <c r="AK1644" s="1" t="str">
        <f>""</f>
        <v/>
      </c>
    </row>
    <row r="1645" spans="1:37" x14ac:dyDescent="0.2">
      <c r="A1645" s="1">
        <v>76000</v>
      </c>
      <c r="B1645" s="1">
        <v>952000141</v>
      </c>
      <c r="C1645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1645" s="1">
        <v>6976</v>
      </c>
      <c r="E1645" s="1">
        <v>74720</v>
      </c>
      <c r="F1645" s="1">
        <v>95</v>
      </c>
      <c r="G1645" s="1">
        <v>1280</v>
      </c>
      <c r="H1645" s="1" t="str">
        <f>"95/07/14"</f>
        <v>95/07/14</v>
      </c>
      <c r="I1645" s="1" t="str">
        <f t="shared" si="430"/>
        <v>كيلوگرم</v>
      </c>
      <c r="J1645" s="1" t="str">
        <f>"0000000076"</f>
        <v>0000000076</v>
      </c>
      <c r="K1645" s="1" t="str">
        <f>"قير 60/70 - فله"</f>
        <v>قير 60/70 - فله</v>
      </c>
      <c r="L1645" s="1">
        <v>100</v>
      </c>
      <c r="M1645" s="1" t="str">
        <f t="shared" si="433"/>
        <v>مخازن قير اصفهان</v>
      </c>
      <c r="N1645" s="1">
        <v>10698</v>
      </c>
      <c r="O1645" s="1">
        <v>50032096</v>
      </c>
      <c r="P1645" s="1" t="str">
        <f>"  شهرداري دهق"</f>
        <v xml:space="preserve">  شهرداري دهق</v>
      </c>
      <c r="Q1645" s="1">
        <v>20</v>
      </c>
      <c r="R1645" s="1" t="str">
        <f>"فروش داخلي - سازمان شهرداري ها و دهياري هاي كشور"</f>
        <v>فروش داخلي - سازمان شهرداري ها و دهياري هاي كشور</v>
      </c>
      <c r="S1645" s="1" t="str">
        <f t="shared" si="431"/>
        <v>قرارداد فروش</v>
      </c>
      <c r="T1645" s="1" t="str">
        <f t="shared" si="432"/>
        <v>ندارد</v>
      </c>
      <c r="U1645" s="1" t="str">
        <f>"مرادي نجاتعلي(1020ج89)"</f>
        <v>مرادي نجاتعلي(1020ج89)</v>
      </c>
      <c r="V1645" s="1">
        <v>952000141</v>
      </c>
      <c r="W1645" s="1">
        <v>952000141</v>
      </c>
      <c r="X1645" s="1" t="str">
        <f>"1395436486"</f>
        <v>1395436486</v>
      </c>
      <c r="Y1645" s="1" t="str">
        <f>"95/07/14"</f>
        <v>95/07/14</v>
      </c>
      <c r="Z1645" s="1" t="str">
        <f>"27806"</f>
        <v>27806</v>
      </c>
      <c r="AA1645" s="1" t="str">
        <f>"شهرداريها"</f>
        <v>شهرداريها</v>
      </c>
      <c r="AB1645" s="1" t="str">
        <f>"95/06/10"</f>
        <v>95/06/10</v>
      </c>
      <c r="AC1645" s="1" t="str">
        <f>"استان اصفهان"</f>
        <v>استان اصفهان</v>
      </c>
      <c r="AD1645" s="1" t="str">
        <f>"95/07/14"</f>
        <v>95/07/14</v>
      </c>
      <c r="AE1645" s="1" t="str">
        <f t="shared" si="437"/>
        <v>اختتام</v>
      </c>
      <c r="AF1645" s="1" t="str">
        <f>""</f>
        <v/>
      </c>
      <c r="AG1645" s="1" t="str">
        <f>""</f>
        <v/>
      </c>
      <c r="AH1645" s="1" t="str">
        <f>""</f>
        <v/>
      </c>
      <c r="AI1645" s="1" t="str">
        <f>""</f>
        <v/>
      </c>
      <c r="AJ1645" s="1" t="str">
        <f>""</f>
        <v/>
      </c>
      <c r="AK1645" s="1" t="str">
        <f>""</f>
        <v/>
      </c>
    </row>
    <row r="1646" spans="1:37" x14ac:dyDescent="0.2">
      <c r="A1646" s="1">
        <v>77000</v>
      </c>
      <c r="B1646" s="1">
        <v>952000313</v>
      </c>
      <c r="C1646" s="1" t="str">
        <f>"تخليه اصفهان سه راهي محمدآبادجرقويه كارخانه آسفالت جرقويه"</f>
        <v>تخليه اصفهان سه راهي محمدآبادجرقويه كارخانه آسفالت جرقويه</v>
      </c>
      <c r="D1646" s="1">
        <v>9361</v>
      </c>
      <c r="E1646" s="1">
        <v>76060</v>
      </c>
      <c r="F1646" s="1">
        <v>95</v>
      </c>
      <c r="G1646" s="1">
        <v>940</v>
      </c>
      <c r="H1646" s="1" t="str">
        <f>"95/11/23"</f>
        <v>95/11/23</v>
      </c>
      <c r="I1646" s="1" t="str">
        <f t="shared" si="430"/>
        <v>كيلوگرم</v>
      </c>
      <c r="J1646" s="1" t="str">
        <f>"0000000076"</f>
        <v>0000000076</v>
      </c>
      <c r="K1646" s="1" t="str">
        <f>"قير 60/70 - فله"</f>
        <v>قير 60/70 - فله</v>
      </c>
      <c r="L1646" s="1">
        <v>100</v>
      </c>
      <c r="M1646" s="1" t="str">
        <f t="shared" si="433"/>
        <v>مخازن قير اصفهان</v>
      </c>
      <c r="N1646" s="1">
        <v>10699</v>
      </c>
      <c r="O1646" s="1">
        <v>50033670</v>
      </c>
      <c r="P1646" s="1" t="str">
        <f>"  شهرداري نصرآباد"</f>
        <v xml:space="preserve">  شهرداري نصرآباد</v>
      </c>
      <c r="Q1646" s="1">
        <v>20</v>
      </c>
      <c r="R1646" s="1" t="str">
        <f>"فروش داخلي - سازمان شهرداري ها و دهياري هاي كشور"</f>
        <v>فروش داخلي - سازمان شهرداري ها و دهياري هاي كشور</v>
      </c>
      <c r="S1646" s="1" t="str">
        <f t="shared" si="431"/>
        <v>قرارداد فروش</v>
      </c>
      <c r="T1646" s="1" t="str">
        <f t="shared" si="432"/>
        <v>ندارد</v>
      </c>
      <c r="U1646" s="1" t="str">
        <f>"علي عابدي ابوالقاسم(1003ج89)"</f>
        <v>علي عابدي ابوالقاسم(1003ج89)</v>
      </c>
      <c r="V1646" s="1">
        <v>952000313</v>
      </c>
      <c r="W1646" s="1">
        <v>952000313</v>
      </c>
      <c r="X1646" s="1" t="str">
        <f>"1395464401"</f>
        <v>1395464401</v>
      </c>
      <c r="Y1646" s="1" t="str">
        <f>"95/11/23"</f>
        <v>95/11/23</v>
      </c>
      <c r="Z1646" s="1" t="str">
        <f>"43474"</f>
        <v>43474</v>
      </c>
      <c r="AA1646" s="1" t="str">
        <f>"شهرداريها"</f>
        <v>شهرداريها</v>
      </c>
      <c r="AB1646" s="1" t="str">
        <f>"95/09/02"</f>
        <v>95/09/02</v>
      </c>
      <c r="AC1646" s="1" t="str">
        <f>"استان اصفهان"</f>
        <v>استان اصفهان</v>
      </c>
      <c r="AD1646" s="1" t="str">
        <f>"95/11/23"</f>
        <v>95/11/23</v>
      </c>
      <c r="AE1646" s="1" t="str">
        <f t="shared" si="437"/>
        <v>اختتام</v>
      </c>
      <c r="AF1646" s="1" t="str">
        <f>""</f>
        <v/>
      </c>
      <c r="AG1646" s="1" t="str">
        <f>""</f>
        <v/>
      </c>
      <c r="AH1646" s="1" t="str">
        <f>""</f>
        <v/>
      </c>
      <c r="AI1646" s="1" t="str">
        <f>""</f>
        <v/>
      </c>
      <c r="AJ1646" s="1" t="str">
        <f>""</f>
        <v/>
      </c>
      <c r="AK1646" s="1" t="str">
        <f>""</f>
        <v/>
      </c>
    </row>
    <row r="1647" spans="1:37" x14ac:dyDescent="0.2">
      <c r="A1647" s="1">
        <v>74000</v>
      </c>
      <c r="B1647" s="1">
        <v>952000319</v>
      </c>
      <c r="C1647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1647" s="1">
        <v>9361</v>
      </c>
      <c r="E1647" s="1">
        <v>73680</v>
      </c>
      <c r="F1647" s="1">
        <v>95</v>
      </c>
      <c r="G1647" s="1">
        <v>320</v>
      </c>
      <c r="H1647" s="1" t="str">
        <f>"95/11/23"</f>
        <v>95/11/23</v>
      </c>
      <c r="I1647" s="1" t="str">
        <f t="shared" si="430"/>
        <v>كيلوگرم</v>
      </c>
      <c r="J1647" s="1" t="str">
        <f>"0000000076"</f>
        <v>0000000076</v>
      </c>
      <c r="K1647" s="1" t="str">
        <f>"قير 60/70 - فله"</f>
        <v>قير 60/70 - فله</v>
      </c>
      <c r="L1647" s="1">
        <v>100</v>
      </c>
      <c r="M1647" s="1" t="str">
        <f t="shared" si="433"/>
        <v>مخازن قير اصفهان</v>
      </c>
      <c r="N1647" s="1">
        <v>10700</v>
      </c>
      <c r="O1647" s="1">
        <v>50033676</v>
      </c>
      <c r="P1647" s="1" t="str">
        <f>"  شهرداري سجزي"</f>
        <v xml:space="preserve">  شهرداري سجزي</v>
      </c>
      <c r="Q1647" s="1">
        <v>20</v>
      </c>
      <c r="R1647" s="1" t="str">
        <f>"فروش داخلي - سازمان شهرداري ها و دهياري هاي كشور"</f>
        <v>فروش داخلي - سازمان شهرداري ها و دهياري هاي كشور</v>
      </c>
      <c r="S1647" s="1" t="str">
        <f t="shared" si="431"/>
        <v>قرارداد فروش</v>
      </c>
      <c r="T1647" s="1" t="str">
        <f t="shared" si="432"/>
        <v>ندارد</v>
      </c>
      <c r="U1647" s="1" t="str">
        <f>"ريسماني حسن(1007ج89)"</f>
        <v>ريسماني حسن(1007ج89)</v>
      </c>
      <c r="V1647" s="1">
        <v>952000319</v>
      </c>
      <c r="W1647" s="1">
        <v>952000319</v>
      </c>
      <c r="X1647" s="1" t="str">
        <f>"1395464401"</f>
        <v>1395464401</v>
      </c>
      <c r="Y1647" s="1" t="str">
        <f>"95/11/23"</f>
        <v>95/11/23</v>
      </c>
      <c r="Z1647" s="1" t="str">
        <f>"43400"</f>
        <v>43400</v>
      </c>
      <c r="AA1647" s="1" t="str">
        <f>"شهرداريها"</f>
        <v>شهرداريها</v>
      </c>
      <c r="AB1647" s="1" t="str">
        <f>"95/09/02"</f>
        <v>95/09/02</v>
      </c>
      <c r="AC1647" s="1" t="str">
        <f>"استان اصفهان"</f>
        <v>استان اصفهان</v>
      </c>
      <c r="AD1647" s="1" t="str">
        <f>"95/11/23"</f>
        <v>95/11/23</v>
      </c>
      <c r="AE1647" s="1" t="str">
        <f t="shared" si="437"/>
        <v>اختتام</v>
      </c>
      <c r="AF1647" s="1" t="str">
        <f>""</f>
        <v/>
      </c>
      <c r="AG1647" s="1" t="str">
        <f>""</f>
        <v/>
      </c>
      <c r="AH1647" s="1" t="str">
        <f>""</f>
        <v/>
      </c>
      <c r="AI1647" s="1" t="str">
        <f>""</f>
        <v/>
      </c>
      <c r="AJ1647" s="1" t="str">
        <f>""</f>
        <v/>
      </c>
      <c r="AK1647" s="1" t="str">
        <f>""</f>
        <v/>
      </c>
    </row>
    <row r="1648" spans="1:37" x14ac:dyDescent="0.2">
      <c r="A1648" s="1">
        <v>500000</v>
      </c>
      <c r="B1648" s="1">
        <v>951900195</v>
      </c>
      <c r="C1648" s="1" t="str">
        <f>"تخليه-ايلام-جاده ايلام-بدره کارخانه آسفالت شرکت ايلام راه بان"</f>
        <v>تخليه-ايلام-جاده ايلام-بدره کارخانه آسفالت شرکت ايلام راه بان</v>
      </c>
      <c r="D1648" s="1">
        <v>8323</v>
      </c>
      <c r="E1648" s="1">
        <v>169780</v>
      </c>
      <c r="F1648" s="1">
        <v>95</v>
      </c>
      <c r="G1648" s="1">
        <v>330220</v>
      </c>
      <c r="H1648" s="1" t="str">
        <f>"95/08/26"</f>
        <v>95/08/26</v>
      </c>
      <c r="I1648" s="1" t="str">
        <f t="shared" si="430"/>
        <v>كيلوگرم</v>
      </c>
      <c r="J1648" s="1" t="str">
        <f t="shared" ref="J1648:J1659" si="440">"0000000092"</f>
        <v>0000000092</v>
      </c>
      <c r="K1648" s="1" t="str">
        <f t="shared" ref="K1648:K1659" si="441">"قير  PG64-16"</f>
        <v>قير  PG64-16</v>
      </c>
      <c r="L1648" s="1">
        <v>100</v>
      </c>
      <c r="M1648" s="1" t="str">
        <f t="shared" si="433"/>
        <v>مخازن قير اصفهان</v>
      </c>
      <c r="N1648" s="1">
        <v>10629</v>
      </c>
      <c r="O1648" s="1">
        <v>50032619</v>
      </c>
      <c r="P1648" s="1" t="str">
        <f>"  سازه كاران ايلام"</f>
        <v xml:space="preserve">  سازه كاران ايلام</v>
      </c>
      <c r="Q1648" s="1">
        <v>19</v>
      </c>
      <c r="R16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48" s="1" t="str">
        <f t="shared" si="431"/>
        <v>قرارداد فروش</v>
      </c>
      <c r="T1648" s="1" t="str">
        <f t="shared" si="432"/>
        <v>ندارد</v>
      </c>
      <c r="U1648" s="1" t="str">
        <f>"عظيمي محمد(2842015)"</f>
        <v>عظيمي محمد(2842015)</v>
      </c>
      <c r="V1648" s="1">
        <v>951900195</v>
      </c>
      <c r="W1648" s="1">
        <v>951900195</v>
      </c>
      <c r="X1648" s="1" t="str">
        <f>"1395446086"</f>
        <v>1395446086</v>
      </c>
      <c r="Y1648" s="1" t="str">
        <f>"95/08/26"</f>
        <v>95/08/26</v>
      </c>
      <c r="Z1648" s="1" t="str">
        <f>"38480/710"</f>
        <v>38480/710</v>
      </c>
      <c r="AA1648" s="1" t="str">
        <f>"سازمان راهداري وحمل نقل جاده اي"</f>
        <v>سازمان راهداري وحمل نقل جاده اي</v>
      </c>
      <c r="AB1648" s="1" t="str">
        <f>"95/08/10"</f>
        <v>95/08/10</v>
      </c>
      <c r="AC1648" s="1" t="str">
        <f>"استان ايلام"</f>
        <v>استان ايلام</v>
      </c>
      <c r="AD1648" s="1" t="str">
        <f>"95/08/26"</f>
        <v>95/08/26</v>
      </c>
      <c r="AE1648" s="1" t="str">
        <f t="shared" si="437"/>
        <v>اختتام</v>
      </c>
      <c r="AF1648" s="1" t="str">
        <f>""</f>
        <v/>
      </c>
      <c r="AG1648" s="1" t="str">
        <f>""</f>
        <v/>
      </c>
      <c r="AH1648" s="1" t="str">
        <f>""</f>
        <v/>
      </c>
      <c r="AI1648" s="1" t="str">
        <f>""</f>
        <v/>
      </c>
      <c r="AJ1648" s="1" t="str">
        <f>""</f>
        <v/>
      </c>
      <c r="AK1648" s="1" t="str">
        <f>""</f>
        <v/>
      </c>
    </row>
    <row r="1649" spans="1:37" x14ac:dyDescent="0.2">
      <c r="A1649" s="1">
        <v>413560</v>
      </c>
      <c r="B1649" s="1">
        <v>951900222</v>
      </c>
      <c r="C1649" s="1" t="str">
        <f>"تخليه-ايلام-جاده ايلام-بدره کارخانه آسفالت شرکت ايلام راه بان"</f>
        <v>تخليه-ايلام-جاده ايلام-بدره کارخانه آسفالت شرکت ايلام راه بان</v>
      </c>
      <c r="D1649" s="1">
        <v>9061</v>
      </c>
      <c r="E1649" s="1">
        <v>413560</v>
      </c>
      <c r="F1649" s="1">
        <v>95</v>
      </c>
      <c r="G1649" s="1">
        <v>0</v>
      </c>
      <c r="H1649" s="1" t="str">
        <f>"95/10/02"</f>
        <v>95/10/02</v>
      </c>
      <c r="I1649" s="1" t="str">
        <f t="shared" si="430"/>
        <v>كيلوگرم</v>
      </c>
      <c r="J1649" s="1" t="str">
        <f t="shared" si="440"/>
        <v>0000000092</v>
      </c>
      <c r="K1649" s="1" t="str">
        <f t="shared" si="441"/>
        <v>قير  PG64-16</v>
      </c>
      <c r="L1649" s="1">
        <v>100</v>
      </c>
      <c r="M1649" s="1" t="str">
        <f t="shared" si="433"/>
        <v>مخازن قير اصفهان</v>
      </c>
      <c r="N1649" s="1">
        <v>10629</v>
      </c>
      <c r="O1649" s="1">
        <v>50033112</v>
      </c>
      <c r="P1649" s="1" t="str">
        <f>"  سازه كاران ايلام"</f>
        <v xml:space="preserve">  سازه كاران ايلام</v>
      </c>
      <c r="Q1649" s="1">
        <v>19</v>
      </c>
      <c r="R16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49" s="1" t="str">
        <f t="shared" si="431"/>
        <v>قرارداد فروش</v>
      </c>
      <c r="T1649" s="1" t="str">
        <f t="shared" si="432"/>
        <v>ندارد</v>
      </c>
      <c r="U1649" s="1" t="str">
        <f>"عظيمي محمد(2842015)"</f>
        <v>عظيمي محمد(2842015)</v>
      </c>
      <c r="V1649" s="1">
        <v>951900222</v>
      </c>
      <c r="W1649" s="1">
        <v>951900222</v>
      </c>
      <c r="X1649" s="1" t="str">
        <f>"1395446086"</f>
        <v>1395446086</v>
      </c>
      <c r="Y1649" s="1" t="str">
        <f>"95/10/02"</f>
        <v>95/10/02</v>
      </c>
      <c r="Z1649" s="1" t="str">
        <f>"38481/710"</f>
        <v>38481/710</v>
      </c>
      <c r="AA1649" s="1" t="str">
        <f>"سازمان راهداري وحمل نقل جاده اي"</f>
        <v>سازمان راهداري وحمل نقل جاده اي</v>
      </c>
      <c r="AB1649" s="1" t="str">
        <f>"95/08/10"</f>
        <v>95/08/10</v>
      </c>
      <c r="AC1649" s="1" t="str">
        <f>"استان ايلام"</f>
        <v>استان ايلام</v>
      </c>
      <c r="AD1649" s="1" t="str">
        <f>"95/08/26"</f>
        <v>95/08/26</v>
      </c>
      <c r="AE1649" s="1" t="str">
        <f t="shared" si="437"/>
        <v>اختتام</v>
      </c>
      <c r="AF1649" s="1" t="str">
        <f>""</f>
        <v/>
      </c>
      <c r="AG1649" s="1" t="str">
        <f>""</f>
        <v/>
      </c>
      <c r="AH1649" s="1" t="str">
        <f>""</f>
        <v/>
      </c>
      <c r="AI1649" s="1" t="str">
        <f>""</f>
        <v/>
      </c>
      <c r="AJ1649" s="1" t="str">
        <f>""</f>
        <v/>
      </c>
      <c r="AK1649" s="1" t="str">
        <f>""</f>
        <v/>
      </c>
    </row>
    <row r="1650" spans="1:37" x14ac:dyDescent="0.2">
      <c r="A1650" s="1">
        <v>400000</v>
      </c>
      <c r="B1650" s="1">
        <v>951900141</v>
      </c>
      <c r="C1650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650" s="1">
        <v>7176</v>
      </c>
      <c r="E1650" s="1">
        <v>398800</v>
      </c>
      <c r="F1650" s="1">
        <v>95</v>
      </c>
      <c r="G1650" s="1">
        <v>1200</v>
      </c>
      <c r="H1650" s="1" t="str">
        <f>"95/06/11"</f>
        <v>95/06/11</v>
      </c>
      <c r="I1650" s="1" t="str">
        <f t="shared" si="430"/>
        <v>كيلوگرم</v>
      </c>
      <c r="J1650" s="1" t="str">
        <f t="shared" si="440"/>
        <v>0000000092</v>
      </c>
      <c r="K1650" s="1" t="str">
        <f t="shared" si="441"/>
        <v>قير  PG64-16</v>
      </c>
      <c r="L1650" s="1">
        <v>100</v>
      </c>
      <c r="M1650" s="1" t="str">
        <f t="shared" si="433"/>
        <v>مخازن قير اصفهان</v>
      </c>
      <c r="N1650" s="1">
        <v>10693</v>
      </c>
      <c r="O1650" s="1">
        <v>50031748</v>
      </c>
      <c r="P1650" s="1" t="str">
        <f>"  شناشيل سازان آبدانان"</f>
        <v xml:space="preserve">  شناشيل سازان آبدانان</v>
      </c>
      <c r="Q1650" s="1">
        <v>19</v>
      </c>
      <c r="R16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50" s="1" t="str">
        <f t="shared" si="431"/>
        <v>قرارداد فروش</v>
      </c>
      <c r="T1650" s="1" t="str">
        <f t="shared" si="432"/>
        <v>ندارد</v>
      </c>
      <c r="U1650" s="1" t="str">
        <f>"عظيمي محمد(2842015)"</f>
        <v>عظيمي محمد(2842015)</v>
      </c>
      <c r="V1650" s="1">
        <v>951900141</v>
      </c>
      <c r="W1650" s="1">
        <v>951900141</v>
      </c>
      <c r="X1650" s="1" t="str">
        <f>"1395428489"</f>
        <v>1395428489</v>
      </c>
      <c r="Y1650" s="1" t="str">
        <f>"95/06/11"</f>
        <v>95/06/11</v>
      </c>
      <c r="Z1650" s="1" t="str">
        <f>"27028/510"</f>
        <v>27028/510</v>
      </c>
      <c r="AA1650" s="1" t="str">
        <f>"سازمان راهداري وحمل نقل جاده اي"</f>
        <v>سازمان راهداري وحمل نقل جاده اي</v>
      </c>
      <c r="AB1650" s="1" t="str">
        <f>"95/06/09"</f>
        <v>95/06/09</v>
      </c>
      <c r="AC1650" s="1" t="str">
        <f>"استان ايلام"</f>
        <v>استان ايلام</v>
      </c>
      <c r="AD1650" s="1" t="str">
        <f>"95/06/10"</f>
        <v>95/06/10</v>
      </c>
      <c r="AE1650" s="1" t="str">
        <f t="shared" si="437"/>
        <v>اختتام</v>
      </c>
      <c r="AF1650" s="1" t="str">
        <f>""</f>
        <v/>
      </c>
      <c r="AG1650" s="1" t="str">
        <f>""</f>
        <v/>
      </c>
      <c r="AH1650" s="1" t="str">
        <f>""</f>
        <v/>
      </c>
      <c r="AI1650" s="1" t="str">
        <f>""</f>
        <v/>
      </c>
      <c r="AJ1650" s="1" t="str">
        <f>""</f>
        <v/>
      </c>
      <c r="AK1650" s="1" t="str">
        <f>""</f>
        <v/>
      </c>
    </row>
    <row r="1651" spans="1:37" x14ac:dyDescent="0.2">
      <c r="A1651" s="1">
        <v>141000</v>
      </c>
      <c r="B1651" s="1">
        <v>951700347</v>
      </c>
      <c r="C1651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651" s="1">
        <v>8998</v>
      </c>
      <c r="E1651" s="1">
        <v>140120</v>
      </c>
      <c r="F1651" s="1">
        <v>95</v>
      </c>
      <c r="G1651" s="1">
        <v>880</v>
      </c>
      <c r="H1651" s="1" t="str">
        <f>"95/12/09"</f>
        <v>95/12/09</v>
      </c>
      <c r="I1651" s="1" t="str">
        <f t="shared" si="430"/>
        <v>كيلوگرم</v>
      </c>
      <c r="J1651" s="1" t="str">
        <f t="shared" si="440"/>
        <v>0000000092</v>
      </c>
      <c r="K1651" s="1" t="str">
        <f t="shared" si="441"/>
        <v>قير  PG64-16</v>
      </c>
      <c r="L1651" s="1">
        <v>100</v>
      </c>
      <c r="M1651" s="1" t="str">
        <f t="shared" si="433"/>
        <v>مخازن قير اصفهان</v>
      </c>
      <c r="N1651" s="1">
        <v>10693</v>
      </c>
      <c r="O1651" s="1">
        <v>50033922</v>
      </c>
      <c r="P1651" s="1" t="str">
        <f>"  شناشيل سازان آبدانان"</f>
        <v xml:space="preserve">  شناشيل سازان آبدانان</v>
      </c>
      <c r="Q1651" s="1">
        <v>17</v>
      </c>
      <c r="R1651" s="1" t="str">
        <f>"فروش داخلي تهران - وزارت راه - راه روستايي - روکش"</f>
        <v>فروش داخلي تهران - وزارت راه - راه روستايي - روکش</v>
      </c>
      <c r="S1651" s="1" t="str">
        <f t="shared" si="431"/>
        <v>قرارداد فروش</v>
      </c>
      <c r="T1651" s="1" t="str">
        <f t="shared" si="432"/>
        <v>ندارد</v>
      </c>
      <c r="U1651" s="1" t="str">
        <f>"عظيمي محمد(2842015)"</f>
        <v>عظيمي محمد(2842015)</v>
      </c>
      <c r="V1651" s="1">
        <v>951700347</v>
      </c>
      <c r="W1651" s="1">
        <v>951700347</v>
      </c>
      <c r="X1651" s="1" t="str">
        <f>"1395467969"</f>
        <v>1395467969</v>
      </c>
      <c r="Y1651" s="1" t="str">
        <f>"95/12/09"</f>
        <v>95/12/09</v>
      </c>
      <c r="Z1651" s="1" t="str">
        <f>"61900/710"</f>
        <v>61900/710</v>
      </c>
      <c r="AA1651" s="1" t="str">
        <f>"راه روستائي -روكش"</f>
        <v>راه روستائي -روكش</v>
      </c>
      <c r="AB1651" s="1" t="str">
        <f>"95/12/08"</f>
        <v>95/12/08</v>
      </c>
      <c r="AC1651" s="1" t="str">
        <f>"استان ايلام"</f>
        <v>استان ايلام</v>
      </c>
      <c r="AD1651" s="1" t="str">
        <f>"95/12/09"</f>
        <v>95/12/09</v>
      </c>
      <c r="AE1651" s="1" t="str">
        <f t="shared" si="437"/>
        <v>اختتام</v>
      </c>
      <c r="AF1651" s="1" t="str">
        <f>""</f>
        <v/>
      </c>
      <c r="AG1651" s="1" t="str">
        <f>""</f>
        <v/>
      </c>
      <c r="AH1651" s="1" t="str">
        <f>""</f>
        <v/>
      </c>
      <c r="AI1651" s="1" t="str">
        <f>""</f>
        <v/>
      </c>
      <c r="AJ1651" s="1" t="str">
        <f>""</f>
        <v/>
      </c>
      <c r="AK1651" s="1" t="str">
        <f>""</f>
        <v/>
      </c>
    </row>
    <row r="1652" spans="1:37" x14ac:dyDescent="0.2">
      <c r="A1652" s="1">
        <v>150000</v>
      </c>
      <c r="B1652" s="1">
        <v>951400095</v>
      </c>
      <c r="C1652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652" s="1">
        <v>7276</v>
      </c>
      <c r="E1652" s="1">
        <v>23080</v>
      </c>
      <c r="F1652" s="1">
        <v>95</v>
      </c>
      <c r="G1652" s="1">
        <v>126920</v>
      </c>
      <c r="H1652" s="1" t="str">
        <f>"95/09/22"</f>
        <v>95/09/22</v>
      </c>
      <c r="I1652" s="1" t="str">
        <f t="shared" si="430"/>
        <v>كيلوگرم</v>
      </c>
      <c r="J1652" s="1" t="str">
        <f t="shared" si="440"/>
        <v>0000000092</v>
      </c>
      <c r="K1652" s="1" t="str">
        <f t="shared" si="441"/>
        <v>قير  PG64-16</v>
      </c>
      <c r="L1652" s="1">
        <v>100</v>
      </c>
      <c r="M1652" s="1" t="str">
        <f t="shared" si="433"/>
        <v>مخازن قير اصفهان</v>
      </c>
      <c r="N1652" s="1">
        <v>10717</v>
      </c>
      <c r="O1652" s="1">
        <v>50033004</v>
      </c>
      <c r="P1652" s="1" t="str">
        <f>"  تعاوني نگين صحت جيرفت"</f>
        <v xml:space="preserve">  تعاوني نگين صحت جيرفت</v>
      </c>
      <c r="Q1652" s="1">
        <v>14</v>
      </c>
      <c r="R1652" s="1" t="str">
        <f>"فروش داخلي - وزارت راه - حوزه راه روستايي ساخت"</f>
        <v>فروش داخلي - وزارت راه - حوزه راه روستايي ساخت</v>
      </c>
      <c r="S1652" s="1" t="str">
        <f t="shared" si="431"/>
        <v>قرارداد فروش</v>
      </c>
      <c r="T1652" s="1" t="str">
        <f t="shared" si="432"/>
        <v>ندارد</v>
      </c>
      <c r="U1652" s="1" t="str">
        <f>"دهقانيان بيژن (4954038)"</f>
        <v>دهقانيان بيژن (4954038)</v>
      </c>
      <c r="V1652" s="1">
        <v>951400095</v>
      </c>
      <c r="W1652" s="1">
        <v>951400095</v>
      </c>
      <c r="X1652" s="1" t="str">
        <f>"1395451389"</f>
        <v>1395451389</v>
      </c>
      <c r="Y1652" s="1" t="str">
        <f>"95/09/22"</f>
        <v>95/09/22</v>
      </c>
      <c r="Z1652" s="1" t="str">
        <f>"45722/710"</f>
        <v>45722/710</v>
      </c>
      <c r="AA1652" s="1" t="str">
        <f>"راه وروستايي -ساخت"</f>
        <v>راه وروستايي -ساخت</v>
      </c>
      <c r="AB1652" s="1" t="str">
        <f>"95/09/21"</f>
        <v>95/09/21</v>
      </c>
      <c r="AC1652" s="1" t="str">
        <f>"جنوب کرمان"</f>
        <v>جنوب کرمان</v>
      </c>
      <c r="AD1652" s="1" t="str">
        <f>"95/09/22"</f>
        <v>95/09/22</v>
      </c>
      <c r="AE1652" s="1" t="str">
        <f t="shared" si="437"/>
        <v>اختتام</v>
      </c>
      <c r="AF1652" s="1" t="str">
        <f>""</f>
        <v/>
      </c>
      <c r="AG1652" s="1" t="str">
        <f>""</f>
        <v/>
      </c>
      <c r="AH1652" s="1" t="str">
        <f>""</f>
        <v/>
      </c>
      <c r="AI1652" s="1" t="str">
        <f>""</f>
        <v/>
      </c>
      <c r="AJ1652" s="1" t="str">
        <f>""</f>
        <v/>
      </c>
      <c r="AK1652" s="1" t="str">
        <f>""</f>
        <v/>
      </c>
    </row>
    <row r="1653" spans="1:37" x14ac:dyDescent="0.2">
      <c r="A1653" s="1">
        <v>975000</v>
      </c>
      <c r="B1653" s="1">
        <v>951400149</v>
      </c>
      <c r="C1653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653" s="1">
        <v>8998</v>
      </c>
      <c r="E1653" s="1">
        <v>971280</v>
      </c>
      <c r="F1653" s="1">
        <v>95</v>
      </c>
      <c r="G1653" s="1">
        <v>3720</v>
      </c>
      <c r="H1653" s="1" t="str">
        <f>"95/11/25"</f>
        <v>95/11/25</v>
      </c>
      <c r="I1653" s="1" t="str">
        <f t="shared" si="430"/>
        <v>كيلوگرم</v>
      </c>
      <c r="J1653" s="1" t="str">
        <f t="shared" si="440"/>
        <v>0000000092</v>
      </c>
      <c r="K1653" s="1" t="str">
        <f t="shared" si="441"/>
        <v>قير  PG64-16</v>
      </c>
      <c r="L1653" s="1">
        <v>100</v>
      </c>
      <c r="M1653" s="1" t="str">
        <f t="shared" si="433"/>
        <v>مخازن قير اصفهان</v>
      </c>
      <c r="N1653" s="1">
        <v>10717</v>
      </c>
      <c r="O1653" s="1">
        <v>50033724</v>
      </c>
      <c r="P1653" s="1" t="str">
        <f>"  تعاوني نگين صحت جيرفت"</f>
        <v xml:space="preserve">  تعاوني نگين صحت جيرفت</v>
      </c>
      <c r="Q1653" s="1">
        <v>14</v>
      </c>
      <c r="R1653" s="1" t="str">
        <f>"فروش داخلي - وزارت راه - حوزه راه روستايي ساخت"</f>
        <v>فروش داخلي - وزارت راه - حوزه راه روستايي ساخت</v>
      </c>
      <c r="S1653" s="1" t="str">
        <f t="shared" si="431"/>
        <v>قرارداد فروش</v>
      </c>
      <c r="T1653" s="1" t="str">
        <f t="shared" si="432"/>
        <v>ندارد</v>
      </c>
      <c r="U1653" s="1" t="str">
        <f>"دشت بشي پودنگ وبرادران رضا(4844014)"</f>
        <v>دشت بشي پودنگ وبرادران رضا(4844014)</v>
      </c>
      <c r="V1653" s="1">
        <v>951400149</v>
      </c>
      <c r="W1653" s="1">
        <v>951400149</v>
      </c>
      <c r="X1653" s="1" t="str">
        <f>"1395464566"</f>
        <v>1395464566</v>
      </c>
      <c r="Y1653" s="1" t="str">
        <f>"95/11/25"</f>
        <v>95/11/25</v>
      </c>
      <c r="Z1653" s="1" t="str">
        <f>"50352/710"</f>
        <v>50352/710</v>
      </c>
      <c r="AA1653" s="1" t="str">
        <f>"راه وروستايي -ساخت"</f>
        <v>راه وروستايي -ساخت</v>
      </c>
      <c r="AB1653" s="1" t="str">
        <f>"95/10/13"</f>
        <v>95/10/13</v>
      </c>
      <c r="AC1653" s="1" t="str">
        <f>"خراسان جنوبي"</f>
        <v>خراسان جنوبي</v>
      </c>
      <c r="AD1653" s="1" t="str">
        <f>"95/11/24"</f>
        <v>95/11/24</v>
      </c>
      <c r="AE1653" s="1" t="str">
        <f t="shared" si="437"/>
        <v>اختتام</v>
      </c>
      <c r="AF1653" s="1" t="str">
        <f>""</f>
        <v/>
      </c>
      <c r="AG1653" s="1" t="str">
        <f>""</f>
        <v/>
      </c>
      <c r="AH1653" s="1" t="str">
        <f>""</f>
        <v/>
      </c>
      <c r="AI1653" s="1" t="str">
        <f>""</f>
        <v/>
      </c>
      <c r="AJ1653" s="1" t="str">
        <f>""</f>
        <v/>
      </c>
      <c r="AK1653" s="1" t="str">
        <f>""</f>
        <v/>
      </c>
    </row>
    <row r="1654" spans="1:37" x14ac:dyDescent="0.2">
      <c r="A1654" s="1">
        <v>500000</v>
      </c>
      <c r="B1654" s="1">
        <v>951900030</v>
      </c>
      <c r="C1654" s="1" t="str">
        <f>"تخليه ايلام ملكشاهي مخازن قيركارخانه آسفالت شهرداري ملكشاهي"</f>
        <v>تخليه ايلام ملكشاهي مخازن قيركارخانه آسفالت شهرداري ملكشاهي</v>
      </c>
      <c r="D1654" s="1">
        <v>6250</v>
      </c>
      <c r="E1654" s="1">
        <v>500000</v>
      </c>
      <c r="F1654" s="1">
        <v>95</v>
      </c>
      <c r="G1654" s="1">
        <v>0</v>
      </c>
      <c r="H1654" s="1" t="str">
        <f>"95/04/06"</f>
        <v>95/04/06</v>
      </c>
      <c r="I1654" s="1" t="str">
        <f t="shared" si="430"/>
        <v>كيلوگرم</v>
      </c>
      <c r="J1654" s="1" t="str">
        <f t="shared" si="440"/>
        <v>0000000092</v>
      </c>
      <c r="K1654" s="1" t="str">
        <f t="shared" si="441"/>
        <v>قير  PG64-16</v>
      </c>
      <c r="L1654" s="1">
        <v>100</v>
      </c>
      <c r="M1654" s="1" t="str">
        <f t="shared" si="433"/>
        <v>مخازن قير اصفهان</v>
      </c>
      <c r="N1654" s="1">
        <v>10924</v>
      </c>
      <c r="O1654" s="1">
        <v>50031144</v>
      </c>
      <c r="P1654" s="1" t="str">
        <f>"  پرتو افشان خرم"</f>
        <v xml:space="preserve">  پرتو افشان خرم</v>
      </c>
      <c r="Q1654" s="1">
        <v>19</v>
      </c>
      <c r="R16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54" s="1" t="str">
        <f t="shared" si="431"/>
        <v>قرارداد فروش</v>
      </c>
      <c r="T1654" s="1" t="str">
        <f t="shared" si="432"/>
        <v>ندارد</v>
      </c>
      <c r="U1654" s="1" t="str">
        <f>"عظيمي محمد(2842015)"</f>
        <v>عظيمي محمد(2842015)</v>
      </c>
      <c r="V1654" s="1">
        <v>951900030</v>
      </c>
      <c r="W1654" s="1">
        <v>951900030</v>
      </c>
      <c r="X1654" s="1" t="str">
        <f>"1395411362"</f>
        <v>1395411362</v>
      </c>
      <c r="Y1654" s="1" t="str">
        <f>"95/04/06"</f>
        <v>95/04/06</v>
      </c>
      <c r="Z1654" s="1" t="str">
        <f>"13014/510"</f>
        <v>13014/510</v>
      </c>
      <c r="AA1654" s="1" t="str">
        <f>"سازمان راهداري وحمل نقل جاده اي"</f>
        <v>سازمان راهداري وحمل نقل جاده اي</v>
      </c>
      <c r="AB1654" s="1" t="str">
        <f>"95/03/29"</f>
        <v>95/03/29</v>
      </c>
      <c r="AC1654" s="1" t="str">
        <f>"استان ايلام"</f>
        <v>استان ايلام</v>
      </c>
      <c r="AD1654" s="1" t="str">
        <f>"95/04/06"</f>
        <v>95/04/06</v>
      </c>
      <c r="AE1654" s="1" t="str">
        <f t="shared" si="437"/>
        <v>اختتام</v>
      </c>
      <c r="AF1654" s="1" t="str">
        <f>""</f>
        <v/>
      </c>
      <c r="AG1654" s="1" t="str">
        <f>""</f>
        <v/>
      </c>
      <c r="AH1654" s="1" t="str">
        <f>""</f>
        <v/>
      </c>
      <c r="AI1654" s="1" t="str">
        <f>""</f>
        <v/>
      </c>
      <c r="AJ1654" s="1" t="str">
        <f>""</f>
        <v/>
      </c>
      <c r="AK1654" s="1" t="str">
        <f>""</f>
        <v/>
      </c>
    </row>
    <row r="1655" spans="1:37" x14ac:dyDescent="0.2">
      <c r="A1655" s="1">
        <v>2000000</v>
      </c>
      <c r="B1655" s="1">
        <v>951900003</v>
      </c>
      <c r="C1655" s="1" t="str">
        <f>"تخليه -كرمان جيرفت جنب كارخانه سنوس كارخانه رهيادسازه جنوب"</f>
        <v>تخليه -كرمان جيرفت جنب كارخانه سنوس كارخانه رهيادسازه جنوب</v>
      </c>
      <c r="D1655" s="1">
        <v>5650</v>
      </c>
      <c r="E1655" s="1">
        <v>1998660</v>
      </c>
      <c r="F1655" s="1">
        <v>95</v>
      </c>
      <c r="G1655" s="1">
        <v>1340</v>
      </c>
      <c r="H1655" s="1" t="str">
        <f>"95/02/13"</f>
        <v>95/02/13</v>
      </c>
      <c r="I1655" s="1" t="str">
        <f t="shared" si="430"/>
        <v>كيلوگرم</v>
      </c>
      <c r="J1655" s="1" t="str">
        <f t="shared" si="440"/>
        <v>0000000092</v>
      </c>
      <c r="K1655" s="1" t="str">
        <f t="shared" si="441"/>
        <v>قير  PG64-16</v>
      </c>
      <c r="L1655" s="1">
        <v>100</v>
      </c>
      <c r="M1655" s="1" t="str">
        <f t="shared" si="433"/>
        <v>مخازن قير اصفهان</v>
      </c>
      <c r="N1655" s="1">
        <v>11093</v>
      </c>
      <c r="O1655" s="1">
        <v>50030702</v>
      </c>
      <c r="P1655" s="1" t="str">
        <f>"  مهندسي عمران گستررسالت"</f>
        <v xml:space="preserve">  مهندسي عمران گستررسالت</v>
      </c>
      <c r="Q1655" s="1">
        <v>19</v>
      </c>
      <c r="R165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55" s="1" t="str">
        <f t="shared" si="431"/>
        <v>قرارداد فروش</v>
      </c>
      <c r="T1655" s="1" t="str">
        <f t="shared" si="432"/>
        <v>ندارد</v>
      </c>
      <c r="U1655" s="1" t="str">
        <f>"حاصليان ترابرجنوب مرتضي حاصلي (4844006)"</f>
        <v>حاصليان ترابرجنوب مرتضي حاصلي (4844006)</v>
      </c>
      <c r="V1655" s="1">
        <v>951900003</v>
      </c>
      <c r="W1655" s="1">
        <v>951900003</v>
      </c>
      <c r="X1655" s="1" t="str">
        <f>"1395402087"</f>
        <v>1395402087</v>
      </c>
      <c r="Y1655" s="1" t="str">
        <f>"95/02/13"</f>
        <v>95/02/13</v>
      </c>
      <c r="Z1655" s="1" t="str">
        <f>"67393/510"</f>
        <v>67393/510</v>
      </c>
      <c r="AA1655" s="1" t="str">
        <f>"سازمان راهداري وحمل نقل جاده اي"</f>
        <v>سازمان راهداري وحمل نقل جاده اي</v>
      </c>
      <c r="AB1655" s="1" t="str">
        <f>"94/12/09"</f>
        <v>94/12/09</v>
      </c>
      <c r="AC1655" s="1" t="str">
        <f>"جنوب کرمان"</f>
        <v>جنوب کرمان</v>
      </c>
      <c r="AD1655" s="1" t="str">
        <f>"95/02/12"</f>
        <v>95/02/12</v>
      </c>
      <c r="AE1655" s="1" t="str">
        <f t="shared" si="437"/>
        <v>اختتام</v>
      </c>
      <c r="AF1655" s="1" t="str">
        <f>""</f>
        <v/>
      </c>
      <c r="AG1655" s="1" t="str">
        <f>""</f>
        <v/>
      </c>
      <c r="AH1655" s="1" t="str">
        <f>""</f>
        <v/>
      </c>
      <c r="AI1655" s="1" t="str">
        <f>""</f>
        <v/>
      </c>
      <c r="AJ1655" s="1" t="str">
        <f>""</f>
        <v/>
      </c>
      <c r="AK1655" s="1" t="str">
        <f>""</f>
        <v/>
      </c>
    </row>
    <row r="1656" spans="1:37" x14ac:dyDescent="0.2">
      <c r="A1656" s="1">
        <v>300000</v>
      </c>
      <c r="B1656" s="1">
        <v>951900154</v>
      </c>
      <c r="C1656" s="1" t="str">
        <f>"تخليه ايلام شهرك سرطاف جاده قديم صالح آبادكارخانه ايلام قيرپاش"</f>
        <v>تخليه ايلام شهرك سرطاف جاده قديم صالح آبادكارخانه ايلام قيرپاش</v>
      </c>
      <c r="D1656" s="1">
        <v>7276</v>
      </c>
      <c r="E1656" s="1">
        <v>299220</v>
      </c>
      <c r="F1656" s="1">
        <v>95</v>
      </c>
      <c r="G1656" s="1">
        <v>780</v>
      </c>
      <c r="H1656" s="1" t="str">
        <f>"95/07/04"</f>
        <v>95/07/04</v>
      </c>
      <c r="I1656" s="1" t="str">
        <f t="shared" si="430"/>
        <v>كيلوگرم</v>
      </c>
      <c r="J1656" s="1" t="str">
        <f t="shared" si="440"/>
        <v>0000000092</v>
      </c>
      <c r="K1656" s="1" t="str">
        <f t="shared" si="441"/>
        <v>قير  PG64-16</v>
      </c>
      <c r="L1656" s="1">
        <v>100</v>
      </c>
      <c r="M1656" s="1" t="str">
        <f t="shared" si="433"/>
        <v>مخازن قير اصفهان</v>
      </c>
      <c r="N1656" s="1">
        <v>11120</v>
      </c>
      <c r="O1656" s="1">
        <v>50031941</v>
      </c>
      <c r="P1656" s="1" t="str">
        <f>"  بهاران نصرتوسعه"</f>
        <v xml:space="preserve">  بهاران نصرتوسعه</v>
      </c>
      <c r="Q1656" s="1">
        <v>19</v>
      </c>
      <c r="R16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56" s="1" t="str">
        <f t="shared" si="431"/>
        <v>قرارداد فروش</v>
      </c>
      <c r="T1656" s="1" t="str">
        <f t="shared" si="432"/>
        <v>ندارد</v>
      </c>
      <c r="U1656" s="1" t="str">
        <f>"عظيمي محمد(2842015)"</f>
        <v>عظيمي محمد(2842015)</v>
      </c>
      <c r="V1656" s="1">
        <v>951900154</v>
      </c>
      <c r="W1656" s="1">
        <v>951900154</v>
      </c>
      <c r="X1656" s="1" t="str">
        <f>"1395433648"</f>
        <v>1395433648</v>
      </c>
      <c r="Y1656" s="1" t="str">
        <f>"95/07/04"</f>
        <v>95/07/04</v>
      </c>
      <c r="Z1656" s="1" t="str">
        <f>"30937/510"</f>
        <v>30937/510</v>
      </c>
      <c r="AA1656" s="1" t="str">
        <f>"سازمان راهداري وحمل نقل جاده اي"</f>
        <v>سازمان راهداري وحمل نقل جاده اي</v>
      </c>
      <c r="AB1656" s="1" t="str">
        <f>"95/06/29"</f>
        <v>95/06/29</v>
      </c>
      <c r="AC1656" s="1" t="str">
        <f>"استان ايلام"</f>
        <v>استان ايلام</v>
      </c>
      <c r="AD1656" s="1" t="str">
        <f>"95/07/04"</f>
        <v>95/07/04</v>
      </c>
      <c r="AE1656" s="1" t="str">
        <f t="shared" si="437"/>
        <v>اختتام</v>
      </c>
      <c r="AF1656" s="1" t="str">
        <f>""</f>
        <v/>
      </c>
      <c r="AG1656" s="1" t="str">
        <f>""</f>
        <v/>
      </c>
      <c r="AH1656" s="1" t="str">
        <f>""</f>
        <v/>
      </c>
      <c r="AI1656" s="1" t="str">
        <f>""</f>
        <v/>
      </c>
      <c r="AJ1656" s="1" t="str">
        <f>""</f>
        <v/>
      </c>
      <c r="AK1656" s="1" t="str">
        <f>""</f>
        <v/>
      </c>
    </row>
    <row r="1657" spans="1:37" x14ac:dyDescent="0.2">
      <c r="A1657" s="1">
        <v>230000</v>
      </c>
      <c r="B1657" s="1">
        <v>956100007</v>
      </c>
      <c r="C1657" s="1" t="str">
        <f>"تخليه -مشهدكيلومتر30محورفريمان -مشهدكارخانه آسفالت الواسيون"</f>
        <v>تخليه -مشهدكيلومتر30محورفريمان -مشهدكارخانه آسفالت الواسيون</v>
      </c>
      <c r="D1657" s="1">
        <v>6726</v>
      </c>
      <c r="E1657" s="1">
        <v>229980</v>
      </c>
      <c r="F1657" s="1">
        <v>95</v>
      </c>
      <c r="G1657" s="1">
        <v>20</v>
      </c>
      <c r="H1657" s="1" t="str">
        <f>"95/05/12"</f>
        <v>95/05/12</v>
      </c>
      <c r="I1657" s="1" t="str">
        <f t="shared" si="430"/>
        <v>كيلوگرم</v>
      </c>
      <c r="J1657" s="1" t="str">
        <f t="shared" si="440"/>
        <v>0000000092</v>
      </c>
      <c r="K1657" s="1" t="str">
        <f t="shared" si="441"/>
        <v>قير  PG64-16</v>
      </c>
      <c r="L1657" s="1">
        <v>100</v>
      </c>
      <c r="M1657" s="1" t="str">
        <f t="shared" si="433"/>
        <v>مخازن قير اصفهان</v>
      </c>
      <c r="N1657" s="1">
        <v>11145</v>
      </c>
      <c r="O1657" s="1">
        <v>50031405</v>
      </c>
      <c r="P1657" s="1" t="str">
        <f>"  ساختماني عمران اساس توس"</f>
        <v xml:space="preserve">  ساختماني عمران اساس توس</v>
      </c>
      <c r="Q1657" s="1">
        <v>61</v>
      </c>
      <c r="R1657" s="1" t="str">
        <f>"فروش داخلي - وزارت راه - مسكن مهر"</f>
        <v>فروش داخلي - وزارت راه - مسكن مهر</v>
      </c>
      <c r="S1657" s="1" t="str">
        <f t="shared" si="431"/>
        <v>قرارداد فروش</v>
      </c>
      <c r="T1657" s="1" t="str">
        <f t="shared" si="432"/>
        <v>ندارد</v>
      </c>
      <c r="U1657" s="1" t="str">
        <f>"بابامحمدي عنايت اله(4844000)"</f>
        <v>بابامحمدي عنايت اله(4844000)</v>
      </c>
      <c r="V1657" s="1">
        <v>956100007</v>
      </c>
      <c r="W1657" s="1">
        <v>956100007</v>
      </c>
      <c r="X1657" s="1" t="str">
        <f>"1395419176"</f>
        <v>1395419176</v>
      </c>
      <c r="Y1657" s="1" t="str">
        <f>"95/05/12"</f>
        <v>95/05/12</v>
      </c>
      <c r="Z1657" s="1" t="str">
        <f>"19528/510"</f>
        <v>19528/510</v>
      </c>
      <c r="AA1657" s="1" t="str">
        <f>"مسكن مهر-وزارت راه"</f>
        <v>مسكن مهر-وزارت راه</v>
      </c>
      <c r="AB1657" s="1" t="str">
        <f>"95/05/03"</f>
        <v>95/05/03</v>
      </c>
      <c r="AC1657" s="1" t="str">
        <f>"خراسان رضوي"</f>
        <v>خراسان رضوي</v>
      </c>
      <c r="AD1657" s="1" t="str">
        <f>"95/05/06"</f>
        <v>95/05/06</v>
      </c>
      <c r="AE1657" s="1" t="str">
        <f t="shared" si="437"/>
        <v>اختتام</v>
      </c>
      <c r="AF1657" s="1" t="str">
        <f>""</f>
        <v/>
      </c>
      <c r="AG1657" s="1" t="str">
        <f>""</f>
        <v/>
      </c>
      <c r="AH1657" s="1" t="str">
        <f>""</f>
        <v/>
      </c>
      <c r="AI1657" s="1" t="str">
        <f>""</f>
        <v/>
      </c>
      <c r="AJ1657" s="1" t="str">
        <f>""</f>
        <v/>
      </c>
      <c r="AK1657" s="1" t="str">
        <f>""</f>
        <v/>
      </c>
    </row>
    <row r="1658" spans="1:37" x14ac:dyDescent="0.2">
      <c r="A1658" s="1">
        <v>2000000</v>
      </c>
      <c r="B1658" s="1">
        <v>951900300</v>
      </c>
      <c r="C1658" s="1" t="str">
        <f>"تخليه جنوب كرمان جيرفت كارخانه آسفالت شركت ره يادسازه جنوب"</f>
        <v>تخليه جنوب كرمان جيرفت كارخانه آسفالت شركت ره يادسازه جنوب</v>
      </c>
      <c r="D1658" s="1">
        <v>9068</v>
      </c>
      <c r="E1658" s="1">
        <v>1997140</v>
      </c>
      <c r="F1658" s="1">
        <v>95</v>
      </c>
      <c r="G1658" s="1">
        <v>2860</v>
      </c>
      <c r="H1658" s="1" t="str">
        <f>"95/12/21"</f>
        <v>95/12/21</v>
      </c>
      <c r="I1658" s="1" t="str">
        <f t="shared" si="430"/>
        <v>كيلوگرم</v>
      </c>
      <c r="J1658" s="1" t="str">
        <f t="shared" si="440"/>
        <v>0000000092</v>
      </c>
      <c r="K1658" s="1" t="str">
        <f t="shared" si="441"/>
        <v>قير  PG64-16</v>
      </c>
      <c r="L1658" s="1">
        <v>100</v>
      </c>
      <c r="M1658" s="1" t="str">
        <f t="shared" si="433"/>
        <v>مخازن قير اصفهان</v>
      </c>
      <c r="N1658" s="1">
        <v>11294</v>
      </c>
      <c r="O1658" s="1">
        <v>50034083</v>
      </c>
      <c r="P1658" s="1" t="str">
        <f>"  اداره كل راهداري وحمل ونقل جاده اي جنوب كرمان"</f>
        <v xml:space="preserve">  اداره كل راهداري وحمل ونقل جاده اي جنوب كرمان</v>
      </c>
      <c r="Q1658" s="1">
        <v>19</v>
      </c>
      <c r="R165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58" s="1" t="str">
        <f t="shared" si="431"/>
        <v>قرارداد فروش</v>
      </c>
      <c r="T1658" s="1" t="str">
        <f t="shared" si="432"/>
        <v>ندارد</v>
      </c>
      <c r="U1658" s="1" t="str">
        <f>"حاصليان ترابرجنوب مرتضي حاصلي (4844006)"</f>
        <v>حاصليان ترابرجنوب مرتضي حاصلي (4844006)</v>
      </c>
      <c r="V1658" s="1">
        <v>951900300</v>
      </c>
      <c r="W1658" s="1">
        <v>951900300</v>
      </c>
      <c r="X1658" s="1" t="str">
        <f>"1395470282"</f>
        <v>1395470282</v>
      </c>
      <c r="Y1658" s="1" t="str">
        <f>"95/12/21"</f>
        <v>95/12/21</v>
      </c>
      <c r="Z1658" s="1" t="str">
        <f>"64128/710"</f>
        <v>64128/710</v>
      </c>
      <c r="AA1658" s="1" t="str">
        <f>"سازمان راهداري وحمل نقل جاده اي"</f>
        <v>سازمان راهداري وحمل نقل جاده اي</v>
      </c>
      <c r="AB1658" s="1" t="str">
        <f>"95/12/15"</f>
        <v>95/12/15</v>
      </c>
      <c r="AC1658" s="1" t="str">
        <f>"جنوب کرمان"</f>
        <v>جنوب کرمان</v>
      </c>
      <c r="AD1658" s="1" t="str">
        <f>"95/12/21"</f>
        <v>95/12/21</v>
      </c>
      <c r="AE1658" s="1" t="str">
        <f t="shared" si="437"/>
        <v>اختتام</v>
      </c>
      <c r="AF1658" s="1" t="str">
        <f>""</f>
        <v/>
      </c>
      <c r="AG1658" s="1" t="str">
        <f>""</f>
        <v/>
      </c>
      <c r="AH1658" s="1" t="str">
        <f>""</f>
        <v/>
      </c>
      <c r="AI1658" s="1" t="str">
        <f>""</f>
        <v/>
      </c>
      <c r="AJ1658" s="1" t="str">
        <f>""</f>
        <v/>
      </c>
      <c r="AK1658" s="1" t="str">
        <f>""</f>
        <v/>
      </c>
    </row>
    <row r="1659" spans="1:37" x14ac:dyDescent="0.2">
      <c r="A1659" s="1">
        <v>1500000</v>
      </c>
      <c r="B1659" s="1">
        <v>951900322</v>
      </c>
      <c r="C1659" s="1" t="str">
        <f>"تخليه ايلام شركت ايلام قيرپاش"</f>
        <v>تخليه ايلام شركت ايلام قيرپاش</v>
      </c>
      <c r="D1659" s="1">
        <v>8348</v>
      </c>
      <c r="E1659" s="1">
        <v>1498820</v>
      </c>
      <c r="F1659" s="1">
        <v>95</v>
      </c>
      <c r="G1659" s="1">
        <v>1180</v>
      </c>
      <c r="H1659" s="1" t="str">
        <f>"95/12/26"</f>
        <v>95/12/26</v>
      </c>
      <c r="I1659" s="1" t="str">
        <f t="shared" si="430"/>
        <v>كيلوگرم</v>
      </c>
      <c r="J1659" s="1" t="str">
        <f t="shared" si="440"/>
        <v>0000000092</v>
      </c>
      <c r="K1659" s="1" t="str">
        <f t="shared" si="441"/>
        <v>قير  PG64-16</v>
      </c>
      <c r="L1659" s="1">
        <v>100</v>
      </c>
      <c r="M1659" s="1" t="str">
        <f t="shared" si="433"/>
        <v>مخازن قير اصفهان</v>
      </c>
      <c r="N1659" s="1">
        <v>11313</v>
      </c>
      <c r="O1659" s="1">
        <v>50034275</v>
      </c>
      <c r="P1659" s="1" t="str">
        <f>"  اداره كل راهداري وحمل ونقل جاده اي ايلام"</f>
        <v xml:space="preserve">  اداره كل راهداري وحمل ونقل جاده اي ايلام</v>
      </c>
      <c r="Q1659" s="1">
        <v>19</v>
      </c>
      <c r="R16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59" s="1" t="str">
        <f t="shared" si="431"/>
        <v>قرارداد فروش</v>
      </c>
      <c r="T1659" s="1" t="str">
        <f t="shared" si="432"/>
        <v>ندارد</v>
      </c>
      <c r="U1659" s="1" t="str">
        <f>"عظيمي محمد(2842015)"</f>
        <v>عظيمي محمد(2842015)</v>
      </c>
      <c r="V1659" s="1">
        <v>951900322</v>
      </c>
      <c r="W1659" s="1">
        <v>951900322</v>
      </c>
      <c r="X1659" s="1" t="str">
        <f>"1395470955"</f>
        <v>1395470955</v>
      </c>
      <c r="Y1659" s="1" t="str">
        <f>"95/12/26"</f>
        <v>95/12/26</v>
      </c>
      <c r="Z1659" s="1" t="str">
        <f>"65872/710"</f>
        <v>65872/710</v>
      </c>
      <c r="AA1659" s="1" t="str">
        <f>"سازمان راهداري وحمل نقل جاده اي"</f>
        <v>سازمان راهداري وحمل نقل جاده اي</v>
      </c>
      <c r="AB1659" s="1" t="str">
        <f>"95/12/22"</f>
        <v>95/12/22</v>
      </c>
      <c r="AC1659" s="1" t="str">
        <f>"استان ايلام"</f>
        <v>استان ايلام</v>
      </c>
      <c r="AD1659" s="1" t="str">
        <f>"95/12/24"</f>
        <v>95/12/24</v>
      </c>
      <c r="AE1659" s="1" t="str">
        <f t="shared" si="437"/>
        <v>اختتام</v>
      </c>
      <c r="AF1659" s="1" t="str">
        <f>""</f>
        <v/>
      </c>
      <c r="AG1659" s="1" t="str">
        <f>""</f>
        <v/>
      </c>
      <c r="AH1659" s="1" t="str">
        <f>""</f>
        <v/>
      </c>
      <c r="AI1659" s="1" t="str">
        <f>""</f>
        <v/>
      </c>
      <c r="AJ1659" s="1" t="str">
        <f>""</f>
        <v/>
      </c>
      <c r="AK1659" s="1" t="str">
        <f>""</f>
        <v/>
      </c>
    </row>
    <row r="1660" spans="1:37" x14ac:dyDescent="0.2">
      <c r="A1660" s="1">
        <v>300000</v>
      </c>
      <c r="B1660" s="1">
        <v>951800017</v>
      </c>
      <c r="C1660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1660" s="1">
        <v>6050</v>
      </c>
      <c r="E1660" s="1">
        <v>299180</v>
      </c>
      <c r="F1660" s="1">
        <v>95</v>
      </c>
      <c r="G1660" s="1">
        <v>820</v>
      </c>
      <c r="H1660" s="1" t="str">
        <f>"95/03/24"</f>
        <v>95/03/24</v>
      </c>
      <c r="I1660" s="1" t="str">
        <f t="shared" si="430"/>
        <v>كيلوگرم</v>
      </c>
      <c r="J1660" s="1" t="str">
        <f>"0000000093"</f>
        <v>0000000093</v>
      </c>
      <c r="K1660" s="1" t="str">
        <f>"قير  PG64-10"</f>
        <v>قير  PG64-10</v>
      </c>
      <c r="L1660" s="1">
        <v>100</v>
      </c>
      <c r="M1660" s="1" t="str">
        <f t="shared" si="433"/>
        <v>مخازن قير اصفهان</v>
      </c>
      <c r="N1660" s="1">
        <v>1665</v>
      </c>
      <c r="O1660" s="1">
        <v>50031026</v>
      </c>
      <c r="P1660" s="1" t="str">
        <f>"  جهاد نصر يزد"</f>
        <v xml:space="preserve">  جهاد نصر يزد</v>
      </c>
      <c r="Q1660" s="1">
        <v>18</v>
      </c>
      <c r="R1660" s="1" t="str">
        <f>"فروش داخلي تهران - وزارت راه - شرکت ساخت و توسعه راهها"</f>
        <v>فروش داخلي تهران - وزارت راه - شرکت ساخت و توسعه راهها</v>
      </c>
      <c r="S1660" s="1" t="str">
        <f t="shared" si="431"/>
        <v>قرارداد فروش</v>
      </c>
      <c r="T1660" s="1" t="str">
        <f t="shared" si="432"/>
        <v>ندارد</v>
      </c>
      <c r="U1660" s="1" t="str">
        <f>"غلام نجفي سيامك‌‌‌‌‌‌(1881082)"</f>
        <v>غلام نجفي سيامك‌‌‌‌‌‌(1881082)</v>
      </c>
      <c r="V1660" s="1">
        <v>951800017</v>
      </c>
      <c r="W1660" s="1">
        <v>951800017</v>
      </c>
      <c r="X1660" s="1" t="str">
        <f>"1395409036"</f>
        <v>1395409036</v>
      </c>
      <c r="Y1660" s="1" t="str">
        <f>"95/03/24"</f>
        <v>95/03/24</v>
      </c>
      <c r="Z1660" s="1" t="str">
        <f>"11568/510"</f>
        <v>11568/510</v>
      </c>
      <c r="AA1660" s="1" t="str">
        <f>"شركت  ساخت وتوسعه راهها"</f>
        <v>شركت  ساخت وتوسعه راهها</v>
      </c>
      <c r="AB1660" s="1" t="str">
        <f>"95/03/22"</f>
        <v>95/03/22</v>
      </c>
      <c r="AC1660" s="1" t="str">
        <f>"استان گلستان"</f>
        <v>استان گلستان</v>
      </c>
      <c r="AD1660" s="1" t="str">
        <f>"95/03/24"</f>
        <v>95/03/24</v>
      </c>
      <c r="AE1660" s="1" t="str">
        <f t="shared" si="437"/>
        <v>اختتام</v>
      </c>
      <c r="AF1660" s="1" t="str">
        <f>""</f>
        <v/>
      </c>
      <c r="AG1660" s="1" t="str">
        <f>""</f>
        <v/>
      </c>
      <c r="AH1660" s="1" t="str">
        <f>""</f>
        <v/>
      </c>
      <c r="AI1660" s="1" t="str">
        <f>""</f>
        <v/>
      </c>
      <c r="AJ1660" s="1" t="str">
        <f>""</f>
        <v/>
      </c>
      <c r="AK1660" s="1" t="str">
        <f>""</f>
        <v/>
      </c>
    </row>
    <row r="1661" spans="1:37" x14ac:dyDescent="0.2">
      <c r="A1661" s="1">
        <v>15000</v>
      </c>
      <c r="B1661" s="1">
        <v>956200400</v>
      </c>
      <c r="C1661" s="1" t="str">
        <f>"تخليه - اصفهان-دامنه-کارخانه آسفالت شهرداري"</f>
        <v>تخليه - اصفهان-دامنه-کارخانه آسفالت شهرداري</v>
      </c>
      <c r="D1661" s="1">
        <v>12582</v>
      </c>
      <c r="E1661" s="1">
        <v>13740</v>
      </c>
      <c r="F1661" s="1">
        <v>95</v>
      </c>
      <c r="G1661" s="1">
        <v>1260</v>
      </c>
      <c r="H1661" s="1" t="str">
        <f>"95/12/25"</f>
        <v>95/12/25</v>
      </c>
      <c r="I1661" s="1" t="str">
        <f t="shared" si="430"/>
        <v>كيلوگرم</v>
      </c>
      <c r="J1661" s="1" t="str">
        <f>"1000000003"</f>
        <v>1000000003</v>
      </c>
      <c r="K1661" s="1" t="str">
        <f>"قير MC250"</f>
        <v>قير MC250</v>
      </c>
      <c r="L1661" s="1">
        <v>100</v>
      </c>
      <c r="M1661" s="1" t="str">
        <f t="shared" si="433"/>
        <v>مخازن قير اصفهان</v>
      </c>
      <c r="N1661" s="1">
        <v>10536</v>
      </c>
      <c r="O1661" s="1">
        <v>50034246</v>
      </c>
      <c r="P1661" s="1" t="str">
        <f>"  آبجيل صنعت"</f>
        <v xml:space="preserve">  آبجيل صنعت</v>
      </c>
      <c r="Q1661" s="1">
        <v>62</v>
      </c>
      <c r="R1661" s="1" t="str">
        <f>"فروش داخلي - سازمان بنيادمسكن انقلاب اسلامي"</f>
        <v>فروش داخلي - سازمان بنيادمسكن انقلاب اسلامي</v>
      </c>
      <c r="S1661" s="1" t="str">
        <f t="shared" si="431"/>
        <v>قرارداد فروش</v>
      </c>
      <c r="T1661" s="1" t="str">
        <f t="shared" si="432"/>
        <v>ندارد</v>
      </c>
      <c r="U1661" s="1" t="str">
        <f>"سيفي پور گودرز(1019ج89)"</f>
        <v>سيفي پور گودرز(1019ج89)</v>
      </c>
      <c r="V1661" s="1">
        <v>956200400</v>
      </c>
      <c r="W1661" s="1">
        <v>956200400</v>
      </c>
      <c r="X1661" s="1" t="str">
        <f>"1395470892"</f>
        <v>1395470892</v>
      </c>
      <c r="Y1661" s="1" t="str">
        <f>"95/12/25"</f>
        <v>95/12/25</v>
      </c>
      <c r="Z1661" s="1" t="str">
        <f>"57007/د"</f>
        <v>57007/د</v>
      </c>
      <c r="AA1661" s="1" t="str">
        <f>"بنيادمسكن انقلاب اسلامي"</f>
        <v>بنيادمسكن انقلاب اسلامي</v>
      </c>
      <c r="AB1661" s="1" t="str">
        <f>"95/12/22"</f>
        <v>95/12/22</v>
      </c>
      <c r="AC1661" s="1" t="str">
        <f>"استان اصفهان"</f>
        <v>استان اصفهان</v>
      </c>
      <c r="AD1661" s="1" t="str">
        <f>"95/12/23"</f>
        <v>95/12/23</v>
      </c>
      <c r="AE1661" s="1" t="str">
        <f t="shared" si="437"/>
        <v>اختتام</v>
      </c>
      <c r="AF1661" s="1" t="str">
        <f>""</f>
        <v/>
      </c>
      <c r="AG1661" s="1" t="str">
        <f>""</f>
        <v/>
      </c>
      <c r="AH1661" s="1" t="str">
        <f>""</f>
        <v/>
      </c>
      <c r="AI1661" s="1" t="str">
        <f>""</f>
        <v/>
      </c>
      <c r="AJ1661" s="1" t="str">
        <f>""</f>
        <v/>
      </c>
      <c r="AK1661" s="1" t="str">
        <f>""</f>
        <v/>
      </c>
    </row>
    <row r="1662" spans="1:37" x14ac:dyDescent="0.2">
      <c r="A1662" s="1">
        <v>81000</v>
      </c>
      <c r="B1662" s="1">
        <v>956200438</v>
      </c>
      <c r="C1662" s="1" t="str">
        <f>"تخليه -گيلان -رضوانشهر-پونل -كارگاه شهيدتفويضي"</f>
        <v>تخليه -گيلان -رضوانشهر-پونل -كارگاه شهيدتفويضي</v>
      </c>
      <c r="D1662" s="1">
        <v>8998</v>
      </c>
      <c r="E1662" s="1">
        <v>81000</v>
      </c>
      <c r="F1662" s="1">
        <v>95</v>
      </c>
      <c r="G1662" s="1">
        <v>0</v>
      </c>
      <c r="H1662" s="1" t="str">
        <f>"95/12/28"</f>
        <v>95/12/28</v>
      </c>
      <c r="I1662" s="1" t="str">
        <f t="shared" si="430"/>
        <v>كيلوگرم</v>
      </c>
      <c r="J1662" s="1" t="str">
        <f>"0000000093"</f>
        <v>0000000093</v>
      </c>
      <c r="K1662" s="1" t="str">
        <f>"قير  PG64-10"</f>
        <v>قير  PG64-10</v>
      </c>
      <c r="L1662" s="1">
        <v>100</v>
      </c>
      <c r="M1662" s="1" t="str">
        <f t="shared" si="433"/>
        <v>مخازن قير اصفهان</v>
      </c>
      <c r="N1662" s="1">
        <v>8024</v>
      </c>
      <c r="O1662" s="1">
        <v>50034327</v>
      </c>
      <c r="P1662" s="1" t="str">
        <f>"  راه آوران كوشش"</f>
        <v xml:space="preserve">  راه آوران كوشش</v>
      </c>
      <c r="Q1662" s="1">
        <v>62</v>
      </c>
      <c r="R1662" s="1" t="str">
        <f>"فروش داخلي - سازمان بنيادمسكن انقلاب اسلامي"</f>
        <v>فروش داخلي - سازمان بنيادمسكن انقلاب اسلامي</v>
      </c>
      <c r="S1662" s="1" t="str">
        <f t="shared" si="431"/>
        <v>قرارداد فروش</v>
      </c>
      <c r="T1662" s="1" t="str">
        <f t="shared" si="432"/>
        <v>ندارد</v>
      </c>
      <c r="U1662" s="1" t="str">
        <f>"خليل الهي حسن(1841005)"</f>
        <v>خليل الهي حسن(1841005)</v>
      </c>
      <c r="V1662" s="1">
        <v>956200438</v>
      </c>
      <c r="W1662" s="1">
        <v>956200438</v>
      </c>
      <c r="X1662" s="1" t="str">
        <f>"1395471093"</f>
        <v>1395471093</v>
      </c>
      <c r="Y1662" s="1" t="str">
        <f>"95/12/28"</f>
        <v>95/12/28</v>
      </c>
      <c r="Z1662" s="1" t="str">
        <f>"58169/د"</f>
        <v>58169/د</v>
      </c>
      <c r="AA1662" s="1" t="str">
        <f>"بنيادمسكن انقلاب اسلامي"</f>
        <v>بنيادمسكن انقلاب اسلامي</v>
      </c>
      <c r="AB1662" s="1" t="str">
        <f>"95/12/25"</f>
        <v>95/12/25</v>
      </c>
      <c r="AC1662" s="1" t="str">
        <f>"استان گيلان"</f>
        <v>استان گيلان</v>
      </c>
      <c r="AD1662" s="1" t="str">
        <f>"95/12/28"</f>
        <v>95/12/28</v>
      </c>
      <c r="AE1662" s="1" t="str">
        <f t="shared" si="437"/>
        <v>اختتام</v>
      </c>
      <c r="AF1662" s="1" t="str">
        <f>""</f>
        <v/>
      </c>
      <c r="AG1662" s="1" t="str">
        <f>""</f>
        <v/>
      </c>
      <c r="AH1662" s="1" t="str">
        <f>""</f>
        <v/>
      </c>
      <c r="AI1662" s="1" t="str">
        <f>""</f>
        <v/>
      </c>
      <c r="AJ1662" s="1" t="str">
        <f>""</f>
        <v/>
      </c>
      <c r="AK1662" s="1" t="str">
        <f>""</f>
        <v/>
      </c>
    </row>
    <row r="1663" spans="1:37" x14ac:dyDescent="0.2">
      <c r="A1663" s="1">
        <v>651000</v>
      </c>
      <c r="B1663" s="1">
        <v>951400151</v>
      </c>
      <c r="C1663" s="1" t="str">
        <f>"تخليه گيلان پروژه راه روستايي لاكه شركت عمران دژالماس"</f>
        <v>تخليه گيلان پروژه راه روستايي لاكه شركت عمران دژالماس</v>
      </c>
      <c r="D1663" s="1">
        <v>9354</v>
      </c>
      <c r="E1663" s="1">
        <v>650980</v>
      </c>
      <c r="F1663" s="1">
        <v>95</v>
      </c>
      <c r="G1663" s="1">
        <v>20</v>
      </c>
      <c r="H1663" s="1" t="str">
        <f>"95/11/25"</f>
        <v>95/11/25</v>
      </c>
      <c r="I1663" s="1" t="str">
        <f t="shared" si="430"/>
        <v>كيلوگرم</v>
      </c>
      <c r="J1663" s="1" t="str">
        <f>"0000000093"</f>
        <v>0000000093</v>
      </c>
      <c r="K1663" s="1" t="str">
        <f>"قير  PG64-10"</f>
        <v>قير  PG64-10</v>
      </c>
      <c r="L1663" s="1">
        <v>100</v>
      </c>
      <c r="M1663" s="1" t="str">
        <f t="shared" si="433"/>
        <v>مخازن قير اصفهان</v>
      </c>
      <c r="N1663" s="1">
        <v>8085</v>
      </c>
      <c r="O1663" s="1">
        <v>50033729</v>
      </c>
      <c r="P1663" s="1" t="str">
        <f>"  اداره كل راه و شهرسازي گيلان"</f>
        <v xml:space="preserve">  اداره كل راه و شهرسازي گيلان</v>
      </c>
      <c r="Q1663" s="1">
        <v>14</v>
      </c>
      <c r="R1663" s="1" t="str">
        <f>"فروش داخلي - وزارت راه - حوزه راه روستايي ساخت"</f>
        <v>فروش داخلي - وزارت راه - حوزه راه روستايي ساخت</v>
      </c>
      <c r="S1663" s="1" t="str">
        <f t="shared" si="431"/>
        <v>قرارداد فروش</v>
      </c>
      <c r="T1663" s="1" t="str">
        <f t="shared" si="432"/>
        <v>ندارد</v>
      </c>
      <c r="U1663" s="1" t="str">
        <f>"خليل الهي حسن(1841005)"</f>
        <v>خليل الهي حسن(1841005)</v>
      </c>
      <c r="V1663" s="1">
        <v>951400151</v>
      </c>
      <c r="W1663" s="1">
        <v>951400151</v>
      </c>
      <c r="X1663" s="1" t="str">
        <f>"1395464566"</f>
        <v>1395464566</v>
      </c>
      <c r="Y1663" s="1" t="str">
        <f>"95/11/25"</f>
        <v>95/11/25</v>
      </c>
      <c r="Z1663" s="1" t="str">
        <f>"58043/710"</f>
        <v>58043/710</v>
      </c>
      <c r="AA1663" s="1" t="str">
        <f>"راه وروستايي -ساخت"</f>
        <v>راه وروستايي -ساخت</v>
      </c>
      <c r="AB1663" s="1" t="str">
        <f>"95/11/20"</f>
        <v>95/11/20</v>
      </c>
      <c r="AC1663" s="1" t="str">
        <f>"استان گيلان"</f>
        <v>استان گيلان</v>
      </c>
      <c r="AD1663" s="1" t="str">
        <f>"95/11/24"</f>
        <v>95/11/24</v>
      </c>
      <c r="AE1663" s="1" t="str">
        <f t="shared" si="437"/>
        <v>اختتام</v>
      </c>
      <c r="AF1663" s="1" t="str">
        <f>""</f>
        <v/>
      </c>
      <c r="AG1663" s="1" t="str">
        <f>""</f>
        <v/>
      </c>
      <c r="AH1663" s="1" t="str">
        <f>""</f>
        <v/>
      </c>
      <c r="AI1663" s="1" t="str">
        <f>""</f>
        <v/>
      </c>
      <c r="AJ1663" s="1" t="str">
        <f>""</f>
        <v/>
      </c>
      <c r="AK1663" s="1" t="str">
        <f>""</f>
        <v/>
      </c>
    </row>
    <row r="1664" spans="1:37" x14ac:dyDescent="0.2">
      <c r="A1664" s="1">
        <v>82000</v>
      </c>
      <c r="B1664" s="1">
        <v>951700351</v>
      </c>
      <c r="C1664" s="1" t="str">
        <f>"تخليه گيلان شهرستان ليساركارخانه آسفالت شركت ايران پل"</f>
        <v>تخليه گيلان شهرستان ليساركارخانه آسفالت شركت ايران پل</v>
      </c>
      <c r="D1664" s="1">
        <v>9068</v>
      </c>
      <c r="E1664" s="1">
        <v>80780</v>
      </c>
      <c r="F1664" s="1">
        <v>95</v>
      </c>
      <c r="G1664" s="1">
        <v>1220</v>
      </c>
      <c r="H1664" s="1" t="str">
        <f>"95/12/22"</f>
        <v>95/12/22</v>
      </c>
      <c r="I1664" s="1" t="str">
        <f t="shared" si="430"/>
        <v>كيلوگرم</v>
      </c>
      <c r="J1664" s="1" t="str">
        <f>"0000000093"</f>
        <v>0000000093</v>
      </c>
      <c r="K1664" s="1" t="str">
        <f>"قير  PG64-10"</f>
        <v>قير  PG64-10</v>
      </c>
      <c r="L1664" s="1">
        <v>100</v>
      </c>
      <c r="M1664" s="1" t="str">
        <f t="shared" si="433"/>
        <v>مخازن قير اصفهان</v>
      </c>
      <c r="N1664" s="1">
        <v>8085</v>
      </c>
      <c r="O1664" s="1">
        <v>50034091</v>
      </c>
      <c r="P1664" s="1" t="str">
        <f>"  اداره كل راه و شهرسازي گيلان"</f>
        <v xml:space="preserve">  اداره كل راه و شهرسازي گيلان</v>
      </c>
      <c r="Q1664" s="1">
        <v>17</v>
      </c>
      <c r="R1664" s="1" t="str">
        <f>"فروش داخلي تهران - وزارت راه - راه روستايي - روکش"</f>
        <v>فروش داخلي تهران - وزارت راه - راه روستايي - روکش</v>
      </c>
      <c r="S1664" s="1" t="str">
        <f t="shared" si="431"/>
        <v>قرارداد فروش</v>
      </c>
      <c r="T1664" s="1" t="str">
        <f t="shared" si="432"/>
        <v>ندارد</v>
      </c>
      <c r="U1664" s="1" t="str">
        <f>"هيزچي مرتضي(1841036)"</f>
        <v>هيزچي مرتضي(1841036)</v>
      </c>
      <c r="V1664" s="1">
        <v>951700351</v>
      </c>
      <c r="W1664" s="1">
        <v>951700351</v>
      </c>
      <c r="X1664" s="1" t="str">
        <f>"1395470282"</f>
        <v>1395470282</v>
      </c>
      <c r="Y1664" s="1" t="str">
        <f>"95/12/22"</f>
        <v>95/12/22</v>
      </c>
      <c r="Z1664" s="1" t="str">
        <f>"65129/710"</f>
        <v>65129/710</v>
      </c>
      <c r="AA1664" s="1" t="str">
        <f>"راه روستائي -روكش"</f>
        <v>راه روستائي -روكش</v>
      </c>
      <c r="AB1664" s="1" t="str">
        <f>"95/12/18"</f>
        <v>95/12/18</v>
      </c>
      <c r="AC1664" s="1" t="str">
        <f>"استان گيلان"</f>
        <v>استان گيلان</v>
      </c>
      <c r="AD1664" s="1" t="str">
        <f>"95/12/21"</f>
        <v>95/12/21</v>
      </c>
      <c r="AE1664" s="1" t="str">
        <f t="shared" si="437"/>
        <v>اختتام</v>
      </c>
      <c r="AF1664" s="1" t="str">
        <f>""</f>
        <v/>
      </c>
      <c r="AG1664" s="1" t="str">
        <f>""</f>
        <v/>
      </c>
      <c r="AH1664" s="1" t="str">
        <f>""</f>
        <v/>
      </c>
      <c r="AI1664" s="1" t="str">
        <f>""</f>
        <v/>
      </c>
      <c r="AJ1664" s="1" t="str">
        <f>""</f>
        <v/>
      </c>
      <c r="AK1664" s="1" t="str">
        <f>""</f>
        <v/>
      </c>
    </row>
    <row r="1665" spans="1:37" x14ac:dyDescent="0.2">
      <c r="A1665" s="1">
        <v>1000000</v>
      </c>
      <c r="B1665" s="1">
        <v>951800147</v>
      </c>
      <c r="C1665" s="1" t="str">
        <f>"تخليه-دامغان-محور معلمان-کارخانه آسفالت شرکت دامغان"</f>
        <v>تخليه-دامغان-محور معلمان-کارخانه آسفالت شرکت دامغان</v>
      </c>
      <c r="D1665" s="1">
        <v>9068</v>
      </c>
      <c r="E1665" s="1">
        <v>999780</v>
      </c>
      <c r="F1665" s="1">
        <v>95</v>
      </c>
      <c r="G1665" s="1">
        <v>220</v>
      </c>
      <c r="H1665" s="1" t="str">
        <f>"95/12/11"</f>
        <v>95/12/11</v>
      </c>
      <c r="I1665" s="1" t="str">
        <f t="shared" si="430"/>
        <v>كيلوگرم</v>
      </c>
      <c r="J1665" s="1" t="str">
        <f>"0000000093"</f>
        <v>0000000093</v>
      </c>
      <c r="K1665" s="1" t="str">
        <f>"قير  PG64-10"</f>
        <v>قير  PG64-10</v>
      </c>
      <c r="L1665" s="1">
        <v>100</v>
      </c>
      <c r="M1665" s="1" t="str">
        <f t="shared" si="433"/>
        <v>مخازن قير اصفهان</v>
      </c>
      <c r="N1665" s="1">
        <v>8514</v>
      </c>
      <c r="O1665" s="1">
        <v>50033962</v>
      </c>
      <c r="P1665" s="1" t="str">
        <f>"  اشكور دامغان"</f>
        <v xml:space="preserve">  اشكور دامغان</v>
      </c>
      <c r="Q1665" s="1">
        <v>18</v>
      </c>
      <c r="R1665" s="1" t="str">
        <f>"فروش داخلي تهران - وزارت راه - شرکت ساخت و توسعه راهها"</f>
        <v>فروش داخلي تهران - وزارت راه - شرکت ساخت و توسعه راهها</v>
      </c>
      <c r="S1665" s="1" t="str">
        <f t="shared" si="431"/>
        <v>قرارداد فروش</v>
      </c>
      <c r="T1665" s="1" t="str">
        <f t="shared" si="432"/>
        <v>ندارد</v>
      </c>
      <c r="U1665" s="1" t="str">
        <f>"دهقانيان بيژن (4954038)"</f>
        <v>دهقانيان بيژن (4954038)</v>
      </c>
      <c r="V1665" s="1">
        <v>951800147</v>
      </c>
      <c r="W1665" s="1">
        <v>951800147</v>
      </c>
      <c r="X1665" s="1" t="str">
        <f>"1395468799"</f>
        <v>1395468799</v>
      </c>
      <c r="Y1665" s="1" t="str">
        <f>"95/12/11"</f>
        <v>95/12/11</v>
      </c>
      <c r="Z1665" s="1" t="str">
        <f>"62410/710"</f>
        <v>62410/710</v>
      </c>
      <c r="AA1665" s="1" t="str">
        <f>"شركت  ساخت وتوسعه راهها"</f>
        <v>شركت  ساخت وتوسعه راهها</v>
      </c>
      <c r="AB1665" s="1" t="str">
        <f>"95/12/09"</f>
        <v>95/12/09</v>
      </c>
      <c r="AC1665" s="1" t="str">
        <f>"استان سمنان"</f>
        <v>استان سمنان</v>
      </c>
      <c r="AD1665" s="1" t="str">
        <f>"95/12/11"</f>
        <v>95/12/11</v>
      </c>
      <c r="AE1665" s="1" t="str">
        <f t="shared" si="437"/>
        <v>اختتام</v>
      </c>
      <c r="AF1665" s="1" t="str">
        <f>""</f>
        <v/>
      </c>
      <c r="AG1665" s="1" t="str">
        <f>""</f>
        <v/>
      </c>
      <c r="AH1665" s="1" t="str">
        <f>""</f>
        <v/>
      </c>
      <c r="AI1665" s="1" t="str">
        <f>""</f>
        <v/>
      </c>
      <c r="AJ1665" s="1" t="str">
        <f>""</f>
        <v/>
      </c>
      <c r="AK1665" s="1" t="str">
        <f>""</f>
        <v/>
      </c>
    </row>
    <row r="1666" spans="1:37" x14ac:dyDescent="0.2">
      <c r="A1666" s="1">
        <v>15000</v>
      </c>
      <c r="B1666" s="1">
        <v>956200414</v>
      </c>
      <c r="C166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666" s="1">
        <v>12582</v>
      </c>
      <c r="E1666" s="1">
        <v>13260</v>
      </c>
      <c r="F1666" s="1">
        <v>95</v>
      </c>
      <c r="G1666" s="1">
        <v>1740</v>
      </c>
      <c r="H1666" s="1" t="str">
        <f>"95/12/28"</f>
        <v>95/12/28</v>
      </c>
      <c r="I1666" s="1" t="str">
        <f t="shared" ref="I1666:I1729" si="442">"كيلوگرم"</f>
        <v>كيلوگرم</v>
      </c>
      <c r="J1666" s="1" t="str">
        <f>"1000000003"</f>
        <v>1000000003</v>
      </c>
      <c r="K1666" s="1" t="str">
        <f>"قير MC250"</f>
        <v>قير MC250</v>
      </c>
      <c r="L1666" s="1">
        <v>100</v>
      </c>
      <c r="M1666" s="1" t="str">
        <f t="shared" si="433"/>
        <v>مخازن قير اصفهان</v>
      </c>
      <c r="N1666" s="1">
        <v>11001</v>
      </c>
      <c r="O1666" s="1">
        <v>50034301</v>
      </c>
      <c r="P1666" s="1" t="str">
        <f>"  بنياد مسکن انقلاب اسلامي نجف آباد"</f>
        <v xml:space="preserve">  بنياد مسکن انقلاب اسلامي نجف آباد</v>
      </c>
      <c r="Q1666" s="1">
        <v>62</v>
      </c>
      <c r="R1666" s="1" t="str">
        <f>"فروش داخلي - سازمان بنيادمسكن انقلاب اسلامي"</f>
        <v>فروش داخلي - سازمان بنيادمسكن انقلاب اسلامي</v>
      </c>
      <c r="S1666" s="1" t="str">
        <f t="shared" ref="S1666:S1729" si="443">"قرارداد فروش"</f>
        <v>قرارداد فروش</v>
      </c>
      <c r="T1666" s="1" t="str">
        <f t="shared" ref="T1666:T1729" si="444">"ندارد"</f>
        <v>ندارد</v>
      </c>
      <c r="U1666" s="1" t="str">
        <f>"سيفي پور عبدالمجيد(1009ج89)"</f>
        <v>سيفي پور عبدالمجيد(1009ج89)</v>
      </c>
      <c r="V1666" s="1">
        <v>956200414</v>
      </c>
      <c r="W1666" s="1">
        <v>956200414</v>
      </c>
      <c r="X1666" s="1" t="str">
        <f>"1395470954"</f>
        <v>1395470954</v>
      </c>
      <c r="Y1666" s="1" t="str">
        <f>"95/12/28"</f>
        <v>95/12/28</v>
      </c>
      <c r="Z1666" s="1" t="str">
        <f>"57196/د"</f>
        <v>57196/د</v>
      </c>
      <c r="AA1666" s="1" t="str">
        <f>"بنيادمسكن انقلاب اسلامي"</f>
        <v>بنيادمسكن انقلاب اسلامي</v>
      </c>
      <c r="AB1666" s="1" t="str">
        <f>"95/12/22"</f>
        <v>95/12/22</v>
      </c>
      <c r="AC1666" s="1" t="str">
        <f>"استان اصفهان"</f>
        <v>استان اصفهان</v>
      </c>
      <c r="AD1666" s="1" t="str">
        <f>"95/12/24"</f>
        <v>95/12/24</v>
      </c>
      <c r="AE1666" s="1" t="str">
        <f t="shared" si="437"/>
        <v>اختتام</v>
      </c>
      <c r="AF1666" s="1" t="str">
        <f>""</f>
        <v/>
      </c>
      <c r="AG1666" s="1" t="str">
        <f>""</f>
        <v/>
      </c>
      <c r="AH1666" s="1" t="str">
        <f>""</f>
        <v/>
      </c>
      <c r="AI1666" s="1" t="str">
        <f>""</f>
        <v/>
      </c>
      <c r="AJ1666" s="1" t="str">
        <f>""</f>
        <v/>
      </c>
      <c r="AK1666" s="1" t="str">
        <f>""</f>
        <v/>
      </c>
    </row>
    <row r="1667" spans="1:37" x14ac:dyDescent="0.2">
      <c r="A1667" s="1">
        <v>22000</v>
      </c>
      <c r="B1667" s="1">
        <v>956200096</v>
      </c>
      <c r="C1667" s="1" t="str">
        <f>"تخليه-سراوان-احمدآباد-کارگاه شن و ماسه ملک محمدي"</f>
        <v>تخليه-سراوان-احمدآباد-کارگاه شن و ماسه ملک محمدي</v>
      </c>
      <c r="D1667" s="1">
        <v>10906</v>
      </c>
      <c r="E1667" s="1">
        <v>21820</v>
      </c>
      <c r="F1667" s="1">
        <v>95</v>
      </c>
      <c r="G1667" s="1">
        <v>180</v>
      </c>
      <c r="H1667" s="1" t="str">
        <f>"95/08/09"</f>
        <v>95/08/09</v>
      </c>
      <c r="I1667" s="1" t="str">
        <f t="shared" si="442"/>
        <v>كيلوگرم</v>
      </c>
      <c r="J1667" s="1" t="str">
        <f>"1000000003"</f>
        <v>1000000003</v>
      </c>
      <c r="K1667" s="1" t="str">
        <f>"قير MC250"</f>
        <v>قير MC250</v>
      </c>
      <c r="L1667" s="1">
        <v>100</v>
      </c>
      <c r="M1667" s="1" t="str">
        <f t="shared" si="433"/>
        <v>مخازن قير اصفهان</v>
      </c>
      <c r="N1667" s="1">
        <v>11070</v>
      </c>
      <c r="O1667" s="1">
        <v>50032430</v>
      </c>
      <c r="P1667" s="1" t="str">
        <f>"  شايان نقشه جنوب"</f>
        <v xml:space="preserve">  شايان نقشه جنوب</v>
      </c>
      <c r="Q1667" s="1">
        <v>62</v>
      </c>
      <c r="R1667" s="1" t="str">
        <f>"فروش داخلي - سازمان بنيادمسكن انقلاب اسلامي"</f>
        <v>فروش داخلي - سازمان بنيادمسكن انقلاب اسلامي</v>
      </c>
      <c r="S1667" s="1" t="str">
        <f t="shared" si="443"/>
        <v>قرارداد فروش</v>
      </c>
      <c r="T1667" s="1" t="str">
        <f t="shared" si="444"/>
        <v>ندارد</v>
      </c>
      <c r="U1667" s="1" t="str">
        <f>"تاج سعيد هوشنگ (1031ج 89)"</f>
        <v>تاج سعيد هوشنگ (1031ج 89)</v>
      </c>
      <c r="V1667" s="1">
        <v>956200096</v>
      </c>
      <c r="W1667" s="1">
        <v>956200096</v>
      </c>
      <c r="X1667" s="1" t="str">
        <f>"1395441432"</f>
        <v>1395441432</v>
      </c>
      <c r="Y1667" s="1" t="str">
        <f>"95/08/09"</f>
        <v>95/08/09</v>
      </c>
      <c r="Z1667" s="1" t="str">
        <f>"32527/د"</f>
        <v>32527/د</v>
      </c>
      <c r="AA1667" s="1" t="str">
        <f>"بنيادمسكن انقلاب اسلامي"</f>
        <v>بنيادمسكن انقلاب اسلامي</v>
      </c>
      <c r="AB1667" s="1" t="str">
        <f>"95/08/04"</f>
        <v>95/08/04</v>
      </c>
      <c r="AC1667" s="1" t="str">
        <f>"استان سيستان بلوچستان"</f>
        <v>استان سيستان بلوچستان</v>
      </c>
      <c r="AD1667" s="1" t="str">
        <f>"95/08/09"</f>
        <v>95/08/09</v>
      </c>
      <c r="AE1667" s="1" t="str">
        <f t="shared" si="437"/>
        <v>اختتام</v>
      </c>
      <c r="AF1667" s="1" t="str">
        <f>""</f>
        <v/>
      </c>
      <c r="AG1667" s="1" t="str">
        <f>""</f>
        <v/>
      </c>
      <c r="AH1667" s="1" t="str">
        <f>""</f>
        <v/>
      </c>
      <c r="AI1667" s="1" t="str">
        <f>""</f>
        <v/>
      </c>
      <c r="AJ1667" s="1" t="str">
        <f>""</f>
        <v/>
      </c>
      <c r="AK1667" s="1" t="str">
        <f>""</f>
        <v/>
      </c>
    </row>
    <row r="1668" spans="1:37" x14ac:dyDescent="0.2">
      <c r="A1668" s="1">
        <v>50000</v>
      </c>
      <c r="B1668" s="1">
        <v>951100076</v>
      </c>
      <c r="C1668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68" s="1">
        <v>9980</v>
      </c>
      <c r="E1668" s="1">
        <v>50000</v>
      </c>
      <c r="F1668" s="1">
        <v>95</v>
      </c>
      <c r="G1668" s="1">
        <v>0</v>
      </c>
      <c r="H1668" s="1" t="str">
        <f>"95/04/06"</f>
        <v>95/04/06</v>
      </c>
      <c r="I1668" s="1" t="str">
        <f t="shared" si="442"/>
        <v>كيلوگرم</v>
      </c>
      <c r="J1668" s="1" t="str">
        <f>"1000000003"</f>
        <v>1000000003</v>
      </c>
      <c r="K1668" s="1" t="str">
        <f>"قير MC250"</f>
        <v>قير MC250</v>
      </c>
      <c r="L1668" s="1">
        <v>100</v>
      </c>
      <c r="M1668" s="1" t="str">
        <f t="shared" si="433"/>
        <v>مخازن قير اصفهان</v>
      </c>
      <c r="N1668" s="1">
        <v>11096</v>
      </c>
      <c r="O1668" s="1">
        <v>50031134</v>
      </c>
      <c r="P1668" s="1" t="str">
        <f>"  شهرداري زنجان"</f>
        <v xml:space="preserve">  شهرداري زنجان</v>
      </c>
      <c r="Q1668" s="1">
        <v>11</v>
      </c>
      <c r="R1668" s="1" t="str">
        <f>"فروش داخلي تهران - بورس"</f>
        <v>فروش داخلي تهران - بورس</v>
      </c>
      <c r="S1668" s="1" t="str">
        <f t="shared" si="443"/>
        <v>قرارداد فروش</v>
      </c>
      <c r="T1668" s="1" t="str">
        <f t="shared" si="444"/>
        <v>ندارد</v>
      </c>
      <c r="U1668" s="1" t="str">
        <f>"هادي سيه رود(3863023)"</f>
        <v>هادي سيه رود(3863023)</v>
      </c>
      <c r="V1668" s="1">
        <v>951100076</v>
      </c>
      <c r="W1668" s="1">
        <v>951100076</v>
      </c>
      <c r="X1668" s="1" t="str">
        <f>"1395411228"</f>
        <v>1395411228</v>
      </c>
      <c r="Y1668" s="1" t="str">
        <f>"95/04/06"</f>
        <v>95/04/06</v>
      </c>
      <c r="Z1668" s="1" t="str">
        <f>"95/2/13242/ص"</f>
        <v>95/2/13242/ص</v>
      </c>
      <c r="AA1668" s="1" t="str">
        <f>"شهرداريها"</f>
        <v>شهرداريها</v>
      </c>
      <c r="AB1668" s="1" t="str">
        <f>"95/03/30"</f>
        <v>95/03/30</v>
      </c>
      <c r="AC1668" s="1" t="str">
        <f>"استان زنجان"</f>
        <v>استان زنجان</v>
      </c>
      <c r="AD1668" s="1" t="str">
        <f>"95/04/05"</f>
        <v>95/04/05</v>
      </c>
      <c r="AE1668" s="1" t="str">
        <f>"تاييدشده"</f>
        <v>تاييدشده</v>
      </c>
      <c r="AF1668" s="1" t="str">
        <f>""</f>
        <v/>
      </c>
      <c r="AG1668" s="1" t="str">
        <f>""</f>
        <v/>
      </c>
      <c r="AH1668" s="1" t="str">
        <f>""</f>
        <v/>
      </c>
      <c r="AI1668" s="1" t="str">
        <f>""</f>
        <v/>
      </c>
      <c r="AJ1668" s="1" t="str">
        <f>""</f>
        <v/>
      </c>
      <c r="AK1668" s="1" t="str">
        <f>""</f>
        <v/>
      </c>
    </row>
    <row r="1669" spans="1:37" x14ac:dyDescent="0.2">
      <c r="A1669" s="1">
        <v>92000</v>
      </c>
      <c r="B1669" s="1">
        <v>952000134</v>
      </c>
      <c r="C1669" s="1" t="str">
        <f>"تخليه -اصفهان -شهرك صنعتي اشترجان -خيابان يازدهم -کارخانه آسفالت شركت راه آژند"</f>
        <v>تخليه -اصفهان -شهرك صنعتي اشترجان -خيابان يازدهم -کارخانه آسفالت شركت راه آژند</v>
      </c>
      <c r="D1669" s="1">
        <v>6976</v>
      </c>
      <c r="E1669" s="1">
        <v>90040</v>
      </c>
      <c r="F1669" s="1">
        <v>95</v>
      </c>
      <c r="G1669" s="1">
        <v>1960</v>
      </c>
      <c r="H1669" s="1" t="str">
        <f>"95/07/12"</f>
        <v>95/07/12</v>
      </c>
      <c r="I1669" s="1" t="str">
        <f t="shared" si="442"/>
        <v>كيلوگرم</v>
      </c>
      <c r="J1669" s="1" t="str">
        <f>"0000000076"</f>
        <v>0000000076</v>
      </c>
      <c r="K1669" s="1" t="str">
        <f>"قير 60/70 - فله"</f>
        <v>قير 60/70 - فله</v>
      </c>
      <c r="L1669" s="1">
        <v>100</v>
      </c>
      <c r="M1669" s="1" t="str">
        <f t="shared" si="433"/>
        <v>مخازن قير اصفهان</v>
      </c>
      <c r="N1669" s="1">
        <v>10713</v>
      </c>
      <c r="O1669" s="1">
        <v>50032063</v>
      </c>
      <c r="P1669" s="1" t="str">
        <f>"  شهرداري كوشك"</f>
        <v xml:space="preserve">  شهرداري كوشك</v>
      </c>
      <c r="Q1669" s="1">
        <v>20</v>
      </c>
      <c r="R1669" s="1" t="str">
        <f>"فروش داخلي - سازمان شهرداري ها و دهياري هاي كشور"</f>
        <v>فروش داخلي - سازمان شهرداري ها و دهياري هاي كشور</v>
      </c>
      <c r="S1669" s="1" t="str">
        <f t="shared" si="443"/>
        <v>قرارداد فروش</v>
      </c>
      <c r="T1669" s="1" t="str">
        <f t="shared" si="444"/>
        <v>ندارد</v>
      </c>
      <c r="U1669" s="1" t="str">
        <f>"سيفي پور عبدالمجيد(1009ج89)"</f>
        <v>سيفي پور عبدالمجيد(1009ج89)</v>
      </c>
      <c r="V1669" s="1">
        <v>952000134</v>
      </c>
      <c r="W1669" s="1">
        <v>952000134</v>
      </c>
      <c r="X1669" s="1" t="str">
        <f>"1395435390"</f>
        <v>1395435390</v>
      </c>
      <c r="Y1669" s="1" t="str">
        <f>"95/07/12"</f>
        <v>95/07/12</v>
      </c>
      <c r="Z1669" s="1" t="str">
        <f>"27723"</f>
        <v>27723</v>
      </c>
      <c r="AA1669" s="1" t="str">
        <f>"شهرداريها"</f>
        <v>شهرداريها</v>
      </c>
      <c r="AB1669" s="1" t="str">
        <f>"95/06/10"</f>
        <v>95/06/10</v>
      </c>
      <c r="AC1669" s="1" t="str">
        <f>"استان اصفهان"</f>
        <v>استان اصفهان</v>
      </c>
      <c r="AD1669" s="1" t="str">
        <f>"95/07/12"</f>
        <v>95/07/12</v>
      </c>
      <c r="AE1669" s="1" t="str">
        <f t="shared" ref="AE1669:AE1689" si="445">"اختتام"</f>
        <v>اختتام</v>
      </c>
      <c r="AF1669" s="1" t="str">
        <f>""</f>
        <v/>
      </c>
      <c r="AG1669" s="1" t="str">
        <f>""</f>
        <v/>
      </c>
      <c r="AH1669" s="1" t="str">
        <f>""</f>
        <v/>
      </c>
      <c r="AI1669" s="1" t="str">
        <f>""</f>
        <v/>
      </c>
      <c r="AJ1669" s="1" t="str">
        <f>""</f>
        <v/>
      </c>
      <c r="AK1669" s="1" t="str">
        <f>""</f>
        <v/>
      </c>
    </row>
    <row r="1670" spans="1:37" x14ac:dyDescent="0.2">
      <c r="A1670" s="1">
        <v>79000</v>
      </c>
      <c r="B1670" s="1">
        <v>952000174</v>
      </c>
      <c r="C1670" s="1" t="str">
        <f>"تخليه اصفهان حبيب آبادآخرشهيدشالباف كارخانه زينبيه فاضلي"</f>
        <v>تخليه اصفهان حبيب آبادآخرشهيدشالباف كارخانه زينبيه فاضلي</v>
      </c>
      <c r="D1670" s="1">
        <v>8023</v>
      </c>
      <c r="E1670" s="1">
        <v>77700</v>
      </c>
      <c r="F1670" s="1">
        <v>95</v>
      </c>
      <c r="G1670" s="1">
        <v>1300</v>
      </c>
      <c r="H1670" s="1" t="str">
        <f>"95/08/10"</f>
        <v>95/08/10</v>
      </c>
      <c r="I1670" s="1" t="str">
        <f t="shared" si="442"/>
        <v>كيلوگرم</v>
      </c>
      <c r="J1670" s="1" t="str">
        <f>"0000000076"</f>
        <v>0000000076</v>
      </c>
      <c r="K1670" s="1" t="str">
        <f>"قير 60/70 - فله"</f>
        <v>قير 60/70 - فله</v>
      </c>
      <c r="L1670" s="1">
        <v>100</v>
      </c>
      <c r="M1670" s="1" t="str">
        <f t="shared" si="433"/>
        <v>مخازن قير اصفهان</v>
      </c>
      <c r="N1670" s="1">
        <v>10737</v>
      </c>
      <c r="O1670" s="1">
        <v>50032442</v>
      </c>
      <c r="P1670" s="1" t="str">
        <f>"  شهرداري حبيب آباد"</f>
        <v xml:space="preserve">  شهرداري حبيب آباد</v>
      </c>
      <c r="Q1670" s="1">
        <v>20</v>
      </c>
      <c r="R1670" s="1" t="str">
        <f>"فروش داخلي - سازمان شهرداري ها و دهياري هاي كشور"</f>
        <v>فروش داخلي - سازمان شهرداري ها و دهياري هاي كشور</v>
      </c>
      <c r="S1670" s="1" t="str">
        <f t="shared" si="443"/>
        <v>قرارداد فروش</v>
      </c>
      <c r="T1670" s="1" t="str">
        <f t="shared" si="444"/>
        <v>ندارد</v>
      </c>
      <c r="U1670" s="1" t="str">
        <f>"ريسماني حسن(1007ج89)"</f>
        <v>ريسماني حسن(1007ج89)</v>
      </c>
      <c r="V1670" s="1">
        <v>952000174</v>
      </c>
      <c r="W1670" s="1">
        <v>952000174</v>
      </c>
      <c r="X1670" s="1" t="str">
        <f>"1395441430"</f>
        <v>1395441430</v>
      </c>
      <c r="Y1670" s="1" t="str">
        <f>"95/08/10"</f>
        <v>95/08/10</v>
      </c>
      <c r="Z1670" s="1" t="str">
        <f>"35416"</f>
        <v>35416</v>
      </c>
      <c r="AA1670" s="1" t="str">
        <f>"شهرداريها"</f>
        <v>شهرداريها</v>
      </c>
      <c r="AB1670" s="1" t="str">
        <f>"95/07/24"</f>
        <v>95/07/24</v>
      </c>
      <c r="AC1670" s="1" t="str">
        <f>"استان اصفهان"</f>
        <v>استان اصفهان</v>
      </c>
      <c r="AD1670" s="1" t="str">
        <f>"95/08/09"</f>
        <v>95/08/09</v>
      </c>
      <c r="AE1670" s="1" t="str">
        <f t="shared" si="445"/>
        <v>اختتام</v>
      </c>
      <c r="AF1670" s="1" t="str">
        <f>""</f>
        <v/>
      </c>
      <c r="AG1670" s="1" t="str">
        <f>""</f>
        <v/>
      </c>
      <c r="AH1670" s="1" t="str">
        <f>""</f>
        <v/>
      </c>
      <c r="AI1670" s="1" t="str">
        <f>""</f>
        <v/>
      </c>
      <c r="AJ1670" s="1" t="str">
        <f>""</f>
        <v/>
      </c>
      <c r="AK1670" s="1" t="str">
        <f>""</f>
        <v/>
      </c>
    </row>
    <row r="1671" spans="1:37" x14ac:dyDescent="0.2">
      <c r="A1671" s="1">
        <v>736000</v>
      </c>
      <c r="B1671" s="1">
        <v>956200189</v>
      </c>
      <c r="C1671" s="1" t="str">
        <f>"تخليه - سمنان- گرمسار-کيلومتر 8 سمنان-سه راهي داورآباد -کارخانه آسفالت شهرداري گرمسار"</f>
        <v>تخليه - سمنان- گرمسار-کيلومتر 8 سمنان-سه راهي داورآباد -کارخانه آسفالت شهرداري گرمسار</v>
      </c>
      <c r="D1671" s="1">
        <v>9511</v>
      </c>
      <c r="E1671" s="1">
        <v>734460</v>
      </c>
      <c r="F1671" s="1">
        <v>95</v>
      </c>
      <c r="G1671" s="1">
        <v>1540</v>
      </c>
      <c r="H1671" s="1" t="str">
        <f>"95/11/16"</f>
        <v>95/11/16</v>
      </c>
      <c r="I1671" s="1" t="str">
        <f t="shared" si="442"/>
        <v>كيلوگرم</v>
      </c>
      <c r="J1671" s="1" t="str">
        <f t="shared" ref="J1671:J1678" si="446">"0000000093"</f>
        <v>0000000093</v>
      </c>
      <c r="K1671" s="1" t="str">
        <f t="shared" ref="K1671:K1678" si="447">"قير  PG64-10"</f>
        <v>قير  PG64-10</v>
      </c>
      <c r="L1671" s="1">
        <v>100</v>
      </c>
      <c r="M1671" s="1" t="str">
        <f t="shared" si="433"/>
        <v>مخازن قير اصفهان</v>
      </c>
      <c r="N1671" s="1">
        <v>8757</v>
      </c>
      <c r="O1671" s="1">
        <v>50033603</v>
      </c>
      <c r="P1671" s="1" t="str">
        <f>"  دركه گستر"</f>
        <v xml:space="preserve">  دركه گستر</v>
      </c>
      <c r="Q1671" s="1">
        <v>62</v>
      </c>
      <c r="R1671" s="1" t="str">
        <f>"فروش داخلي - سازمان بنيادمسكن انقلاب اسلامي"</f>
        <v>فروش داخلي - سازمان بنيادمسكن انقلاب اسلامي</v>
      </c>
      <c r="S1671" s="1" t="str">
        <f t="shared" si="443"/>
        <v>قرارداد فروش</v>
      </c>
      <c r="T1671" s="1" t="str">
        <f t="shared" si="444"/>
        <v>ندارد</v>
      </c>
      <c r="U1671" s="1" t="str">
        <f>"نظام دوست امين (1911102)"</f>
        <v>نظام دوست امين (1911102)</v>
      </c>
      <c r="V1671" s="1">
        <v>956200189</v>
      </c>
      <c r="W1671" s="1">
        <v>956200189</v>
      </c>
      <c r="X1671" s="1" t="str">
        <f>"1395462881"</f>
        <v>1395462881</v>
      </c>
      <c r="Y1671" s="1" t="str">
        <f>"95/11/16"</f>
        <v>95/11/16</v>
      </c>
      <c r="Z1671" s="1" t="str">
        <f>"49118/د"</f>
        <v>49118/د</v>
      </c>
      <c r="AA1671" s="1" t="str">
        <f>"بنيادمسكن انقلاب اسلامي"</f>
        <v>بنيادمسكن انقلاب اسلامي</v>
      </c>
      <c r="AB1671" s="1" t="str">
        <f>"95/11/13"</f>
        <v>95/11/13</v>
      </c>
      <c r="AC1671" s="1" t="str">
        <f>"استان سمنان"</f>
        <v>استان سمنان</v>
      </c>
      <c r="AD1671" s="1" t="str">
        <f>"95/11/16"</f>
        <v>95/11/16</v>
      </c>
      <c r="AE1671" s="1" t="str">
        <f t="shared" si="445"/>
        <v>اختتام</v>
      </c>
      <c r="AF1671" s="1" t="str">
        <f>""</f>
        <v/>
      </c>
      <c r="AG1671" s="1" t="str">
        <f>""</f>
        <v/>
      </c>
      <c r="AH1671" s="1" t="str">
        <f>""</f>
        <v/>
      </c>
      <c r="AI1671" s="1" t="str">
        <f>""</f>
        <v/>
      </c>
      <c r="AJ1671" s="1" t="str">
        <f>""</f>
        <v/>
      </c>
      <c r="AK1671" s="1" t="str">
        <f>""</f>
        <v/>
      </c>
    </row>
    <row r="1672" spans="1:37" x14ac:dyDescent="0.2">
      <c r="A1672" s="1">
        <v>241860</v>
      </c>
      <c r="B1672" s="1">
        <v>951300019</v>
      </c>
      <c r="C1672" s="1" t="str">
        <f>"تخليه يزد-شركت آسفالت شهرداري هاي استان يزدوشركت هاي طرف قراردادبابنيادانقلاب اسلامي يزد"</f>
        <v>تخليه يزد-شركت آسفالت شهرداري هاي استان يزدوشركت هاي طرف قراردادبابنيادانقلاب اسلامي يزد</v>
      </c>
      <c r="D1672" s="1">
        <v>8323</v>
      </c>
      <c r="E1672" s="1">
        <v>241560</v>
      </c>
      <c r="F1672" s="1">
        <v>95</v>
      </c>
      <c r="G1672" s="1">
        <v>300</v>
      </c>
      <c r="H1672" s="1" t="str">
        <f>"95/08/05"</f>
        <v>95/08/05</v>
      </c>
      <c r="I1672" s="1" t="str">
        <f t="shared" si="442"/>
        <v>كيلوگرم</v>
      </c>
      <c r="J1672" s="1" t="str">
        <f t="shared" si="446"/>
        <v>0000000093</v>
      </c>
      <c r="K1672" s="1" t="str">
        <f t="shared" si="447"/>
        <v>قير  PG64-10</v>
      </c>
      <c r="L1672" s="1">
        <v>100</v>
      </c>
      <c r="M1672" s="1" t="str">
        <f t="shared" ref="M1672:M1735" si="448">"مخازن قير اصفهان"</f>
        <v>مخازن قير اصفهان</v>
      </c>
      <c r="N1672" s="1">
        <v>9875</v>
      </c>
      <c r="O1672" s="1">
        <v>50032270</v>
      </c>
      <c r="P1672" s="1" t="str">
        <f>"  بنيادمسكن انقلاب اسلامي يزد"</f>
        <v xml:space="preserve">  بنيادمسكن انقلاب اسلامي يزد</v>
      </c>
      <c r="Q1672" s="1">
        <v>13</v>
      </c>
      <c r="R1672" s="1" t="str">
        <f>"فروش داخلي - وزارت راه - حوزه بنياد مسكن"</f>
        <v>فروش داخلي - وزارت راه - حوزه بنياد مسكن</v>
      </c>
      <c r="S1672" s="1" t="str">
        <f t="shared" si="443"/>
        <v>قرارداد فروش</v>
      </c>
      <c r="T1672" s="1" t="str">
        <f t="shared" si="444"/>
        <v>ندارد</v>
      </c>
      <c r="U1672" s="1" t="str">
        <f>"قانعي محمدرضا(1011ج89)"</f>
        <v>قانعي محمدرضا(1011ج89)</v>
      </c>
      <c r="V1672" s="1">
        <v>951300019</v>
      </c>
      <c r="W1672" s="1">
        <v>951300019</v>
      </c>
      <c r="X1672" s="1" t="str">
        <f>"1395412246"</f>
        <v>1395412246</v>
      </c>
      <c r="Y1672" s="1" t="str">
        <f>"95/08/05"</f>
        <v>95/08/05</v>
      </c>
      <c r="Z1672" s="1" t="str">
        <f>"12102/510"</f>
        <v>12102/510</v>
      </c>
      <c r="AA1672" s="1" t="str">
        <f>"بنياد مسكن -مسكن مهر"</f>
        <v>بنياد مسكن -مسكن مهر</v>
      </c>
      <c r="AB1672" s="1" t="str">
        <f>"95/03/24"</f>
        <v>95/03/24</v>
      </c>
      <c r="AC1672" s="1" t="str">
        <f>"استان يزد"</f>
        <v>استان يزد</v>
      </c>
      <c r="AD1672" s="1" t="str">
        <f>"95/04/09"</f>
        <v>95/04/09</v>
      </c>
      <c r="AE1672" s="1" t="str">
        <f t="shared" si="445"/>
        <v>اختتام</v>
      </c>
      <c r="AF1672" s="1" t="str">
        <f>""</f>
        <v/>
      </c>
      <c r="AG1672" s="1" t="str">
        <f>""</f>
        <v/>
      </c>
      <c r="AH1672" s="1" t="str">
        <f>""</f>
        <v/>
      </c>
      <c r="AI1672" s="1" t="str">
        <f>""</f>
        <v/>
      </c>
      <c r="AJ1672" s="1" t="str">
        <f>""</f>
        <v/>
      </c>
      <c r="AK1672" s="1" t="str">
        <f>""</f>
        <v/>
      </c>
    </row>
    <row r="1673" spans="1:37" x14ac:dyDescent="0.2">
      <c r="A1673" s="1">
        <v>50000</v>
      </c>
      <c r="B1673" s="1">
        <v>951300024</v>
      </c>
      <c r="C1673" s="1" t="str">
        <f>"تخليه يزدشهرستان نيركارخانه آسفالت سازمان همياري شهرداري"</f>
        <v>تخليه يزدشهرستان نيركارخانه آسفالت سازمان همياري شهرداري</v>
      </c>
      <c r="D1673" s="1">
        <v>8348</v>
      </c>
      <c r="E1673" s="1">
        <v>49540</v>
      </c>
      <c r="F1673" s="1">
        <v>95</v>
      </c>
      <c r="G1673" s="1">
        <v>460</v>
      </c>
      <c r="H1673" s="1" t="str">
        <f>"95/11/25"</f>
        <v>95/11/25</v>
      </c>
      <c r="I1673" s="1" t="str">
        <f t="shared" si="442"/>
        <v>كيلوگرم</v>
      </c>
      <c r="J1673" s="1" t="str">
        <f t="shared" si="446"/>
        <v>0000000093</v>
      </c>
      <c r="K1673" s="1" t="str">
        <f t="shared" si="447"/>
        <v>قير  PG64-10</v>
      </c>
      <c r="L1673" s="1">
        <v>100</v>
      </c>
      <c r="M1673" s="1" t="str">
        <f t="shared" si="448"/>
        <v>مخازن قير اصفهان</v>
      </c>
      <c r="N1673" s="1">
        <v>9875</v>
      </c>
      <c r="O1673" s="1">
        <v>50033740</v>
      </c>
      <c r="P1673" s="1" t="str">
        <f>"  بنيادمسكن انقلاب اسلامي يزد"</f>
        <v xml:space="preserve">  بنيادمسكن انقلاب اسلامي يزد</v>
      </c>
      <c r="Q1673" s="1">
        <v>13</v>
      </c>
      <c r="R1673" s="1" t="str">
        <f>"فروش داخلي - وزارت راه - حوزه بنياد مسكن"</f>
        <v>فروش داخلي - وزارت راه - حوزه بنياد مسكن</v>
      </c>
      <c r="S1673" s="1" t="str">
        <f t="shared" si="443"/>
        <v>قرارداد فروش</v>
      </c>
      <c r="T1673" s="1" t="str">
        <f t="shared" si="444"/>
        <v>ندارد</v>
      </c>
      <c r="U1673" s="1" t="str">
        <f>"قانعي محمدرضا(1011ج89)"</f>
        <v>قانعي محمدرضا(1011ج89)</v>
      </c>
      <c r="V1673" s="1">
        <v>951300024</v>
      </c>
      <c r="W1673" s="1">
        <v>951300024</v>
      </c>
      <c r="X1673" s="1" t="str">
        <f>"1395464672"</f>
        <v>1395464672</v>
      </c>
      <c r="Y1673" s="1" t="str">
        <f>"95/11/25"</f>
        <v>95/11/25</v>
      </c>
      <c r="Z1673" s="1" t="str">
        <f>"56620/710"</f>
        <v>56620/710</v>
      </c>
      <c r="AA1673" s="1" t="str">
        <f>"بنياد مسكن -مسكن مهر"</f>
        <v>بنياد مسكن -مسكن مهر</v>
      </c>
      <c r="AB1673" s="1" t="str">
        <f>"95/11/13"</f>
        <v>95/11/13</v>
      </c>
      <c r="AC1673" s="1" t="str">
        <f>"استان يزد"</f>
        <v>استان يزد</v>
      </c>
      <c r="AD1673" s="1" t="str">
        <f>"95/11/25"</f>
        <v>95/11/25</v>
      </c>
      <c r="AE1673" s="1" t="str">
        <f t="shared" si="445"/>
        <v>اختتام</v>
      </c>
      <c r="AF1673" s="1" t="str">
        <f>""</f>
        <v/>
      </c>
      <c r="AG1673" s="1" t="str">
        <f>""</f>
        <v/>
      </c>
      <c r="AH1673" s="1" t="str">
        <f>""</f>
        <v/>
      </c>
      <c r="AI1673" s="1" t="str">
        <f>""</f>
        <v/>
      </c>
      <c r="AJ1673" s="1" t="str">
        <f>""</f>
        <v/>
      </c>
      <c r="AK1673" s="1" t="str">
        <f>""</f>
        <v/>
      </c>
    </row>
    <row r="1674" spans="1:37" x14ac:dyDescent="0.2">
      <c r="A1674" s="1">
        <v>50000</v>
      </c>
      <c r="B1674" s="1">
        <v>951300025</v>
      </c>
      <c r="C1674" s="1" t="str">
        <f>"تخليه يزدكارخانه آسفالت شهرداري منطقه شاهديه"</f>
        <v>تخليه يزدكارخانه آسفالت شهرداري منطقه شاهديه</v>
      </c>
      <c r="D1674" s="1">
        <v>8348</v>
      </c>
      <c r="E1674" s="1">
        <v>49860</v>
      </c>
      <c r="F1674" s="1">
        <v>95</v>
      </c>
      <c r="G1674" s="1">
        <v>140</v>
      </c>
      <c r="H1674" s="1" t="str">
        <f>"95/11/25"</f>
        <v>95/11/25</v>
      </c>
      <c r="I1674" s="1" t="str">
        <f t="shared" si="442"/>
        <v>كيلوگرم</v>
      </c>
      <c r="J1674" s="1" t="str">
        <f t="shared" si="446"/>
        <v>0000000093</v>
      </c>
      <c r="K1674" s="1" t="str">
        <f t="shared" si="447"/>
        <v>قير  PG64-10</v>
      </c>
      <c r="L1674" s="1">
        <v>100</v>
      </c>
      <c r="M1674" s="1" t="str">
        <f t="shared" si="448"/>
        <v>مخازن قير اصفهان</v>
      </c>
      <c r="N1674" s="1">
        <v>9875</v>
      </c>
      <c r="O1674" s="1">
        <v>50033741</v>
      </c>
      <c r="P1674" s="1" t="str">
        <f>"  بنيادمسكن انقلاب اسلامي يزد"</f>
        <v xml:space="preserve">  بنيادمسكن انقلاب اسلامي يزد</v>
      </c>
      <c r="Q1674" s="1">
        <v>13</v>
      </c>
      <c r="R1674" s="1" t="str">
        <f>"فروش داخلي - وزارت راه - حوزه بنياد مسكن"</f>
        <v>فروش داخلي - وزارت راه - حوزه بنياد مسكن</v>
      </c>
      <c r="S1674" s="1" t="str">
        <f t="shared" si="443"/>
        <v>قرارداد فروش</v>
      </c>
      <c r="T1674" s="1" t="str">
        <f t="shared" si="444"/>
        <v>ندارد</v>
      </c>
      <c r="U1674" s="1" t="str">
        <f>"قانعي محمدرضا(1011ج89)"</f>
        <v>قانعي محمدرضا(1011ج89)</v>
      </c>
      <c r="V1674" s="1">
        <v>951300025</v>
      </c>
      <c r="W1674" s="1">
        <v>951300025</v>
      </c>
      <c r="X1674" s="1" t="str">
        <f>"1395464672"</f>
        <v>1395464672</v>
      </c>
      <c r="Y1674" s="1" t="str">
        <f>"95/11/25"</f>
        <v>95/11/25</v>
      </c>
      <c r="Z1674" s="1" t="str">
        <f>"56619/710"</f>
        <v>56619/710</v>
      </c>
      <c r="AA1674" s="1" t="str">
        <f>"بنياد مسكن -مسكن مهر"</f>
        <v>بنياد مسكن -مسكن مهر</v>
      </c>
      <c r="AB1674" s="1" t="str">
        <f>"95/11/13"</f>
        <v>95/11/13</v>
      </c>
      <c r="AC1674" s="1" t="str">
        <f>"استان يزد"</f>
        <v>استان يزد</v>
      </c>
      <c r="AD1674" s="1" t="str">
        <f>"95/11/25"</f>
        <v>95/11/25</v>
      </c>
      <c r="AE1674" s="1" t="str">
        <f t="shared" si="445"/>
        <v>اختتام</v>
      </c>
      <c r="AF1674" s="1" t="str">
        <f>""</f>
        <v/>
      </c>
      <c r="AG1674" s="1" t="str">
        <f>""</f>
        <v/>
      </c>
      <c r="AH1674" s="1" t="str">
        <f>""</f>
        <v/>
      </c>
      <c r="AI1674" s="1" t="str">
        <f>""</f>
        <v/>
      </c>
      <c r="AJ1674" s="1" t="str">
        <f>""</f>
        <v/>
      </c>
      <c r="AK1674" s="1" t="str">
        <f>""</f>
        <v/>
      </c>
    </row>
    <row r="1675" spans="1:37" x14ac:dyDescent="0.2">
      <c r="A1675" s="1">
        <v>80000</v>
      </c>
      <c r="B1675" s="1">
        <v>951300027</v>
      </c>
      <c r="C1675" s="1" t="str">
        <f>"يزدكارخانه آسفالت شهرداري منطقه اشكذر"</f>
        <v>يزدكارخانه آسفالت شهرداري منطقه اشكذر</v>
      </c>
      <c r="D1675" s="1">
        <v>8348</v>
      </c>
      <c r="E1675" s="1">
        <v>79560</v>
      </c>
      <c r="F1675" s="1">
        <v>95</v>
      </c>
      <c r="G1675" s="1">
        <v>440</v>
      </c>
      <c r="H1675" s="1" t="str">
        <f>"95/11/26"</f>
        <v>95/11/26</v>
      </c>
      <c r="I1675" s="1" t="str">
        <f t="shared" si="442"/>
        <v>كيلوگرم</v>
      </c>
      <c r="J1675" s="1" t="str">
        <f t="shared" si="446"/>
        <v>0000000093</v>
      </c>
      <c r="K1675" s="1" t="str">
        <f t="shared" si="447"/>
        <v>قير  PG64-10</v>
      </c>
      <c r="L1675" s="1">
        <v>100</v>
      </c>
      <c r="M1675" s="1" t="str">
        <f t="shared" si="448"/>
        <v>مخازن قير اصفهان</v>
      </c>
      <c r="N1675" s="1">
        <v>9875</v>
      </c>
      <c r="O1675" s="1">
        <v>50033749</v>
      </c>
      <c r="P1675" s="1" t="str">
        <f>"  بنيادمسكن انقلاب اسلامي يزد"</f>
        <v xml:space="preserve">  بنيادمسكن انقلاب اسلامي يزد</v>
      </c>
      <c r="Q1675" s="1">
        <v>13</v>
      </c>
      <c r="R1675" s="1" t="str">
        <f>"فروش داخلي - وزارت راه - حوزه بنياد مسكن"</f>
        <v>فروش داخلي - وزارت راه - حوزه بنياد مسكن</v>
      </c>
      <c r="S1675" s="1" t="str">
        <f t="shared" si="443"/>
        <v>قرارداد فروش</v>
      </c>
      <c r="T1675" s="1" t="str">
        <f t="shared" si="444"/>
        <v>ندارد</v>
      </c>
      <c r="U1675" s="1" t="str">
        <f>"قانعي محمدرضا(1011ج89)"</f>
        <v>قانعي محمدرضا(1011ج89)</v>
      </c>
      <c r="V1675" s="1">
        <v>951300027</v>
      </c>
      <c r="W1675" s="1">
        <v>951300027</v>
      </c>
      <c r="X1675" s="1" t="str">
        <f>"1395464672"</f>
        <v>1395464672</v>
      </c>
      <c r="Y1675" s="1" t="str">
        <f>"95/11/26"</f>
        <v>95/11/26</v>
      </c>
      <c r="Z1675" s="1" t="str">
        <f>"56617/710"</f>
        <v>56617/710</v>
      </c>
      <c r="AA1675" s="1" t="str">
        <f>"بنياد مسكن -مسكن مهر"</f>
        <v>بنياد مسكن -مسكن مهر</v>
      </c>
      <c r="AB1675" s="1" t="str">
        <f>"95/11/13"</f>
        <v>95/11/13</v>
      </c>
      <c r="AC1675" s="1" t="str">
        <f>"استان يزد"</f>
        <v>استان يزد</v>
      </c>
      <c r="AD1675" s="1" t="str">
        <f>"95/11/25"</f>
        <v>95/11/25</v>
      </c>
      <c r="AE1675" s="1" t="str">
        <f t="shared" si="445"/>
        <v>اختتام</v>
      </c>
      <c r="AF1675" s="1" t="str">
        <f>""</f>
        <v/>
      </c>
      <c r="AG1675" s="1" t="str">
        <f>""</f>
        <v/>
      </c>
      <c r="AH1675" s="1" t="str">
        <f>""</f>
        <v/>
      </c>
      <c r="AI1675" s="1" t="str">
        <f>""</f>
        <v/>
      </c>
      <c r="AJ1675" s="1" t="str">
        <f>""</f>
        <v/>
      </c>
      <c r="AK1675" s="1" t="str">
        <f>""</f>
        <v/>
      </c>
    </row>
    <row r="1676" spans="1:37" x14ac:dyDescent="0.2">
      <c r="A1676" s="1">
        <v>492560</v>
      </c>
      <c r="B1676" s="1">
        <v>951900219</v>
      </c>
      <c r="C1676" s="1" t="str">
        <f>"تخليه شيرازجاده سروستان بعدازروستاي برم شورجاده پسماندكارخانه آسفالت سازان جنوب"</f>
        <v>تخليه شيرازجاده سروستان بعدازروستاي برم شورجاده پسماندكارخانه آسفالت سازان جنوب</v>
      </c>
      <c r="D1676" s="1">
        <v>9061</v>
      </c>
      <c r="E1676" s="1">
        <v>443280</v>
      </c>
      <c r="F1676" s="1">
        <v>95</v>
      </c>
      <c r="G1676" s="1">
        <v>49280</v>
      </c>
      <c r="H1676" s="1" t="str">
        <f>"95/10/01"</f>
        <v>95/10/01</v>
      </c>
      <c r="I1676" s="1" t="str">
        <f t="shared" si="442"/>
        <v>كيلوگرم</v>
      </c>
      <c r="J1676" s="1" t="str">
        <f t="shared" si="446"/>
        <v>0000000093</v>
      </c>
      <c r="K1676" s="1" t="str">
        <f t="shared" si="447"/>
        <v>قير  PG64-10</v>
      </c>
      <c r="L1676" s="1">
        <v>100</v>
      </c>
      <c r="M1676" s="1" t="str">
        <f t="shared" si="448"/>
        <v>مخازن قير اصفهان</v>
      </c>
      <c r="N1676" s="1">
        <v>10510</v>
      </c>
      <c r="O1676" s="1">
        <v>50033107</v>
      </c>
      <c r="P1676" s="1" t="str">
        <f>"  لاميان"</f>
        <v xml:space="preserve">  لاميان</v>
      </c>
      <c r="Q1676" s="1">
        <v>19</v>
      </c>
      <c r="R167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676" s="1" t="str">
        <f t="shared" si="443"/>
        <v>قرارداد فروش</v>
      </c>
      <c r="T1676" s="1" t="str">
        <f t="shared" si="444"/>
        <v>ندارد</v>
      </c>
      <c r="U1676" s="1" t="str">
        <f>"غلام نجفي سيامك‌‌‌‌‌‌(1881082)"</f>
        <v>غلام نجفي سيامك‌‌‌‌‌‌(1881082)</v>
      </c>
      <c r="V1676" s="1">
        <v>951900219</v>
      </c>
      <c r="W1676" s="1">
        <v>951900219</v>
      </c>
      <c r="X1676" s="1" t="str">
        <f>"1395449222"</f>
        <v>1395449222</v>
      </c>
      <c r="Y1676" s="1" t="str">
        <f>"95/10/01"</f>
        <v>95/10/01</v>
      </c>
      <c r="Z1676" s="1" t="str">
        <f>"43912/710"</f>
        <v>43912/710</v>
      </c>
      <c r="AA1676" s="1" t="str">
        <f>"سازمان راهداري وحمل نقل جاده اي"</f>
        <v>سازمان راهداري وحمل نقل جاده اي</v>
      </c>
      <c r="AB1676" s="1" t="str">
        <f>"95/09/09"</f>
        <v>95/09/09</v>
      </c>
      <c r="AC1676" s="1" t="str">
        <f>"استان فارس"</f>
        <v>استان فارس</v>
      </c>
      <c r="AD1676" s="1" t="str">
        <f>"95/09/14"</f>
        <v>95/09/14</v>
      </c>
      <c r="AE1676" s="1" t="str">
        <f t="shared" si="445"/>
        <v>اختتام</v>
      </c>
      <c r="AF1676" s="1" t="str">
        <f>""</f>
        <v/>
      </c>
      <c r="AG1676" s="1" t="str">
        <f>""</f>
        <v/>
      </c>
      <c r="AH1676" s="1" t="str">
        <f>""</f>
        <v/>
      </c>
      <c r="AI1676" s="1" t="str">
        <f>""</f>
        <v/>
      </c>
      <c r="AJ1676" s="1" t="str">
        <f>""</f>
        <v/>
      </c>
      <c r="AK1676" s="1" t="str">
        <f>""</f>
        <v/>
      </c>
    </row>
    <row r="1677" spans="1:37" x14ac:dyDescent="0.2">
      <c r="A1677" s="1">
        <v>550000</v>
      </c>
      <c r="B1677" s="1">
        <v>951700131</v>
      </c>
      <c r="C1677" s="1" t="str">
        <f>"تخليه -كهگيلويه وبويراحمد-ياسوج كارخانه آسفالت جوكار"</f>
        <v>تخليه -كهگيلويه وبويراحمد-ياسوج كارخانه آسفالت جوكار</v>
      </c>
      <c r="D1677" s="1">
        <v>6726</v>
      </c>
      <c r="E1677" s="1">
        <v>161720</v>
      </c>
      <c r="F1677" s="1">
        <v>95</v>
      </c>
      <c r="G1677" s="1">
        <v>388280</v>
      </c>
      <c r="H1677" s="1" t="str">
        <f>"95/05/11"</f>
        <v>95/05/11</v>
      </c>
      <c r="I1677" s="1" t="str">
        <f t="shared" si="442"/>
        <v>كيلوگرم</v>
      </c>
      <c r="J1677" s="1" t="str">
        <f t="shared" si="446"/>
        <v>0000000093</v>
      </c>
      <c r="K1677" s="1" t="str">
        <f t="shared" si="447"/>
        <v>قير  PG64-10</v>
      </c>
      <c r="L1677" s="1">
        <v>100</v>
      </c>
      <c r="M1677" s="1" t="str">
        <f t="shared" si="448"/>
        <v>مخازن قير اصفهان</v>
      </c>
      <c r="N1677" s="1">
        <v>10979</v>
      </c>
      <c r="O1677" s="1">
        <v>50031396</v>
      </c>
      <c r="P1677" s="1" t="str">
        <f>"  والادسازه آترين"</f>
        <v xml:space="preserve">  والادسازه آترين</v>
      </c>
      <c r="Q1677" s="1">
        <v>17</v>
      </c>
      <c r="R1677" s="1" t="str">
        <f>"فروش داخلي تهران - وزارت راه - راه روستايي - روکش"</f>
        <v>فروش داخلي تهران - وزارت راه - راه روستايي - روکش</v>
      </c>
      <c r="S1677" s="1" t="str">
        <f t="shared" si="443"/>
        <v>قرارداد فروش</v>
      </c>
      <c r="T1677" s="1" t="str">
        <f t="shared" si="444"/>
        <v>ندارد</v>
      </c>
      <c r="U1677" s="1" t="str">
        <f>"غلام نجفي سيامك‌‌‌‌‌‌(1881082)"</f>
        <v>غلام نجفي سيامك‌‌‌‌‌‌(1881082)</v>
      </c>
      <c r="V1677" s="1">
        <v>951700131</v>
      </c>
      <c r="W1677" s="1">
        <v>951700131</v>
      </c>
      <c r="X1677" s="1" t="str">
        <f>"1395419857"</f>
        <v>1395419857</v>
      </c>
      <c r="Y1677" s="1" t="str">
        <f>"95/05/11"</f>
        <v>95/05/11</v>
      </c>
      <c r="Z1677" s="1" t="str">
        <f>"18875/510"</f>
        <v>18875/510</v>
      </c>
      <c r="AA1677" s="1" t="str">
        <f>"راه روستائي -روكش"</f>
        <v>راه روستائي -روكش</v>
      </c>
      <c r="AB1677" s="1" t="str">
        <f>"95/04/30"</f>
        <v>95/04/30</v>
      </c>
      <c r="AC1677" s="1" t="str">
        <f>"كهكيلويه و بوير احمد"</f>
        <v>كهكيلويه و بوير احمد</v>
      </c>
      <c r="AD1677" s="1" t="str">
        <f>"95/05/11"</f>
        <v>95/05/11</v>
      </c>
      <c r="AE1677" s="1" t="str">
        <f t="shared" si="445"/>
        <v>اختتام</v>
      </c>
      <c r="AF1677" s="1" t="str">
        <f>""</f>
        <v/>
      </c>
      <c r="AG1677" s="1" t="str">
        <f>""</f>
        <v/>
      </c>
      <c r="AH1677" s="1" t="str">
        <f>""</f>
        <v/>
      </c>
      <c r="AI1677" s="1" t="str">
        <f>""</f>
        <v/>
      </c>
      <c r="AJ1677" s="1" t="str">
        <f>""</f>
        <v/>
      </c>
      <c r="AK1677" s="1" t="str">
        <f>""</f>
        <v/>
      </c>
    </row>
    <row r="1678" spans="1:37" x14ac:dyDescent="0.2">
      <c r="A1678" s="1">
        <v>107000</v>
      </c>
      <c r="B1678" s="1">
        <v>951400171</v>
      </c>
      <c r="C1678" s="1" t="str">
        <f>"تخليه- ياسوج-کارخانه آسفالت دارشاهي"</f>
        <v>تخليه- ياسوج-کارخانه آسفالت دارشاهي</v>
      </c>
      <c r="D1678" s="1">
        <v>8998</v>
      </c>
      <c r="E1678" s="1">
        <v>106240</v>
      </c>
      <c r="F1678" s="1">
        <v>95</v>
      </c>
      <c r="G1678" s="1">
        <v>760</v>
      </c>
      <c r="H1678" s="1" t="str">
        <f>"95/12/09"</f>
        <v>95/12/09</v>
      </c>
      <c r="I1678" s="1" t="str">
        <f t="shared" si="442"/>
        <v>كيلوگرم</v>
      </c>
      <c r="J1678" s="1" t="str">
        <f t="shared" si="446"/>
        <v>0000000093</v>
      </c>
      <c r="K1678" s="1" t="str">
        <f t="shared" si="447"/>
        <v>قير  PG64-10</v>
      </c>
      <c r="L1678" s="1">
        <v>100</v>
      </c>
      <c r="M1678" s="1" t="str">
        <f t="shared" si="448"/>
        <v>مخازن قير اصفهان</v>
      </c>
      <c r="N1678" s="1">
        <v>11043</v>
      </c>
      <c r="O1678" s="1">
        <v>50033913</v>
      </c>
      <c r="P1678" s="1" t="str">
        <f>"  كاوه كاركوهستان"</f>
        <v xml:space="preserve">  كاوه كاركوهستان</v>
      </c>
      <c r="Q1678" s="1">
        <v>14</v>
      </c>
      <c r="R1678" s="1" t="str">
        <f>"فروش داخلي - وزارت راه - حوزه راه روستايي ساخت"</f>
        <v>فروش داخلي - وزارت راه - حوزه راه روستايي ساخت</v>
      </c>
      <c r="S1678" s="1" t="str">
        <f t="shared" si="443"/>
        <v>قرارداد فروش</v>
      </c>
      <c r="T1678" s="1" t="str">
        <f t="shared" si="444"/>
        <v>ندارد</v>
      </c>
      <c r="U1678" s="1" t="str">
        <f>"غلام نجفي سيامك‌‌‌‌‌‌(1881082)"</f>
        <v>غلام نجفي سيامك‌‌‌‌‌‌(1881082)</v>
      </c>
      <c r="V1678" s="1">
        <v>951400171</v>
      </c>
      <c r="W1678" s="1">
        <v>951400171</v>
      </c>
      <c r="X1678" s="1" t="str">
        <f>"1395467970"</f>
        <v>1395467970</v>
      </c>
      <c r="Y1678" s="1" t="str">
        <f>"95/12/09"</f>
        <v>95/12/09</v>
      </c>
      <c r="Z1678" s="1" t="str">
        <f>"60540/710"</f>
        <v>60540/710</v>
      </c>
      <c r="AA1678" s="1" t="str">
        <f>"راه وروستايي -ساخت"</f>
        <v>راه وروستايي -ساخت</v>
      </c>
      <c r="AB1678" s="1" t="str">
        <f>"95/12/02"</f>
        <v>95/12/02</v>
      </c>
      <c r="AC1678" s="1" t="str">
        <f>"كهكيلويه و بوير احمد"</f>
        <v>كهكيلويه و بوير احمد</v>
      </c>
      <c r="AD1678" s="1" t="str">
        <f>"95/12/09"</f>
        <v>95/12/09</v>
      </c>
      <c r="AE1678" s="1" t="str">
        <f t="shared" si="445"/>
        <v>اختتام</v>
      </c>
      <c r="AF1678" s="1" t="str">
        <f>""</f>
        <v/>
      </c>
      <c r="AG1678" s="1" t="str">
        <f>""</f>
        <v/>
      </c>
      <c r="AH1678" s="1" t="str">
        <f>""</f>
        <v/>
      </c>
      <c r="AI1678" s="1" t="str">
        <f>""</f>
        <v/>
      </c>
      <c r="AJ1678" s="1" t="str">
        <f>""</f>
        <v/>
      </c>
      <c r="AK1678" s="1" t="str">
        <f>""</f>
        <v/>
      </c>
    </row>
    <row r="1679" spans="1:37" x14ac:dyDescent="0.2">
      <c r="A1679" s="1">
        <v>950000</v>
      </c>
      <c r="B1679" s="1">
        <v>951600033</v>
      </c>
      <c r="C1679" s="1" t="str">
        <f>"تخليه -خراسان جنوبي -فردوس -كيلومتر40جاده سرارمان -بيرجند-جنب شهرك هاشميه -كارخانه آسفالت كوه پيمابيرجند"</f>
        <v>تخليه -خراسان جنوبي -فردوس -كيلومتر40جاده سرارمان -بيرجند-جنب شهرك هاشميه -كارخانه آسفالت كوه پيمابيرجند</v>
      </c>
      <c r="D1679" s="1">
        <v>7576</v>
      </c>
      <c r="E1679" s="1">
        <v>154040</v>
      </c>
      <c r="F1679" s="1">
        <v>95</v>
      </c>
      <c r="G1679" s="1">
        <v>795960</v>
      </c>
      <c r="H1679" s="1" t="str">
        <f>"95/07/05"</f>
        <v>95/07/05</v>
      </c>
      <c r="I1679" s="1" t="str">
        <f t="shared" si="442"/>
        <v>كيلوگرم</v>
      </c>
      <c r="J1679" s="1" t="str">
        <f>"0000000094"</f>
        <v>0000000094</v>
      </c>
      <c r="K1679" s="1" t="str">
        <f>"قير  PG70-10"</f>
        <v>قير  PG70-10</v>
      </c>
      <c r="L1679" s="1">
        <v>100</v>
      </c>
      <c r="M1679" s="1" t="str">
        <f t="shared" si="448"/>
        <v>مخازن قير اصفهان</v>
      </c>
      <c r="N1679" s="1">
        <v>10308</v>
      </c>
      <c r="O1679" s="1">
        <v>50031962</v>
      </c>
      <c r="P1679" s="1" t="str">
        <f>"  کوه پيما بيرجند"</f>
        <v xml:space="preserve">  کوه پيما بيرجند</v>
      </c>
      <c r="Q1679" s="1">
        <v>16</v>
      </c>
      <c r="R1679" s="1" t="str">
        <f>"فروش داخلي تهران - وزارت راه - معاونت اقتصاد"</f>
        <v>فروش داخلي تهران - وزارت راه - معاونت اقتصاد</v>
      </c>
      <c r="S1679" s="1" t="str">
        <f t="shared" si="443"/>
        <v>قرارداد فروش</v>
      </c>
      <c r="T1679" s="1" t="str">
        <f t="shared" si="444"/>
        <v>ندارد</v>
      </c>
      <c r="U1679" s="1" t="str">
        <f>"بابامحمدي عنايت اله(4844000)"</f>
        <v>بابامحمدي عنايت اله(4844000)</v>
      </c>
      <c r="V1679" s="1">
        <v>951600033</v>
      </c>
      <c r="W1679" s="1">
        <v>951600033</v>
      </c>
      <c r="X1679" s="1" t="str">
        <f>"1395433838"</f>
        <v>1395433838</v>
      </c>
      <c r="Y1679" s="1" t="str">
        <f>"95/07/05"</f>
        <v>95/07/05</v>
      </c>
      <c r="Z1679" s="1" t="str">
        <f>"31440/510"</f>
        <v>31440/510</v>
      </c>
      <c r="AA1679" s="1" t="str">
        <f>"معاونت اقتصادوزارت راه وشهرسازي"</f>
        <v>معاونت اقتصادوزارت راه وشهرسازي</v>
      </c>
      <c r="AB1679" s="1" t="str">
        <f>"95/07/03"</f>
        <v>95/07/03</v>
      </c>
      <c r="AC1679" s="1" t="str">
        <f>"خراسان جنوبي"</f>
        <v>خراسان جنوبي</v>
      </c>
      <c r="AD1679" s="1" t="str">
        <f>"95/07/05"</f>
        <v>95/07/05</v>
      </c>
      <c r="AE1679" s="1" t="str">
        <f t="shared" si="445"/>
        <v>اختتام</v>
      </c>
      <c r="AF1679" s="1" t="str">
        <f>""</f>
        <v/>
      </c>
      <c r="AG1679" s="1" t="str">
        <f>""</f>
        <v/>
      </c>
      <c r="AH1679" s="1" t="str">
        <f>""</f>
        <v/>
      </c>
      <c r="AI1679" s="1" t="str">
        <f>""</f>
        <v/>
      </c>
      <c r="AJ1679" s="1" t="str">
        <f>""</f>
        <v/>
      </c>
      <c r="AK1679" s="1" t="str">
        <f>""</f>
        <v/>
      </c>
    </row>
    <row r="1680" spans="1:37" x14ac:dyDescent="0.2">
      <c r="A1680" s="1">
        <v>90000</v>
      </c>
      <c r="B1680" s="1">
        <v>956200366</v>
      </c>
      <c r="C1680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680" s="1">
        <v>8848</v>
      </c>
      <c r="E1680" s="1">
        <v>90000</v>
      </c>
      <c r="F1680" s="1">
        <v>95</v>
      </c>
      <c r="G1680" s="1">
        <v>0</v>
      </c>
      <c r="H1680" s="1" t="str">
        <f>"95/12/23"</f>
        <v>95/12/23</v>
      </c>
      <c r="I1680" s="1" t="str">
        <f t="shared" si="442"/>
        <v>كيلوگرم</v>
      </c>
      <c r="J1680" s="1" t="str">
        <f t="shared" ref="J1680:J1704" si="449">"0000000076"</f>
        <v>0000000076</v>
      </c>
      <c r="K1680" s="1" t="str">
        <f t="shared" ref="K1680:K1704" si="450">"قير 60/70 - فله"</f>
        <v>قير 60/70 - فله</v>
      </c>
      <c r="L1680" s="1">
        <v>100</v>
      </c>
      <c r="M1680" s="1" t="str">
        <f t="shared" si="448"/>
        <v>مخازن قير اصفهان</v>
      </c>
      <c r="N1680" s="1">
        <v>10828</v>
      </c>
      <c r="O1680" s="1">
        <v>50034163</v>
      </c>
      <c r="P1680" s="1" t="str">
        <f>"  زرين گستربيستون"</f>
        <v xml:space="preserve">  زرين گستربيستون</v>
      </c>
      <c r="Q1680" s="1">
        <v>62</v>
      </c>
      <c r="R1680" s="1" t="str">
        <f>"فروش داخلي - سازمان بنيادمسكن انقلاب اسلامي"</f>
        <v>فروش داخلي - سازمان بنيادمسكن انقلاب اسلامي</v>
      </c>
      <c r="S1680" s="1" t="str">
        <f t="shared" si="443"/>
        <v>قرارداد فروش</v>
      </c>
      <c r="T1680" s="1" t="str">
        <f t="shared" si="444"/>
        <v>ندارد</v>
      </c>
      <c r="U1680" s="1" t="str">
        <f>"پيرالي مجيد(1045ج 94)"</f>
        <v>پيرالي مجيد(1045ج 94)</v>
      </c>
      <c r="V1680" s="1">
        <v>956200366</v>
      </c>
      <c r="W1680" s="1">
        <v>956200366</v>
      </c>
      <c r="X1680" s="1" t="str">
        <f>"1395470885"</f>
        <v>1395470885</v>
      </c>
      <c r="Y1680" s="1" t="str">
        <f>"95/12/23"</f>
        <v>95/12/23</v>
      </c>
      <c r="Z1680" s="1" t="str">
        <f>"56894/د"</f>
        <v>56894/د</v>
      </c>
      <c r="AA1680" s="1" t="str">
        <f>"بنيادمسكن انقلاب اسلامي"</f>
        <v>بنيادمسكن انقلاب اسلامي</v>
      </c>
      <c r="AB1680" s="1" t="str">
        <f>"95/12/22"</f>
        <v>95/12/22</v>
      </c>
      <c r="AC1680" s="1" t="str">
        <f>"استان كرمانشاه"</f>
        <v>استان كرمانشاه</v>
      </c>
      <c r="AD1680" s="1" t="str">
        <f>"95/12/23"</f>
        <v>95/12/23</v>
      </c>
      <c r="AE1680" s="1" t="str">
        <f t="shared" si="445"/>
        <v>اختتام</v>
      </c>
      <c r="AF1680" s="1" t="str">
        <f>""</f>
        <v/>
      </c>
      <c r="AG1680" s="1" t="str">
        <f>""</f>
        <v/>
      </c>
      <c r="AH1680" s="1" t="str">
        <f>""</f>
        <v/>
      </c>
      <c r="AI1680" s="1" t="str">
        <f>""</f>
        <v/>
      </c>
      <c r="AJ1680" s="1" t="str">
        <f>""</f>
        <v/>
      </c>
      <c r="AK1680" s="1" t="str">
        <f>""</f>
        <v/>
      </c>
    </row>
    <row r="1681" spans="1:37" x14ac:dyDescent="0.2">
      <c r="A1681" s="1">
        <v>33000</v>
      </c>
      <c r="B1681" s="1">
        <v>956200367</v>
      </c>
      <c r="C1681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681" s="1">
        <v>8848</v>
      </c>
      <c r="E1681" s="1">
        <v>33000</v>
      </c>
      <c r="F1681" s="1">
        <v>95</v>
      </c>
      <c r="G1681" s="1">
        <v>0</v>
      </c>
      <c r="H1681" s="1" t="str">
        <f>"95/12/23"</f>
        <v>95/12/23</v>
      </c>
      <c r="I1681" s="1" t="str">
        <f t="shared" si="442"/>
        <v>كيلوگرم</v>
      </c>
      <c r="J1681" s="1" t="str">
        <f t="shared" si="449"/>
        <v>0000000076</v>
      </c>
      <c r="K1681" s="1" t="str">
        <f t="shared" si="450"/>
        <v>قير 60/70 - فله</v>
      </c>
      <c r="L1681" s="1">
        <v>100</v>
      </c>
      <c r="M1681" s="1" t="str">
        <f t="shared" si="448"/>
        <v>مخازن قير اصفهان</v>
      </c>
      <c r="N1681" s="1">
        <v>10828</v>
      </c>
      <c r="O1681" s="1">
        <v>50034164</v>
      </c>
      <c r="P1681" s="1" t="str">
        <f>"  زرين گستربيستون"</f>
        <v xml:space="preserve">  زرين گستربيستون</v>
      </c>
      <c r="Q1681" s="1">
        <v>62</v>
      </c>
      <c r="R1681" s="1" t="str">
        <f>"فروش داخلي - سازمان بنيادمسكن انقلاب اسلامي"</f>
        <v>فروش داخلي - سازمان بنيادمسكن انقلاب اسلامي</v>
      </c>
      <c r="S1681" s="1" t="str">
        <f t="shared" si="443"/>
        <v>قرارداد فروش</v>
      </c>
      <c r="T1681" s="1" t="str">
        <f t="shared" si="444"/>
        <v>ندارد</v>
      </c>
      <c r="U1681" s="1" t="str">
        <f>"هيزچي مرتضي(1841036)"</f>
        <v>هيزچي مرتضي(1841036)</v>
      </c>
      <c r="V1681" s="1">
        <v>956200367</v>
      </c>
      <c r="W1681" s="1">
        <v>956200367</v>
      </c>
      <c r="X1681" s="1" t="str">
        <f>"1395470885"</f>
        <v>1395470885</v>
      </c>
      <c r="Y1681" s="1" t="str">
        <f>"95/12/23"</f>
        <v>95/12/23</v>
      </c>
      <c r="Z1681" s="1" t="str">
        <f>"56895/د"</f>
        <v>56895/د</v>
      </c>
      <c r="AA1681" s="1" t="str">
        <f>"بنيادمسكن انقلاب اسلامي"</f>
        <v>بنيادمسكن انقلاب اسلامي</v>
      </c>
      <c r="AB1681" s="1" t="str">
        <f>"95/12/22"</f>
        <v>95/12/22</v>
      </c>
      <c r="AC1681" s="1" t="str">
        <f>"استان كرمانشاه"</f>
        <v>استان كرمانشاه</v>
      </c>
      <c r="AD1681" s="1" t="str">
        <f>"95/12/23"</f>
        <v>95/12/23</v>
      </c>
      <c r="AE1681" s="1" t="str">
        <f t="shared" si="445"/>
        <v>اختتام</v>
      </c>
      <c r="AF1681" s="1" t="str">
        <f>""</f>
        <v/>
      </c>
      <c r="AG1681" s="1" t="str">
        <f>""</f>
        <v/>
      </c>
      <c r="AH1681" s="1" t="str">
        <f>""</f>
        <v/>
      </c>
      <c r="AI1681" s="1" t="str">
        <f>""</f>
        <v/>
      </c>
      <c r="AJ1681" s="1" t="str">
        <f>""</f>
        <v/>
      </c>
      <c r="AK1681" s="1" t="str">
        <f>""</f>
        <v/>
      </c>
    </row>
    <row r="1682" spans="1:37" x14ac:dyDescent="0.2">
      <c r="A1682" s="1">
        <v>93000</v>
      </c>
      <c r="B1682" s="1">
        <v>956200369</v>
      </c>
      <c r="C1682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682" s="1">
        <v>8848</v>
      </c>
      <c r="E1682" s="1">
        <v>93000</v>
      </c>
      <c r="F1682" s="1">
        <v>95</v>
      </c>
      <c r="G1682" s="1">
        <v>0</v>
      </c>
      <c r="H1682" s="1" t="str">
        <f>"95/12/23"</f>
        <v>95/12/23</v>
      </c>
      <c r="I1682" s="1" t="str">
        <f t="shared" si="442"/>
        <v>كيلوگرم</v>
      </c>
      <c r="J1682" s="1" t="str">
        <f t="shared" si="449"/>
        <v>0000000076</v>
      </c>
      <c r="K1682" s="1" t="str">
        <f t="shared" si="450"/>
        <v>قير 60/70 - فله</v>
      </c>
      <c r="L1682" s="1">
        <v>100</v>
      </c>
      <c r="M1682" s="1" t="str">
        <f t="shared" si="448"/>
        <v>مخازن قير اصفهان</v>
      </c>
      <c r="N1682" s="1">
        <v>10828</v>
      </c>
      <c r="O1682" s="1">
        <v>50034166</v>
      </c>
      <c r="P1682" s="1" t="str">
        <f>"  زرين گستربيستون"</f>
        <v xml:space="preserve">  زرين گستربيستون</v>
      </c>
      <c r="Q1682" s="1">
        <v>62</v>
      </c>
      <c r="R1682" s="1" t="str">
        <f>"فروش داخلي - سازمان بنيادمسكن انقلاب اسلامي"</f>
        <v>فروش داخلي - سازمان بنيادمسكن انقلاب اسلامي</v>
      </c>
      <c r="S1682" s="1" t="str">
        <f t="shared" si="443"/>
        <v>قرارداد فروش</v>
      </c>
      <c r="T1682" s="1" t="str">
        <f t="shared" si="444"/>
        <v>ندارد</v>
      </c>
      <c r="U1682" s="1" t="str">
        <f>"پيرالي مجيد(1045ج 94)"</f>
        <v>پيرالي مجيد(1045ج 94)</v>
      </c>
      <c r="V1682" s="1">
        <v>956200369</v>
      </c>
      <c r="W1682" s="1">
        <v>956200369</v>
      </c>
      <c r="X1682" s="1" t="str">
        <f>"1395470885"</f>
        <v>1395470885</v>
      </c>
      <c r="Y1682" s="1" t="str">
        <f>"95/12/23"</f>
        <v>95/12/23</v>
      </c>
      <c r="Z1682" s="1" t="str">
        <f>"56989/د"</f>
        <v>56989/د</v>
      </c>
      <c r="AA1682" s="1" t="str">
        <f>"بنيادمسكن انقلاب اسلامي"</f>
        <v>بنيادمسكن انقلاب اسلامي</v>
      </c>
      <c r="AB1682" s="1" t="str">
        <f>"95/12/22"</f>
        <v>95/12/22</v>
      </c>
      <c r="AC1682" s="1" t="str">
        <f>"استان كرمانشاه"</f>
        <v>استان كرمانشاه</v>
      </c>
      <c r="AD1682" s="1" t="str">
        <f>"95/12/23"</f>
        <v>95/12/23</v>
      </c>
      <c r="AE1682" s="1" t="str">
        <f t="shared" si="445"/>
        <v>اختتام</v>
      </c>
      <c r="AF1682" s="1" t="str">
        <f>""</f>
        <v/>
      </c>
      <c r="AG1682" s="1" t="str">
        <f>""</f>
        <v/>
      </c>
      <c r="AH1682" s="1" t="str">
        <f>""</f>
        <v/>
      </c>
      <c r="AI1682" s="1" t="str">
        <f>""</f>
        <v/>
      </c>
      <c r="AJ1682" s="1" t="str">
        <f>""</f>
        <v/>
      </c>
      <c r="AK1682" s="1" t="str">
        <f>""</f>
        <v/>
      </c>
    </row>
    <row r="1683" spans="1:37" x14ac:dyDescent="0.2">
      <c r="A1683" s="1">
        <v>90000</v>
      </c>
      <c r="B1683" s="1">
        <v>956200371</v>
      </c>
      <c r="C1683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1683" s="1">
        <v>8848</v>
      </c>
      <c r="E1683" s="1">
        <v>90000</v>
      </c>
      <c r="F1683" s="1">
        <v>95</v>
      </c>
      <c r="G1683" s="1">
        <v>0</v>
      </c>
      <c r="H1683" s="1" t="str">
        <f>"95/12/23"</f>
        <v>95/12/23</v>
      </c>
      <c r="I1683" s="1" t="str">
        <f t="shared" si="442"/>
        <v>كيلوگرم</v>
      </c>
      <c r="J1683" s="1" t="str">
        <f t="shared" si="449"/>
        <v>0000000076</v>
      </c>
      <c r="K1683" s="1" t="str">
        <f t="shared" si="450"/>
        <v>قير 60/70 - فله</v>
      </c>
      <c r="L1683" s="1">
        <v>100</v>
      </c>
      <c r="M1683" s="1" t="str">
        <f t="shared" si="448"/>
        <v>مخازن قير اصفهان</v>
      </c>
      <c r="N1683" s="1">
        <v>10828</v>
      </c>
      <c r="O1683" s="1">
        <v>50034168</v>
      </c>
      <c r="P1683" s="1" t="str">
        <f>"  زرين گستربيستون"</f>
        <v xml:space="preserve">  زرين گستربيستون</v>
      </c>
      <c r="Q1683" s="1">
        <v>62</v>
      </c>
      <c r="R1683" s="1" t="str">
        <f>"فروش داخلي - سازمان بنيادمسكن انقلاب اسلامي"</f>
        <v>فروش داخلي - سازمان بنيادمسكن انقلاب اسلامي</v>
      </c>
      <c r="S1683" s="1" t="str">
        <f t="shared" si="443"/>
        <v>قرارداد فروش</v>
      </c>
      <c r="T1683" s="1" t="str">
        <f t="shared" si="444"/>
        <v>ندارد</v>
      </c>
      <c r="U1683" s="1" t="str">
        <f>"پيرالي مجيد(1045ج 94)"</f>
        <v>پيرالي مجيد(1045ج 94)</v>
      </c>
      <c r="V1683" s="1">
        <v>956200371</v>
      </c>
      <c r="W1683" s="1">
        <v>956200371</v>
      </c>
      <c r="X1683" s="1" t="str">
        <f>"1395470885"</f>
        <v>1395470885</v>
      </c>
      <c r="Y1683" s="1" t="str">
        <f>"95/12/23"</f>
        <v>95/12/23</v>
      </c>
      <c r="Z1683" s="1" t="str">
        <f>"56995/د"</f>
        <v>56995/د</v>
      </c>
      <c r="AA1683" s="1" t="str">
        <f>"بنيادمسكن انقلاب اسلامي"</f>
        <v>بنيادمسكن انقلاب اسلامي</v>
      </c>
      <c r="AB1683" s="1" t="str">
        <f>"95/12/22"</f>
        <v>95/12/22</v>
      </c>
      <c r="AC1683" s="1" t="str">
        <f>"استان كرمانشاه"</f>
        <v>استان كرمانشاه</v>
      </c>
      <c r="AD1683" s="1" t="str">
        <f>"95/12/23"</f>
        <v>95/12/23</v>
      </c>
      <c r="AE1683" s="1" t="str">
        <f t="shared" si="445"/>
        <v>اختتام</v>
      </c>
      <c r="AF1683" s="1" t="str">
        <f>""</f>
        <v/>
      </c>
      <c r="AG1683" s="1" t="str">
        <f>""</f>
        <v/>
      </c>
      <c r="AH1683" s="1" t="str">
        <f>""</f>
        <v/>
      </c>
      <c r="AI1683" s="1" t="str">
        <f>""</f>
        <v/>
      </c>
      <c r="AJ1683" s="1" t="str">
        <f>""</f>
        <v/>
      </c>
      <c r="AK1683" s="1" t="str">
        <f>""</f>
        <v/>
      </c>
    </row>
    <row r="1684" spans="1:37" x14ac:dyDescent="0.2">
      <c r="A1684" s="1">
        <v>71000</v>
      </c>
      <c r="B1684" s="1">
        <v>952000103</v>
      </c>
      <c r="C1684" s="1" t="str">
        <f>"تخليه -اصفهان -مباركه جنب جاده صنايع هفتم تيرروبروي ايران خودرو-كارخانه آسفالت شركت ساتان"</f>
        <v>تخليه -اصفهان -مباركه جنب جاده صنايع هفتم تيرروبروي ايران خودرو-كارخانه آسفالت شركت ساتان</v>
      </c>
      <c r="D1684" s="1">
        <v>6976</v>
      </c>
      <c r="E1684" s="1">
        <v>70220</v>
      </c>
      <c r="F1684" s="1">
        <v>95</v>
      </c>
      <c r="G1684" s="1">
        <v>780</v>
      </c>
      <c r="H1684" s="1" t="str">
        <f>"95/07/05"</f>
        <v>95/07/05</v>
      </c>
      <c r="I1684" s="1" t="str">
        <f t="shared" si="442"/>
        <v>كيلوگرم</v>
      </c>
      <c r="J1684" s="1" t="str">
        <f t="shared" si="449"/>
        <v>0000000076</v>
      </c>
      <c r="K1684" s="1" t="str">
        <f t="shared" si="450"/>
        <v>قير 60/70 - فله</v>
      </c>
      <c r="L1684" s="1">
        <v>100</v>
      </c>
      <c r="M1684" s="1" t="str">
        <f t="shared" si="448"/>
        <v>مخازن قير اصفهان</v>
      </c>
      <c r="N1684" s="1">
        <v>10847</v>
      </c>
      <c r="O1684" s="1">
        <v>50031967</v>
      </c>
      <c r="P1684" s="1" t="str">
        <f>"  شهرداري كركوند"</f>
        <v xml:space="preserve">  شهرداري كركوند</v>
      </c>
      <c r="Q1684" s="1">
        <v>20</v>
      </c>
      <c r="R1684" s="1" t="str">
        <f>"فروش داخلي - سازمان شهرداري ها و دهياري هاي كشور"</f>
        <v>فروش داخلي - سازمان شهرداري ها و دهياري هاي كشور</v>
      </c>
      <c r="S1684" s="1" t="str">
        <f t="shared" si="443"/>
        <v>قرارداد فروش</v>
      </c>
      <c r="T1684" s="1" t="str">
        <f t="shared" si="444"/>
        <v>ندارد</v>
      </c>
      <c r="U1684" s="1" t="str">
        <f>"شهبازي محمدرضا(1029ج89)"</f>
        <v>شهبازي محمدرضا(1029ج89)</v>
      </c>
      <c r="V1684" s="1">
        <v>952000103</v>
      </c>
      <c r="W1684" s="1">
        <v>952000103</v>
      </c>
      <c r="X1684" s="1" t="str">
        <f>"1395433645"</f>
        <v>1395433645</v>
      </c>
      <c r="Y1684" s="1" t="str">
        <f>"95/07/05"</f>
        <v>95/07/05</v>
      </c>
      <c r="Z1684" s="1" t="str">
        <f>"27737"</f>
        <v>27737</v>
      </c>
      <c r="AA1684" s="1" t="str">
        <f>"شهرداريها"</f>
        <v>شهرداريها</v>
      </c>
      <c r="AB1684" s="1" t="str">
        <f>"95/06/10"</f>
        <v>95/06/10</v>
      </c>
      <c r="AC1684" s="1" t="str">
        <f>"استان اصفهان"</f>
        <v>استان اصفهان</v>
      </c>
      <c r="AD1684" s="1" t="str">
        <f>"95/07/04"</f>
        <v>95/07/04</v>
      </c>
      <c r="AE1684" s="1" t="str">
        <f t="shared" si="445"/>
        <v>اختتام</v>
      </c>
      <c r="AF1684" s="1" t="str">
        <f>""</f>
        <v/>
      </c>
      <c r="AG1684" s="1" t="str">
        <f>""</f>
        <v/>
      </c>
      <c r="AH1684" s="1" t="str">
        <f>""</f>
        <v/>
      </c>
      <c r="AI1684" s="1" t="str">
        <f>""</f>
        <v/>
      </c>
      <c r="AJ1684" s="1" t="str">
        <f>""</f>
        <v/>
      </c>
      <c r="AK1684" s="1" t="str">
        <f>""</f>
        <v/>
      </c>
    </row>
    <row r="1685" spans="1:37" x14ac:dyDescent="0.2">
      <c r="A1685" s="1">
        <v>68000</v>
      </c>
      <c r="B1685" s="1">
        <v>952000071</v>
      </c>
      <c r="C1685" s="1" t="str">
        <f>"تخليه -لرستان -درودكيلومتر15جاده درودازنا-كارخانه آسفالت راه شكاف زاگرس"</f>
        <v>تخليه -لرستان -درودكيلومتر15جاده درودازنا-كارخانه آسفالت راه شكاف زاگرس</v>
      </c>
      <c r="D1685" s="1">
        <v>6876</v>
      </c>
      <c r="E1685" s="1">
        <v>67500</v>
      </c>
      <c r="F1685" s="1">
        <v>95</v>
      </c>
      <c r="G1685" s="1">
        <v>500</v>
      </c>
      <c r="H1685" s="1" t="str">
        <f>"95/06/15"</f>
        <v>95/06/15</v>
      </c>
      <c r="I1685" s="1" t="str">
        <f t="shared" si="442"/>
        <v>كيلوگرم</v>
      </c>
      <c r="J1685" s="1" t="str">
        <f t="shared" si="449"/>
        <v>0000000076</v>
      </c>
      <c r="K1685" s="1" t="str">
        <f t="shared" si="450"/>
        <v>قير 60/70 - فله</v>
      </c>
      <c r="L1685" s="1">
        <v>100</v>
      </c>
      <c r="M1685" s="1" t="str">
        <f t="shared" si="448"/>
        <v>مخازن قير اصفهان</v>
      </c>
      <c r="N1685" s="1">
        <v>10859</v>
      </c>
      <c r="O1685" s="1">
        <v>50031794</v>
      </c>
      <c r="P1685" s="1" t="str">
        <f>"  شهرداري زاغه"</f>
        <v xml:space="preserve">  شهرداري زاغه</v>
      </c>
      <c r="Q1685" s="1">
        <v>20</v>
      </c>
      <c r="R1685" s="1" t="str">
        <f>"فروش داخلي - سازمان شهرداري ها و دهياري هاي كشور"</f>
        <v>فروش داخلي - سازمان شهرداري ها و دهياري هاي كشور</v>
      </c>
      <c r="S1685" s="1" t="str">
        <f t="shared" si="443"/>
        <v>قرارداد فروش</v>
      </c>
      <c r="T1685" s="1" t="str">
        <f t="shared" si="444"/>
        <v>ندارد</v>
      </c>
      <c r="U1685" s="1" t="str">
        <f>"اميري علي(2842011)"</f>
        <v>اميري علي(2842011)</v>
      </c>
      <c r="V1685" s="1">
        <v>952000071</v>
      </c>
      <c r="W1685" s="1">
        <v>952000071</v>
      </c>
      <c r="X1685" s="1" t="str">
        <f>"1395428997"</f>
        <v>1395428997</v>
      </c>
      <c r="Y1685" s="1" t="str">
        <f>"95/06/15"</f>
        <v>95/06/15</v>
      </c>
      <c r="Z1685" s="1" t="str">
        <f>"27674"</f>
        <v>27674</v>
      </c>
      <c r="AA1685" s="1" t="str">
        <f>"شهرداريها"</f>
        <v>شهرداريها</v>
      </c>
      <c r="AB1685" s="1" t="str">
        <f>"95/06/10"</f>
        <v>95/06/10</v>
      </c>
      <c r="AC1685" s="1" t="str">
        <f>"لرستان"</f>
        <v>لرستان</v>
      </c>
      <c r="AD1685" s="1" t="str">
        <f>"95/06/14"</f>
        <v>95/06/14</v>
      </c>
      <c r="AE1685" s="1" t="str">
        <f t="shared" si="445"/>
        <v>اختتام</v>
      </c>
      <c r="AF1685" s="1" t="str">
        <f>""</f>
        <v/>
      </c>
      <c r="AG1685" s="1" t="str">
        <f>""</f>
        <v/>
      </c>
      <c r="AH1685" s="1" t="str">
        <f>""</f>
        <v/>
      </c>
      <c r="AI1685" s="1" t="str">
        <f>""</f>
        <v/>
      </c>
      <c r="AJ1685" s="1" t="str">
        <f>""</f>
        <v/>
      </c>
      <c r="AK1685" s="1" t="str">
        <f>""</f>
        <v/>
      </c>
    </row>
    <row r="1686" spans="1:37" x14ac:dyDescent="0.2">
      <c r="A1686" s="1">
        <v>115000</v>
      </c>
      <c r="B1686" s="1">
        <v>952000003</v>
      </c>
      <c r="C1686" s="1" t="str">
        <f>"تخليه - اصفهان- فريدونشهر کارخانه آسفالت شهرداري"</f>
        <v>تخليه - اصفهان- فريدونشهر کارخانه آسفالت شهرداري</v>
      </c>
      <c r="D1686" s="1">
        <v>6426</v>
      </c>
      <c r="E1686" s="1">
        <v>114680</v>
      </c>
      <c r="F1686" s="1">
        <v>95</v>
      </c>
      <c r="G1686" s="1">
        <v>320</v>
      </c>
      <c r="H1686" s="1" t="str">
        <f>"95/05/25"</f>
        <v>95/05/25</v>
      </c>
      <c r="I1686" s="1" t="str">
        <f t="shared" si="442"/>
        <v>كيلوگرم</v>
      </c>
      <c r="J1686" s="1" t="str">
        <f t="shared" si="449"/>
        <v>0000000076</v>
      </c>
      <c r="K1686" s="1" t="str">
        <f t="shared" si="450"/>
        <v>قير 60/70 - فله</v>
      </c>
      <c r="L1686" s="1">
        <v>100</v>
      </c>
      <c r="M1686" s="1" t="str">
        <f t="shared" si="448"/>
        <v>مخازن قير اصفهان</v>
      </c>
      <c r="N1686" s="1">
        <v>10866</v>
      </c>
      <c r="O1686" s="1">
        <v>50031536</v>
      </c>
      <c r="P1686" s="1" t="str">
        <f>"  شهرداري بوئين و مياندشت"</f>
        <v xml:space="preserve">  شهرداري بوئين و مياندشت</v>
      </c>
      <c r="Q1686" s="1">
        <v>20</v>
      </c>
      <c r="R1686" s="1" t="str">
        <f>"فروش داخلي - سازمان شهرداري ها و دهياري هاي كشور"</f>
        <v>فروش داخلي - سازمان شهرداري ها و دهياري هاي كشور</v>
      </c>
      <c r="S1686" s="1" t="str">
        <f t="shared" si="443"/>
        <v>قرارداد فروش</v>
      </c>
      <c r="T1686" s="1" t="str">
        <f t="shared" si="444"/>
        <v>ندارد</v>
      </c>
      <c r="U1686" s="1" t="str">
        <f>"سيفي پور گودرز(1019ج89)"</f>
        <v>سيفي پور گودرز(1019ج89)</v>
      </c>
      <c r="V1686" s="1">
        <v>952000003</v>
      </c>
      <c r="W1686" s="1">
        <v>952000003</v>
      </c>
      <c r="X1686" s="1" t="str">
        <f>"1395423680"</f>
        <v>1395423680</v>
      </c>
      <c r="Y1686" s="1" t="str">
        <f>"95/05/24"</f>
        <v>95/05/24</v>
      </c>
      <c r="Z1686" s="1" t="str">
        <f>"22618"</f>
        <v>22618</v>
      </c>
      <c r="AA1686" s="1" t="str">
        <f>"شهرداريها"</f>
        <v>شهرداريها</v>
      </c>
      <c r="AB1686" s="1" t="str">
        <f>"95/05/20"</f>
        <v>95/05/20</v>
      </c>
      <c r="AC1686" s="1" t="str">
        <f>"استان اصفهان"</f>
        <v>استان اصفهان</v>
      </c>
      <c r="AD1686" s="1" t="str">
        <f>"95/05/24"</f>
        <v>95/05/24</v>
      </c>
      <c r="AE1686" s="1" t="str">
        <f t="shared" si="445"/>
        <v>اختتام</v>
      </c>
      <c r="AF1686" s="1" t="str">
        <f>""</f>
        <v/>
      </c>
      <c r="AG1686" s="1" t="str">
        <f>""</f>
        <v/>
      </c>
      <c r="AH1686" s="1" t="str">
        <f>""</f>
        <v/>
      </c>
      <c r="AI1686" s="1" t="str">
        <f>""</f>
        <v/>
      </c>
      <c r="AJ1686" s="1" t="str">
        <f>""</f>
        <v/>
      </c>
      <c r="AK1686" s="1" t="str">
        <f>""</f>
        <v/>
      </c>
    </row>
    <row r="1687" spans="1:37" x14ac:dyDescent="0.2">
      <c r="A1687" s="1">
        <v>72000</v>
      </c>
      <c r="B1687" s="1">
        <v>952000333</v>
      </c>
      <c r="C1687" s="1" t="str">
        <f>"تخليه: كهگيلويه و بويراحمد- شهرستان كهگيلويه- شهرداري قلعه رئيسي"</f>
        <v>تخليه: كهگيلويه و بويراحمد- شهرستان كهگيلويه- شهرداري قلعه رئيسي</v>
      </c>
      <c r="D1687" s="1">
        <v>9361</v>
      </c>
      <c r="E1687" s="1">
        <v>72000</v>
      </c>
      <c r="F1687" s="1">
        <v>95</v>
      </c>
      <c r="G1687" s="1">
        <v>0</v>
      </c>
      <c r="H1687" s="1" t="str">
        <f>"95/11/24"</f>
        <v>95/11/24</v>
      </c>
      <c r="I1687" s="1" t="str">
        <f t="shared" si="442"/>
        <v>كيلوگرم</v>
      </c>
      <c r="J1687" s="1" t="str">
        <f t="shared" si="449"/>
        <v>0000000076</v>
      </c>
      <c r="K1687" s="1" t="str">
        <f t="shared" si="450"/>
        <v>قير 60/70 - فله</v>
      </c>
      <c r="L1687" s="1">
        <v>100</v>
      </c>
      <c r="M1687" s="1" t="str">
        <f t="shared" si="448"/>
        <v>مخازن قير اصفهان</v>
      </c>
      <c r="N1687" s="1">
        <v>10882</v>
      </c>
      <c r="O1687" s="1">
        <v>50033697</v>
      </c>
      <c r="P1687" s="1" t="str">
        <f>"  شهرداري قلعه رئيسي"</f>
        <v xml:space="preserve">  شهرداري قلعه رئيسي</v>
      </c>
      <c r="Q1687" s="1">
        <v>20</v>
      </c>
      <c r="R1687" s="1" t="str">
        <f>"فروش داخلي - سازمان شهرداري ها و دهياري هاي كشور"</f>
        <v>فروش داخلي - سازمان شهرداري ها و دهياري هاي كشور</v>
      </c>
      <c r="S1687" s="1" t="str">
        <f t="shared" si="443"/>
        <v>قرارداد فروش</v>
      </c>
      <c r="T1687" s="1" t="str">
        <f t="shared" si="444"/>
        <v>ندارد</v>
      </c>
      <c r="U1687" s="1" t="str">
        <f>"دشت بشي پودنگ وبرادران رضا(4844014)"</f>
        <v>دشت بشي پودنگ وبرادران رضا(4844014)</v>
      </c>
      <c r="V1687" s="1">
        <v>952000333</v>
      </c>
      <c r="W1687" s="1">
        <v>952000333</v>
      </c>
      <c r="X1687" s="1" t="str">
        <f>"1395464401"</f>
        <v>1395464401</v>
      </c>
      <c r="Y1687" s="1" t="str">
        <f>"95/11/24"</f>
        <v>95/11/24</v>
      </c>
      <c r="Z1687" s="1" t="str">
        <f>"44048"</f>
        <v>44048</v>
      </c>
      <c r="AA1687" s="1" t="str">
        <f>"شهرداريها"</f>
        <v>شهرداريها</v>
      </c>
      <c r="AB1687" s="1" t="str">
        <f>"95/09/06"</f>
        <v>95/09/06</v>
      </c>
      <c r="AC1687" s="1" t="str">
        <f>"كهكيلويه و بوير احمد"</f>
        <v>كهكيلويه و بوير احمد</v>
      </c>
      <c r="AD1687" s="1" t="str">
        <f>"95/11/23"</f>
        <v>95/11/23</v>
      </c>
      <c r="AE1687" s="1" t="str">
        <f t="shared" si="445"/>
        <v>اختتام</v>
      </c>
      <c r="AF1687" s="1" t="str">
        <f>""</f>
        <v/>
      </c>
      <c r="AG1687" s="1" t="str">
        <f>""</f>
        <v/>
      </c>
      <c r="AH1687" s="1" t="str">
        <f>""</f>
        <v/>
      </c>
      <c r="AI1687" s="1" t="str">
        <f>""</f>
        <v/>
      </c>
      <c r="AJ1687" s="1" t="str">
        <f>""</f>
        <v/>
      </c>
      <c r="AK1687" s="1" t="str">
        <f>""</f>
        <v/>
      </c>
    </row>
    <row r="1688" spans="1:37" x14ac:dyDescent="0.2">
      <c r="A1688" s="1">
        <v>69000</v>
      </c>
      <c r="B1688" s="1">
        <v>952000196</v>
      </c>
      <c r="C1688" s="1" t="str">
        <f>"تخليه لرستان خرم آبادكيلومتر10جاده خرم آبادبروجردكارخانه آسفالت سازمان همياري"</f>
        <v>تخليه لرستان خرم آبادكيلومتر10جاده خرم آبادبروجردكارخانه آسفالت سازمان همياري</v>
      </c>
      <c r="D1688" s="1">
        <v>8023</v>
      </c>
      <c r="E1688" s="1">
        <v>67280</v>
      </c>
      <c r="F1688" s="1">
        <v>95</v>
      </c>
      <c r="G1688" s="1">
        <v>1720</v>
      </c>
      <c r="H1688" s="1" t="str">
        <f>"95/08/15"</f>
        <v>95/08/15</v>
      </c>
      <c r="I1688" s="1" t="str">
        <f t="shared" si="442"/>
        <v>كيلوگرم</v>
      </c>
      <c r="J1688" s="1" t="str">
        <f t="shared" si="449"/>
        <v>0000000076</v>
      </c>
      <c r="K1688" s="1" t="str">
        <f t="shared" si="450"/>
        <v>قير 60/70 - فله</v>
      </c>
      <c r="L1688" s="1">
        <v>100</v>
      </c>
      <c r="M1688" s="1" t="str">
        <f t="shared" si="448"/>
        <v>مخازن قير اصفهان</v>
      </c>
      <c r="N1688" s="1">
        <v>10890</v>
      </c>
      <c r="O1688" s="1">
        <v>50032498</v>
      </c>
      <c r="P1688" s="1" t="str">
        <f>"  شهرداري سپيددشت"</f>
        <v xml:space="preserve">  شهرداري سپيددشت</v>
      </c>
      <c r="Q1688" s="1">
        <v>20</v>
      </c>
      <c r="R1688" s="1" t="str">
        <f>"فروش داخلي - سازمان شهرداري ها و دهياري هاي كشور"</f>
        <v>فروش داخلي - سازمان شهرداري ها و دهياري هاي كشور</v>
      </c>
      <c r="S1688" s="1" t="str">
        <f t="shared" si="443"/>
        <v>قرارداد فروش</v>
      </c>
      <c r="T1688" s="1" t="str">
        <f t="shared" si="444"/>
        <v>ندارد</v>
      </c>
      <c r="U1688" s="1" t="str">
        <f>"رضائي كلهر حسن (1901099)"</f>
        <v>رضائي كلهر حسن (1901099)</v>
      </c>
      <c r="V1688" s="1">
        <v>952000196</v>
      </c>
      <c r="W1688" s="1">
        <v>952000196</v>
      </c>
      <c r="X1688" s="1" t="str">
        <f>"1395443199"</f>
        <v>1395443199</v>
      </c>
      <c r="Y1688" s="1" t="str">
        <f>"95/08/15"</f>
        <v>95/08/15</v>
      </c>
      <c r="Z1688" s="1" t="str">
        <f>"39476"</f>
        <v>39476</v>
      </c>
      <c r="AA1688" s="1" t="str">
        <f>"شهرداريها"</f>
        <v>شهرداريها</v>
      </c>
      <c r="AB1688" s="1" t="str">
        <f>"95/08/11"</f>
        <v>95/08/11</v>
      </c>
      <c r="AC1688" s="1" t="str">
        <f>"لرستان"</f>
        <v>لرستان</v>
      </c>
      <c r="AD1688" s="1" t="str">
        <f>"95/08/15"</f>
        <v>95/08/15</v>
      </c>
      <c r="AE1688" s="1" t="str">
        <f t="shared" si="445"/>
        <v>اختتام</v>
      </c>
      <c r="AF1688" s="1" t="str">
        <f>""</f>
        <v/>
      </c>
      <c r="AG1688" s="1" t="str">
        <f>""</f>
        <v/>
      </c>
      <c r="AH1688" s="1" t="str">
        <f>""</f>
        <v/>
      </c>
      <c r="AI1688" s="1" t="str">
        <f>""</f>
        <v/>
      </c>
      <c r="AJ1688" s="1" t="str">
        <f>""</f>
        <v/>
      </c>
      <c r="AK1688" s="1" t="str">
        <f>""</f>
        <v/>
      </c>
    </row>
    <row r="1689" spans="1:37" x14ac:dyDescent="0.2">
      <c r="A1689" s="1">
        <v>46000</v>
      </c>
      <c r="B1689" s="1">
        <v>951100032</v>
      </c>
      <c r="C1689" s="1" t="str">
        <f>"تخليه- يزد کيلومتر 6 کمربندي جديد يزد به تفت کارخانه راهسازي پوشش راه وحيد"</f>
        <v>تخليه- يزد کيلومتر 6 کمربندي جديد يزد به تفت کارخانه راهسازي پوشش راه وحيد</v>
      </c>
      <c r="D1689" s="1">
        <v>5650</v>
      </c>
      <c r="E1689" s="1">
        <v>45320</v>
      </c>
      <c r="F1689" s="1">
        <v>95</v>
      </c>
      <c r="G1689" s="1">
        <v>680</v>
      </c>
      <c r="H1689" s="1" t="str">
        <f>"95/02/11"</f>
        <v>95/02/11</v>
      </c>
      <c r="I1689" s="1" t="str">
        <f t="shared" si="442"/>
        <v>كيلوگرم</v>
      </c>
      <c r="J1689" s="1" t="str">
        <f t="shared" si="449"/>
        <v>0000000076</v>
      </c>
      <c r="K1689" s="1" t="str">
        <f t="shared" si="450"/>
        <v>قير 60/70 - فله</v>
      </c>
      <c r="L1689" s="1">
        <v>100</v>
      </c>
      <c r="M1689" s="1" t="str">
        <f t="shared" si="448"/>
        <v>مخازن قير اصفهان</v>
      </c>
      <c r="N1689" s="1">
        <v>11092</v>
      </c>
      <c r="O1689" s="1">
        <v>50030662</v>
      </c>
      <c r="P1689" s="1" t="str">
        <f>"  ايجادراه عقيق يزد"</f>
        <v xml:space="preserve">  ايجادراه عقيق يزد</v>
      </c>
      <c r="Q1689" s="1">
        <v>11</v>
      </c>
      <c r="R1689" s="1" t="str">
        <f>"فروش داخلي تهران - بورس"</f>
        <v>فروش داخلي تهران - بورس</v>
      </c>
      <c r="S1689" s="1" t="str">
        <f t="shared" si="443"/>
        <v>قرارداد فروش</v>
      </c>
      <c r="T1689" s="1" t="str">
        <f t="shared" si="444"/>
        <v>ندارد</v>
      </c>
      <c r="U1689" s="1" t="str">
        <f>"اسماعيلي پور امين (1013ج89)"</f>
        <v>اسماعيلي پور امين (1013ج89)</v>
      </c>
      <c r="V1689" s="1">
        <v>951100032</v>
      </c>
      <c r="W1689" s="1">
        <v>951100032</v>
      </c>
      <c r="X1689" s="1" t="str">
        <f>"1395401150"</f>
        <v>1395401150</v>
      </c>
      <c r="Y1689" s="1" t="str">
        <f>"95/02/09"</f>
        <v>95/02/09</v>
      </c>
      <c r="Z1689" s="1" t="str">
        <f>"95-34274"</f>
        <v>95-34274</v>
      </c>
      <c r="AA1689" s="1" t="str">
        <f>"راه سازي"</f>
        <v>راه سازي</v>
      </c>
      <c r="AB1689" s="1" t="str">
        <f>"95/02/07"</f>
        <v>95/02/07</v>
      </c>
      <c r="AC1689" s="1" t="str">
        <f>"استان يزد"</f>
        <v>استان يزد</v>
      </c>
      <c r="AD1689" s="1" t="str">
        <f>"95/02/06"</f>
        <v>95/02/06</v>
      </c>
      <c r="AE1689" s="1" t="str">
        <f t="shared" si="445"/>
        <v>اختتام</v>
      </c>
      <c r="AF1689" s="1" t="str">
        <f>""</f>
        <v/>
      </c>
      <c r="AG1689" s="1" t="str">
        <f>""</f>
        <v/>
      </c>
      <c r="AH1689" s="1" t="str">
        <f>""</f>
        <v/>
      </c>
      <c r="AI1689" s="1" t="str">
        <f>""</f>
        <v/>
      </c>
      <c r="AJ1689" s="1" t="str">
        <f>""</f>
        <v/>
      </c>
      <c r="AK1689" s="1" t="str">
        <f>""</f>
        <v/>
      </c>
    </row>
    <row r="1690" spans="1:37" x14ac:dyDescent="0.2">
      <c r="A1690" s="1">
        <v>279000</v>
      </c>
      <c r="B1690" s="1">
        <v>956300031</v>
      </c>
      <c r="C1690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1690" s="1">
        <v>8848</v>
      </c>
      <c r="E1690" s="1">
        <v>279000</v>
      </c>
      <c r="F1690" s="1">
        <v>95</v>
      </c>
      <c r="G1690" s="1">
        <v>0</v>
      </c>
      <c r="H1690" s="1" t="str">
        <f>"95/12/10"</f>
        <v>95/12/10</v>
      </c>
      <c r="I1690" s="1" t="str">
        <f t="shared" si="442"/>
        <v>كيلوگرم</v>
      </c>
      <c r="J1690" s="1" t="str">
        <f t="shared" si="449"/>
        <v>0000000076</v>
      </c>
      <c r="K1690" s="1" t="str">
        <f t="shared" si="450"/>
        <v>قير 60/70 - فله</v>
      </c>
      <c r="L1690" s="1">
        <v>100</v>
      </c>
      <c r="M1690" s="1" t="str">
        <f t="shared" si="448"/>
        <v>مخازن قير اصفهان</v>
      </c>
      <c r="N1690" s="1">
        <v>11098</v>
      </c>
      <c r="O1690" s="1">
        <v>50033948</v>
      </c>
      <c r="P1690" s="1" t="str">
        <f>"  اداره كل نوسازي توسعه وتجهيزمدارس استان اصفهان"</f>
        <v xml:space="preserve">  اداره كل نوسازي توسعه وتجهيزمدارس استان اصفهان</v>
      </c>
      <c r="Q1690" s="1">
        <v>63</v>
      </c>
      <c r="R1690" s="1" t="str">
        <f>"سازمان نوسازي،توسعه و تجهيز مدارس كشور"</f>
        <v>سازمان نوسازي،توسعه و تجهيز مدارس كشور</v>
      </c>
      <c r="S1690" s="1" t="str">
        <f t="shared" si="443"/>
        <v>قرارداد فروش</v>
      </c>
      <c r="T1690" s="1" t="str">
        <f t="shared" si="444"/>
        <v>ندارد</v>
      </c>
      <c r="U1690" s="1" t="str">
        <f>"سيفي پور عبدالمجيد(1009ج89)"</f>
        <v>سيفي پور عبدالمجيد(1009ج89)</v>
      </c>
      <c r="V1690" s="1">
        <v>956300031</v>
      </c>
      <c r="W1690" s="1">
        <v>956300031</v>
      </c>
      <c r="X1690" s="1" t="str">
        <f>"1395467546"</f>
        <v>1395467546</v>
      </c>
      <c r="Y1690" s="1" t="str">
        <f>"95/12/10"</f>
        <v>95/12/10</v>
      </c>
      <c r="Z1690" s="1" t="str">
        <f>"3-95/422-35973"</f>
        <v>3-95/422-35973</v>
      </c>
      <c r="AA1690" s="1" t="str">
        <f>"سازمان نوسازي توسعه وتجهيزمدارس كشور"</f>
        <v>سازمان نوسازي توسعه وتجهيزمدارس كشور</v>
      </c>
      <c r="AB1690" s="1" t="str">
        <f>"95/12/03"</f>
        <v>95/12/03</v>
      </c>
      <c r="AC1690" s="1" t="str">
        <f>"استان اصفهان"</f>
        <v>استان اصفهان</v>
      </c>
      <c r="AD1690" s="1" t="str">
        <f>"95/12/07"</f>
        <v>95/12/07</v>
      </c>
      <c r="AE1690" s="1" t="str">
        <f>"تاييدشده"</f>
        <v>تاييدشده</v>
      </c>
      <c r="AF1690" s="1" t="str">
        <f>""</f>
        <v/>
      </c>
      <c r="AG1690" s="1" t="str">
        <f>""</f>
        <v/>
      </c>
      <c r="AH1690" s="1" t="str">
        <f>""</f>
        <v/>
      </c>
      <c r="AI1690" s="1" t="str">
        <f>""</f>
        <v/>
      </c>
      <c r="AJ1690" s="1" t="str">
        <f>""</f>
        <v/>
      </c>
      <c r="AK1690" s="1" t="str">
        <f>""</f>
        <v/>
      </c>
    </row>
    <row r="1691" spans="1:37" x14ac:dyDescent="0.2">
      <c r="A1691" s="1">
        <v>34000</v>
      </c>
      <c r="B1691" s="1">
        <v>956200059</v>
      </c>
      <c r="C1691" s="1" t="str">
        <f>"تخليه-اردکان- کيلومتر 17 جاده چک چک-کارخانه آسفالت گرم ميثاق اردكان"</f>
        <v>تخليه-اردکان- کيلومتر 17 جاده چک چک-کارخانه آسفالت گرم ميثاق اردكان</v>
      </c>
      <c r="D1691" s="1">
        <v>5950</v>
      </c>
      <c r="E1691" s="1">
        <v>34000</v>
      </c>
      <c r="F1691" s="1">
        <v>95</v>
      </c>
      <c r="G1691" s="1">
        <v>0</v>
      </c>
      <c r="H1691" s="1" t="str">
        <f>"95/04/27"</f>
        <v>95/04/27</v>
      </c>
      <c r="I1691" s="1" t="str">
        <f t="shared" si="442"/>
        <v>كيلوگرم</v>
      </c>
      <c r="J1691" s="1" t="str">
        <f t="shared" si="449"/>
        <v>0000000076</v>
      </c>
      <c r="K1691" s="1" t="str">
        <f t="shared" si="450"/>
        <v>قير 60/70 - فله</v>
      </c>
      <c r="L1691" s="1">
        <v>100</v>
      </c>
      <c r="M1691" s="1" t="str">
        <f t="shared" si="448"/>
        <v>مخازن قير اصفهان</v>
      </c>
      <c r="N1691" s="1">
        <v>11102</v>
      </c>
      <c r="O1691" s="1">
        <v>50031293</v>
      </c>
      <c r="P1691" s="1" t="str">
        <f>"  پويش راه کوير اردکان"</f>
        <v xml:space="preserve">  پويش راه کوير اردکان</v>
      </c>
      <c r="Q1691" s="1">
        <v>62</v>
      </c>
      <c r="R1691" s="1" t="str">
        <f>"فروش داخلي - سازمان بنيادمسكن انقلاب اسلامي"</f>
        <v>فروش داخلي - سازمان بنيادمسكن انقلاب اسلامي</v>
      </c>
      <c r="S1691" s="1" t="str">
        <f t="shared" si="443"/>
        <v>قرارداد فروش</v>
      </c>
      <c r="T1691" s="1" t="str">
        <f t="shared" si="444"/>
        <v>ندارد</v>
      </c>
      <c r="U1691" s="1" t="str">
        <f>"عزيزي صفر(1006ج 89)"</f>
        <v>عزيزي صفر(1006ج 89)</v>
      </c>
      <c r="V1691" s="1">
        <v>956200059</v>
      </c>
      <c r="W1691" s="1">
        <v>956200059</v>
      </c>
      <c r="X1691" s="1" t="str">
        <f>"1395415790"</f>
        <v>1395415790</v>
      </c>
      <c r="Y1691" s="1" t="str">
        <f>"95/04/27"</f>
        <v>95/04/27</v>
      </c>
      <c r="Z1691" s="1" t="str">
        <f>"16482/د"</f>
        <v>16482/د</v>
      </c>
      <c r="AA1691" s="1" t="str">
        <f>"بنيادمسكن انقلاب اسلامي"</f>
        <v>بنيادمسكن انقلاب اسلامي</v>
      </c>
      <c r="AB1691" s="1" t="str">
        <f>"95/04/26"</f>
        <v>95/04/26</v>
      </c>
      <c r="AC1691" s="1" t="str">
        <f>"استان يزد"</f>
        <v>استان يزد</v>
      </c>
      <c r="AD1691" s="1" t="str">
        <f>"95/04/26"</f>
        <v>95/04/26</v>
      </c>
      <c r="AE1691" s="1" t="str">
        <f t="shared" ref="AE1691:AE1699" si="451">"اختتام"</f>
        <v>اختتام</v>
      </c>
      <c r="AF1691" s="1" t="str">
        <f>""</f>
        <v/>
      </c>
      <c r="AG1691" s="1" t="str">
        <f>""</f>
        <v/>
      </c>
      <c r="AH1691" s="1" t="str">
        <f>""</f>
        <v/>
      </c>
      <c r="AI1691" s="1" t="str">
        <f>""</f>
        <v/>
      </c>
      <c r="AJ1691" s="1" t="str">
        <f>""</f>
        <v/>
      </c>
      <c r="AK1691" s="1" t="str">
        <f>""</f>
        <v/>
      </c>
    </row>
    <row r="1692" spans="1:37" x14ac:dyDescent="0.2">
      <c r="A1692" s="1">
        <v>78000</v>
      </c>
      <c r="B1692" s="1">
        <v>952000061</v>
      </c>
      <c r="C1692" s="1" t="str">
        <f>"تخليه اصفهان شهرداري شهرمجلسي"</f>
        <v>تخليه اصفهان شهرداري شهرمجلسي</v>
      </c>
      <c r="D1692" s="1">
        <v>6876</v>
      </c>
      <c r="E1692" s="1">
        <v>75360</v>
      </c>
      <c r="F1692" s="1">
        <v>95</v>
      </c>
      <c r="G1692" s="1">
        <v>2640</v>
      </c>
      <c r="H1692" s="1" t="str">
        <f>"95/06/09"</f>
        <v>95/06/09</v>
      </c>
      <c r="I1692" s="1" t="str">
        <f t="shared" si="442"/>
        <v>كيلوگرم</v>
      </c>
      <c r="J1692" s="1" t="str">
        <f t="shared" si="449"/>
        <v>0000000076</v>
      </c>
      <c r="K1692" s="1" t="str">
        <f t="shared" si="450"/>
        <v>قير 60/70 - فله</v>
      </c>
      <c r="L1692" s="1">
        <v>100</v>
      </c>
      <c r="M1692" s="1" t="str">
        <f t="shared" si="448"/>
        <v>مخازن قير اصفهان</v>
      </c>
      <c r="N1692" s="1">
        <v>11167</v>
      </c>
      <c r="O1692" s="1">
        <v>50031728</v>
      </c>
      <c r="P1692" s="1" t="str">
        <f>"  شهرداري مجلسي"</f>
        <v xml:space="preserve">  شهرداري مجلسي</v>
      </c>
      <c r="Q1692" s="1">
        <v>20</v>
      </c>
      <c r="R1692" s="1" t="str">
        <f>"فروش داخلي - سازمان شهرداري ها و دهياري هاي كشور"</f>
        <v>فروش داخلي - سازمان شهرداري ها و دهياري هاي كشور</v>
      </c>
      <c r="S1692" s="1" t="str">
        <f t="shared" si="443"/>
        <v>قرارداد فروش</v>
      </c>
      <c r="T1692" s="1" t="str">
        <f t="shared" si="444"/>
        <v>ندارد</v>
      </c>
      <c r="U1692" s="1" t="str">
        <f>"شهبازي محمدرضا(1029ج89)"</f>
        <v>شهبازي محمدرضا(1029ج89)</v>
      </c>
      <c r="V1692" s="1">
        <v>952000061</v>
      </c>
      <c r="W1692" s="1">
        <v>952000061</v>
      </c>
      <c r="X1692" s="1" t="str">
        <f>"1395427790"</f>
        <v>1395427790</v>
      </c>
      <c r="Y1692" s="1" t="str">
        <f>"95/06/09"</f>
        <v>95/06/09</v>
      </c>
      <c r="Z1692" s="1" t="str">
        <f>"23362"</f>
        <v>23362</v>
      </c>
      <c r="AA1692" s="1" t="str">
        <f>"شهرداريها"</f>
        <v>شهرداريها</v>
      </c>
      <c r="AB1692" s="1" t="str">
        <f>"95/05/24"</f>
        <v>95/05/24</v>
      </c>
      <c r="AC1692" s="1" t="str">
        <f>"استان اصفهان"</f>
        <v>استان اصفهان</v>
      </c>
      <c r="AD1692" s="1" t="str">
        <f>"95/06/09"</f>
        <v>95/06/09</v>
      </c>
      <c r="AE1692" s="1" t="str">
        <f t="shared" si="451"/>
        <v>اختتام</v>
      </c>
      <c r="AF1692" s="1" t="str">
        <f>""</f>
        <v/>
      </c>
      <c r="AG1692" s="1" t="str">
        <f>""</f>
        <v/>
      </c>
      <c r="AH1692" s="1" t="str">
        <f>""</f>
        <v/>
      </c>
      <c r="AI1692" s="1" t="str">
        <f>""</f>
        <v/>
      </c>
      <c r="AJ1692" s="1" t="str">
        <f>""</f>
        <v/>
      </c>
      <c r="AK1692" s="1" t="str">
        <f>""</f>
        <v/>
      </c>
    </row>
    <row r="1693" spans="1:37" x14ac:dyDescent="0.2">
      <c r="A1693" s="1">
        <v>71000</v>
      </c>
      <c r="B1693" s="1">
        <v>952000260</v>
      </c>
      <c r="C1693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1693" s="1">
        <v>7026</v>
      </c>
      <c r="E1693" s="1">
        <v>70700</v>
      </c>
      <c r="F1693" s="1">
        <v>95</v>
      </c>
      <c r="G1693" s="1">
        <v>300</v>
      </c>
      <c r="H1693" s="1" t="str">
        <f>"95/09/09"</f>
        <v>95/09/09</v>
      </c>
      <c r="I1693" s="1" t="str">
        <f t="shared" si="442"/>
        <v>كيلوگرم</v>
      </c>
      <c r="J1693" s="1" t="str">
        <f t="shared" si="449"/>
        <v>0000000076</v>
      </c>
      <c r="K1693" s="1" t="str">
        <f t="shared" si="450"/>
        <v>قير 60/70 - فله</v>
      </c>
      <c r="L1693" s="1">
        <v>100</v>
      </c>
      <c r="M1693" s="1" t="str">
        <f t="shared" si="448"/>
        <v>مخازن قير اصفهان</v>
      </c>
      <c r="N1693" s="1">
        <v>11183</v>
      </c>
      <c r="O1693" s="1">
        <v>50032733</v>
      </c>
      <c r="P1693" s="1" t="str">
        <f>"  شهرداري طرق رود"</f>
        <v xml:space="preserve">  شهرداري طرق رود</v>
      </c>
      <c r="Q1693" s="1">
        <v>20</v>
      </c>
      <c r="R1693" s="1" t="str">
        <f>"فروش داخلي - سازمان شهرداري ها و دهياري هاي كشور"</f>
        <v>فروش داخلي - سازمان شهرداري ها و دهياري هاي كشور</v>
      </c>
      <c r="S1693" s="1" t="str">
        <f t="shared" si="443"/>
        <v>قرارداد فروش</v>
      </c>
      <c r="T1693" s="1" t="str">
        <f t="shared" si="444"/>
        <v>ندارد</v>
      </c>
      <c r="U1693" s="1" t="str">
        <f>"عزيزي صفر(1006ج 89)"</f>
        <v>عزيزي صفر(1006ج 89)</v>
      </c>
      <c r="V1693" s="1">
        <v>952000260</v>
      </c>
      <c r="W1693" s="1">
        <v>952000260</v>
      </c>
      <c r="X1693" s="1" t="str">
        <f>"1395447768"</f>
        <v>1395447768</v>
      </c>
      <c r="Y1693" s="1" t="str">
        <f>"95/09/09"</f>
        <v>95/09/09</v>
      </c>
      <c r="Z1693" s="1" t="str">
        <f>"43200"</f>
        <v>43200</v>
      </c>
      <c r="AA1693" s="1" t="str">
        <f>"شهرداريها"</f>
        <v>شهرداريها</v>
      </c>
      <c r="AB1693" s="1" t="str">
        <f>"95/09/01"</f>
        <v>95/09/01</v>
      </c>
      <c r="AC1693" s="1" t="str">
        <f>"استان اصفهان"</f>
        <v>استان اصفهان</v>
      </c>
      <c r="AD1693" s="1" t="str">
        <f>"95/09/07"</f>
        <v>95/09/07</v>
      </c>
      <c r="AE1693" s="1" t="str">
        <f t="shared" si="451"/>
        <v>اختتام</v>
      </c>
      <c r="AF1693" s="1" t="str">
        <f>""</f>
        <v/>
      </c>
      <c r="AG1693" s="1" t="str">
        <f>""</f>
        <v/>
      </c>
      <c r="AH1693" s="1" t="str">
        <f>""</f>
        <v/>
      </c>
      <c r="AI1693" s="1" t="str">
        <f>""</f>
        <v/>
      </c>
      <c r="AJ1693" s="1" t="str">
        <f>""</f>
        <v/>
      </c>
      <c r="AK1693" s="1" t="str">
        <f>""</f>
        <v/>
      </c>
    </row>
    <row r="1694" spans="1:37" x14ac:dyDescent="0.2">
      <c r="A1694" s="1">
        <v>104000</v>
      </c>
      <c r="B1694" s="1">
        <v>952000137</v>
      </c>
      <c r="C1694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1694" s="1">
        <v>6976</v>
      </c>
      <c r="E1694" s="1">
        <v>103580</v>
      </c>
      <c r="F1694" s="1">
        <v>95</v>
      </c>
      <c r="G1694" s="1">
        <v>420</v>
      </c>
      <c r="H1694" s="1" t="str">
        <f>"95/07/13"</f>
        <v>95/07/13</v>
      </c>
      <c r="I1694" s="1" t="str">
        <f t="shared" si="442"/>
        <v>كيلوگرم</v>
      </c>
      <c r="J1694" s="1" t="str">
        <f t="shared" si="449"/>
        <v>0000000076</v>
      </c>
      <c r="K1694" s="1" t="str">
        <f t="shared" si="450"/>
        <v>قير 60/70 - فله</v>
      </c>
      <c r="L1694" s="1">
        <v>100</v>
      </c>
      <c r="M1694" s="1" t="str">
        <f t="shared" si="448"/>
        <v>مخازن قير اصفهان</v>
      </c>
      <c r="N1694" s="1">
        <v>11196</v>
      </c>
      <c r="O1694" s="1">
        <v>50032084</v>
      </c>
      <c r="P1694" s="1" t="str">
        <f>"  شهرداري چرمهين"</f>
        <v xml:space="preserve">  شهرداري چرمهين</v>
      </c>
      <c r="Q1694" s="1">
        <v>20</v>
      </c>
      <c r="R1694" s="1" t="str">
        <f>"فروش داخلي - سازمان شهرداري ها و دهياري هاي كشور"</f>
        <v>فروش داخلي - سازمان شهرداري ها و دهياري هاي كشور</v>
      </c>
      <c r="S1694" s="1" t="str">
        <f t="shared" si="443"/>
        <v>قرارداد فروش</v>
      </c>
      <c r="T1694" s="1" t="str">
        <f t="shared" si="444"/>
        <v>ندارد</v>
      </c>
      <c r="U1694" s="1" t="str">
        <f>"مرادي نجاتعلي(1020ج89)"</f>
        <v>مرادي نجاتعلي(1020ج89)</v>
      </c>
      <c r="V1694" s="1">
        <v>952000137</v>
      </c>
      <c r="W1694" s="1">
        <v>952000137</v>
      </c>
      <c r="X1694" s="1" t="str">
        <f>"1395435602"</f>
        <v>1395435602</v>
      </c>
      <c r="Y1694" s="1" t="str">
        <f>"95/07/13"</f>
        <v>95/07/13</v>
      </c>
      <c r="Z1694" s="1" t="str">
        <f>"27736"</f>
        <v>27736</v>
      </c>
      <c r="AA1694" s="1" t="str">
        <f>"شهرداريها"</f>
        <v>شهرداريها</v>
      </c>
      <c r="AB1694" s="1" t="str">
        <f>"95/06/10"</f>
        <v>95/06/10</v>
      </c>
      <c r="AC1694" s="1" t="str">
        <f>"استان اصفهان"</f>
        <v>استان اصفهان</v>
      </c>
      <c r="AD1694" s="1" t="str">
        <f>"95/07/13"</f>
        <v>95/07/13</v>
      </c>
      <c r="AE1694" s="1" t="str">
        <f t="shared" si="451"/>
        <v>اختتام</v>
      </c>
      <c r="AF1694" s="1" t="str">
        <f>""</f>
        <v/>
      </c>
      <c r="AG1694" s="1" t="str">
        <f>""</f>
        <v/>
      </c>
      <c r="AH1694" s="1" t="str">
        <f>""</f>
        <v/>
      </c>
      <c r="AI1694" s="1" t="str">
        <f>""</f>
        <v/>
      </c>
      <c r="AJ1694" s="1" t="str">
        <f>""</f>
        <v/>
      </c>
      <c r="AK1694" s="1" t="str">
        <f>""</f>
        <v/>
      </c>
    </row>
    <row r="1695" spans="1:37" x14ac:dyDescent="0.2">
      <c r="A1695" s="1">
        <v>68000</v>
      </c>
      <c r="B1695" s="1">
        <v>952000153</v>
      </c>
      <c r="C1695" s="1" t="str">
        <f>"تخليه يزدكيلومتر12جاده چك چك كارخانه آسفالت ميثاق"</f>
        <v>تخليه يزدكيلومتر12جاده چك چك كارخانه آسفالت ميثاق</v>
      </c>
      <c r="D1695" s="1">
        <v>6976</v>
      </c>
      <c r="E1695" s="1">
        <v>67800</v>
      </c>
      <c r="F1695" s="1">
        <v>95</v>
      </c>
      <c r="G1695" s="1">
        <v>200</v>
      </c>
      <c r="H1695" s="1" t="str">
        <f>"95/07/15"</f>
        <v>95/07/15</v>
      </c>
      <c r="I1695" s="1" t="str">
        <f t="shared" si="442"/>
        <v>كيلوگرم</v>
      </c>
      <c r="J1695" s="1" t="str">
        <f t="shared" si="449"/>
        <v>0000000076</v>
      </c>
      <c r="K1695" s="1" t="str">
        <f t="shared" si="450"/>
        <v>قير 60/70 - فله</v>
      </c>
      <c r="L1695" s="1">
        <v>100</v>
      </c>
      <c r="M1695" s="1" t="str">
        <f t="shared" si="448"/>
        <v>مخازن قير اصفهان</v>
      </c>
      <c r="N1695" s="1">
        <v>11201</v>
      </c>
      <c r="O1695" s="1">
        <v>50032113</v>
      </c>
      <c r="P1695" s="1" t="str">
        <f>"  شهرداري احمدآباد يزد"</f>
        <v xml:space="preserve">  شهرداري احمدآباد يزد</v>
      </c>
      <c r="Q1695" s="1">
        <v>20</v>
      </c>
      <c r="R1695" s="1" t="str">
        <f>"فروش داخلي - سازمان شهرداري ها و دهياري هاي كشور"</f>
        <v>فروش داخلي - سازمان شهرداري ها و دهياري هاي كشور</v>
      </c>
      <c r="S1695" s="1" t="str">
        <f t="shared" si="443"/>
        <v>قرارداد فروش</v>
      </c>
      <c r="T1695" s="1" t="str">
        <f t="shared" si="444"/>
        <v>ندارد</v>
      </c>
      <c r="U1695" s="1" t="str">
        <f>"قانعي محمدرضا(1011ج89)"</f>
        <v>قانعي محمدرضا(1011ج89)</v>
      </c>
      <c r="V1695" s="1">
        <v>952000153</v>
      </c>
      <c r="W1695" s="1">
        <v>952000153</v>
      </c>
      <c r="X1695" s="1" t="str">
        <f>"1395436486"</f>
        <v>1395436486</v>
      </c>
      <c r="Y1695" s="1" t="str">
        <f>"95/07/15"</f>
        <v>95/07/15</v>
      </c>
      <c r="Z1695" s="1" t="str">
        <f>"27956"</f>
        <v>27956</v>
      </c>
      <c r="AA1695" s="1" t="str">
        <f>"شهرداريها"</f>
        <v>شهرداريها</v>
      </c>
      <c r="AB1695" s="1" t="str">
        <f>"95/06/13"</f>
        <v>95/06/13</v>
      </c>
      <c r="AC1695" s="1" t="str">
        <f>"استان يزد"</f>
        <v>استان يزد</v>
      </c>
      <c r="AD1695" s="1" t="str">
        <f>"95/07/14"</f>
        <v>95/07/14</v>
      </c>
      <c r="AE1695" s="1" t="str">
        <f t="shared" si="451"/>
        <v>اختتام</v>
      </c>
      <c r="AF1695" s="1" t="str">
        <f>""</f>
        <v/>
      </c>
      <c r="AG1695" s="1" t="str">
        <f>""</f>
        <v/>
      </c>
      <c r="AH1695" s="1" t="str">
        <f>""</f>
        <v/>
      </c>
      <c r="AI1695" s="1" t="str">
        <f>""</f>
        <v/>
      </c>
      <c r="AJ1695" s="1" t="str">
        <f>""</f>
        <v/>
      </c>
      <c r="AK1695" s="1" t="str">
        <f>""</f>
        <v/>
      </c>
    </row>
    <row r="1696" spans="1:37" x14ac:dyDescent="0.2">
      <c r="A1696" s="1">
        <v>73000</v>
      </c>
      <c r="B1696" s="1">
        <v>952000156</v>
      </c>
      <c r="C1696" s="1" t="str">
        <f>"تخليه يزداردكان كارخانه آسفالت هامون اردکان"</f>
        <v>تخليه يزداردكان كارخانه آسفالت هامون اردکان</v>
      </c>
      <c r="D1696" s="1">
        <v>6976</v>
      </c>
      <c r="E1696" s="1">
        <v>71440</v>
      </c>
      <c r="F1696" s="1">
        <v>95</v>
      </c>
      <c r="G1696" s="1">
        <v>1560</v>
      </c>
      <c r="H1696" s="1" t="str">
        <f>"95/07/15"</f>
        <v>95/07/15</v>
      </c>
      <c r="I1696" s="1" t="str">
        <f t="shared" si="442"/>
        <v>كيلوگرم</v>
      </c>
      <c r="J1696" s="1" t="str">
        <f t="shared" si="449"/>
        <v>0000000076</v>
      </c>
      <c r="K1696" s="1" t="str">
        <f t="shared" si="450"/>
        <v>قير 60/70 - فله</v>
      </c>
      <c r="L1696" s="1">
        <v>100</v>
      </c>
      <c r="M1696" s="1" t="str">
        <f t="shared" si="448"/>
        <v>مخازن قير اصفهان</v>
      </c>
      <c r="N1696" s="1">
        <v>11202</v>
      </c>
      <c r="O1696" s="1">
        <v>50032116</v>
      </c>
      <c r="P1696" s="1" t="str">
        <f>"  شهرداري بفروئيه"</f>
        <v xml:space="preserve">  شهرداري بفروئيه</v>
      </c>
      <c r="Q1696" s="1">
        <v>20</v>
      </c>
      <c r="R1696" s="1" t="str">
        <f>"فروش داخلي - سازمان شهرداري ها و دهياري هاي كشور"</f>
        <v>فروش داخلي - سازمان شهرداري ها و دهياري هاي كشور</v>
      </c>
      <c r="S1696" s="1" t="str">
        <f t="shared" si="443"/>
        <v>قرارداد فروش</v>
      </c>
      <c r="T1696" s="1" t="str">
        <f t="shared" si="444"/>
        <v>ندارد</v>
      </c>
      <c r="U1696" s="1" t="str">
        <f>"قانعي محمدرضا(1011ج89)"</f>
        <v>قانعي محمدرضا(1011ج89)</v>
      </c>
      <c r="V1696" s="1">
        <v>952000156</v>
      </c>
      <c r="W1696" s="1">
        <v>952000156</v>
      </c>
      <c r="X1696" s="1" t="str">
        <f>"1395436486"</f>
        <v>1395436486</v>
      </c>
      <c r="Y1696" s="1" t="str">
        <f>"95/07/15"</f>
        <v>95/07/15</v>
      </c>
      <c r="Z1696" s="1" t="str">
        <f>"27912"</f>
        <v>27912</v>
      </c>
      <c r="AA1696" s="1" t="str">
        <f>"شهرداريها"</f>
        <v>شهرداريها</v>
      </c>
      <c r="AB1696" s="1" t="str">
        <f>"95/06/13"</f>
        <v>95/06/13</v>
      </c>
      <c r="AC1696" s="1" t="str">
        <f>"استان يزد"</f>
        <v>استان يزد</v>
      </c>
      <c r="AD1696" s="1" t="str">
        <f>"95/07/14"</f>
        <v>95/07/14</v>
      </c>
      <c r="AE1696" s="1" t="str">
        <f t="shared" si="451"/>
        <v>اختتام</v>
      </c>
      <c r="AF1696" s="1" t="str">
        <f>""</f>
        <v/>
      </c>
      <c r="AG1696" s="1" t="str">
        <f>""</f>
        <v/>
      </c>
      <c r="AH1696" s="1" t="str">
        <f>""</f>
        <v/>
      </c>
      <c r="AI1696" s="1" t="str">
        <f>""</f>
        <v/>
      </c>
      <c r="AJ1696" s="1" t="str">
        <f>""</f>
        <v/>
      </c>
      <c r="AK1696" s="1" t="str">
        <f>""</f>
        <v/>
      </c>
    </row>
    <row r="1697" spans="1:37" x14ac:dyDescent="0.2">
      <c r="A1697" s="1">
        <v>120000</v>
      </c>
      <c r="B1697" s="1">
        <v>956200349</v>
      </c>
      <c r="C1697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1697" s="1">
        <v>8848</v>
      </c>
      <c r="E1697" s="1">
        <v>118880</v>
      </c>
      <c r="F1697" s="1">
        <v>95</v>
      </c>
      <c r="G1697" s="1">
        <v>1120</v>
      </c>
      <c r="H1697" s="1" t="str">
        <f>"95/12/22"</f>
        <v>95/12/22</v>
      </c>
      <c r="I1697" s="1" t="str">
        <f t="shared" si="442"/>
        <v>كيلوگرم</v>
      </c>
      <c r="J1697" s="1" t="str">
        <f t="shared" si="449"/>
        <v>0000000076</v>
      </c>
      <c r="K1697" s="1" t="str">
        <f t="shared" si="450"/>
        <v>قير 60/70 - فله</v>
      </c>
      <c r="L1697" s="1">
        <v>100</v>
      </c>
      <c r="M1697" s="1" t="str">
        <f t="shared" si="448"/>
        <v>مخازن قير اصفهان</v>
      </c>
      <c r="N1697" s="1">
        <v>11203</v>
      </c>
      <c r="O1697" s="1">
        <v>50034131</v>
      </c>
      <c r="P1697" s="1" t="str">
        <f>"  مسير پيماي شياس"</f>
        <v xml:space="preserve">  مسير پيماي شياس</v>
      </c>
      <c r="Q1697" s="1">
        <v>62</v>
      </c>
      <c r="R1697" s="1" t="str">
        <f>"فروش داخلي - سازمان بنيادمسكن انقلاب اسلامي"</f>
        <v>فروش داخلي - سازمان بنيادمسكن انقلاب اسلامي</v>
      </c>
      <c r="S1697" s="1" t="str">
        <f t="shared" si="443"/>
        <v>قرارداد فروش</v>
      </c>
      <c r="T1697" s="1" t="str">
        <f t="shared" si="444"/>
        <v>ندارد</v>
      </c>
      <c r="U1697" s="1" t="str">
        <f>"غلام نجفي سيامك‌‌‌‌‌‌(1881082)"</f>
        <v>غلام نجفي سيامك‌‌‌‌‌‌(1881082)</v>
      </c>
      <c r="V1697" s="1">
        <v>956200349</v>
      </c>
      <c r="W1697" s="1">
        <v>956200349</v>
      </c>
      <c r="X1697" s="1" t="str">
        <f>"1395470439"</f>
        <v>1395470439</v>
      </c>
      <c r="Y1697" s="1" t="str">
        <f>"95/12/22"</f>
        <v>95/12/22</v>
      </c>
      <c r="Z1697" s="1" t="str">
        <f>"56785/د"</f>
        <v>56785/د</v>
      </c>
      <c r="AA1697" s="1" t="str">
        <f>"بنيادمسكن انقلاب اسلامي"</f>
        <v>بنيادمسكن انقلاب اسلامي</v>
      </c>
      <c r="AB1697" s="1" t="str">
        <f>"95/12/22"</f>
        <v>95/12/22</v>
      </c>
      <c r="AC1697" s="1" t="str">
        <f>"كهكيلويه و بوير احمد"</f>
        <v>كهكيلويه و بوير احمد</v>
      </c>
      <c r="AD1697" s="1" t="str">
        <f>"95/12/22"</f>
        <v>95/12/22</v>
      </c>
      <c r="AE1697" s="1" t="str">
        <f t="shared" si="451"/>
        <v>اختتام</v>
      </c>
      <c r="AF1697" s="1" t="str">
        <f>""</f>
        <v/>
      </c>
      <c r="AG1697" s="1" t="str">
        <f>""</f>
        <v/>
      </c>
      <c r="AH1697" s="1" t="str">
        <f>""</f>
        <v/>
      </c>
      <c r="AI1697" s="1" t="str">
        <f>""</f>
        <v/>
      </c>
      <c r="AJ1697" s="1" t="str">
        <f>""</f>
        <v/>
      </c>
      <c r="AK1697" s="1" t="str">
        <f>""</f>
        <v/>
      </c>
    </row>
    <row r="1698" spans="1:37" x14ac:dyDescent="0.2">
      <c r="A1698" s="1">
        <v>70000</v>
      </c>
      <c r="B1698" s="1">
        <v>952000184</v>
      </c>
      <c r="C1698" s="1" t="str">
        <f>"تخليه قم جاده نيزاركارخانه فراسوي خزر"</f>
        <v>تخليه قم جاده نيزاركارخانه فراسوي خزر</v>
      </c>
      <c r="D1698" s="1">
        <v>8023</v>
      </c>
      <c r="E1698" s="1">
        <v>68920</v>
      </c>
      <c r="F1698" s="1">
        <v>95</v>
      </c>
      <c r="G1698" s="1">
        <v>1080</v>
      </c>
      <c r="H1698" s="1" t="str">
        <f>"95/08/10"</f>
        <v>95/08/10</v>
      </c>
      <c r="I1698" s="1" t="str">
        <f t="shared" si="442"/>
        <v>كيلوگرم</v>
      </c>
      <c r="J1698" s="1" t="str">
        <f t="shared" si="449"/>
        <v>0000000076</v>
      </c>
      <c r="K1698" s="1" t="str">
        <f t="shared" si="450"/>
        <v>قير 60/70 - فله</v>
      </c>
      <c r="L1698" s="1">
        <v>100</v>
      </c>
      <c r="M1698" s="1" t="str">
        <f t="shared" si="448"/>
        <v>مخازن قير اصفهان</v>
      </c>
      <c r="N1698" s="1">
        <v>11209</v>
      </c>
      <c r="O1698" s="1">
        <v>50032452</v>
      </c>
      <c r="P1698" s="1" t="str">
        <f>"  شهرداري كهك"</f>
        <v xml:space="preserve">  شهرداري كهك</v>
      </c>
      <c r="Q1698" s="1">
        <v>20</v>
      </c>
      <c r="R1698" s="1" t="str">
        <f>"فروش داخلي - سازمان شهرداري ها و دهياري هاي كشور"</f>
        <v>فروش داخلي - سازمان شهرداري ها و دهياري هاي كشور</v>
      </c>
      <c r="S1698" s="1" t="str">
        <f t="shared" si="443"/>
        <v>قرارداد فروش</v>
      </c>
      <c r="T1698" s="1" t="str">
        <f t="shared" si="444"/>
        <v>ندارد</v>
      </c>
      <c r="U1698" s="1" t="str">
        <f>"اميري علي(2842011)"</f>
        <v>اميري علي(2842011)</v>
      </c>
      <c r="V1698" s="1">
        <v>952000184</v>
      </c>
      <c r="W1698" s="1">
        <v>952000184</v>
      </c>
      <c r="X1698" s="1" t="str">
        <f>"1395441430"</f>
        <v>1395441430</v>
      </c>
      <c r="Y1698" s="1" t="str">
        <f>"95/08/10"</f>
        <v>95/08/10</v>
      </c>
      <c r="Z1698" s="1" t="str">
        <f>"34990"</f>
        <v>34990</v>
      </c>
      <c r="AA1698" s="1" t="str">
        <f>"شهرداريها"</f>
        <v>شهرداريها</v>
      </c>
      <c r="AB1698" s="1" t="str">
        <f>"95/07/18"</f>
        <v>95/07/18</v>
      </c>
      <c r="AC1698" s="1" t="str">
        <f>"قم"</f>
        <v>قم</v>
      </c>
      <c r="AD1698" s="1" t="str">
        <f>"95/08/09"</f>
        <v>95/08/09</v>
      </c>
      <c r="AE1698" s="1" t="str">
        <f t="shared" si="451"/>
        <v>اختتام</v>
      </c>
      <c r="AF1698" s="1" t="str">
        <f>""</f>
        <v/>
      </c>
      <c r="AG1698" s="1" t="str">
        <f>""</f>
        <v/>
      </c>
      <c r="AH1698" s="1" t="str">
        <f>""</f>
        <v/>
      </c>
      <c r="AI1698" s="1" t="str">
        <f>""</f>
        <v/>
      </c>
      <c r="AJ1698" s="1" t="str">
        <f>""</f>
        <v/>
      </c>
      <c r="AK1698" s="1" t="str">
        <f>""</f>
        <v/>
      </c>
    </row>
    <row r="1699" spans="1:37" x14ac:dyDescent="0.2">
      <c r="A1699" s="1">
        <v>68000</v>
      </c>
      <c r="B1699" s="1">
        <v>952000182</v>
      </c>
      <c r="C1699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1699" s="1">
        <v>8023</v>
      </c>
      <c r="E1699" s="1">
        <v>67840</v>
      </c>
      <c r="F1699" s="1">
        <v>95</v>
      </c>
      <c r="G1699" s="1">
        <v>160</v>
      </c>
      <c r="H1699" s="1" t="str">
        <f>"95/08/10"</f>
        <v>95/08/10</v>
      </c>
      <c r="I1699" s="1" t="str">
        <f t="shared" si="442"/>
        <v>كيلوگرم</v>
      </c>
      <c r="J1699" s="1" t="str">
        <f t="shared" si="449"/>
        <v>0000000076</v>
      </c>
      <c r="K1699" s="1" t="str">
        <f t="shared" si="450"/>
        <v>قير 60/70 - فله</v>
      </c>
      <c r="L1699" s="1">
        <v>100</v>
      </c>
      <c r="M1699" s="1" t="str">
        <f t="shared" si="448"/>
        <v>مخازن قير اصفهان</v>
      </c>
      <c r="N1699" s="1">
        <v>11210</v>
      </c>
      <c r="O1699" s="1">
        <v>50032450</v>
      </c>
      <c r="P1699" s="1" t="str">
        <f>"  شهرداري سرفارياب"</f>
        <v xml:space="preserve">  شهرداري سرفارياب</v>
      </c>
      <c r="Q1699" s="1">
        <v>20</v>
      </c>
      <c r="R1699" s="1" t="str">
        <f>"فروش داخلي - سازمان شهرداري ها و دهياري هاي كشور"</f>
        <v>فروش داخلي - سازمان شهرداري ها و دهياري هاي كشور</v>
      </c>
      <c r="S1699" s="1" t="str">
        <f t="shared" si="443"/>
        <v>قرارداد فروش</v>
      </c>
      <c r="T1699" s="1" t="str">
        <f t="shared" si="444"/>
        <v>ندارد</v>
      </c>
      <c r="U1699" s="1" t="str">
        <f>"افناني اسفندآبادي سعيد(4844002)"</f>
        <v>افناني اسفندآبادي سعيد(4844002)</v>
      </c>
      <c r="V1699" s="1">
        <v>952000182</v>
      </c>
      <c r="W1699" s="1">
        <v>952000182</v>
      </c>
      <c r="X1699" s="1" t="str">
        <f>"1395441430"</f>
        <v>1395441430</v>
      </c>
      <c r="Y1699" s="1" t="str">
        <f>"95/08/10"</f>
        <v>95/08/10</v>
      </c>
      <c r="Z1699" s="1" t="str">
        <f>"38124"</f>
        <v>38124</v>
      </c>
      <c r="AA1699" s="1" t="str">
        <f>"شهرداريها"</f>
        <v>شهرداريها</v>
      </c>
      <c r="AB1699" s="1" t="str">
        <f>"95/08/05"</f>
        <v>95/08/05</v>
      </c>
      <c r="AC1699" s="1" t="str">
        <f>"استان اصفهان"</f>
        <v>استان اصفهان</v>
      </c>
      <c r="AD1699" s="1" t="str">
        <f>"95/08/09"</f>
        <v>95/08/09</v>
      </c>
      <c r="AE1699" s="1" t="str">
        <f t="shared" si="451"/>
        <v>اختتام</v>
      </c>
      <c r="AF1699" s="1" t="str">
        <f>""</f>
        <v/>
      </c>
      <c r="AG1699" s="1" t="str">
        <f>""</f>
        <v/>
      </c>
      <c r="AH1699" s="1" t="str">
        <f>""</f>
        <v/>
      </c>
      <c r="AI1699" s="1" t="str">
        <f>""</f>
        <v/>
      </c>
      <c r="AJ1699" s="1" t="str">
        <f>""</f>
        <v/>
      </c>
      <c r="AK1699" s="1" t="str">
        <f>""</f>
        <v/>
      </c>
    </row>
    <row r="1700" spans="1:37" x14ac:dyDescent="0.2">
      <c r="A1700" s="1">
        <v>104000</v>
      </c>
      <c r="B1700" s="1">
        <v>956300005</v>
      </c>
      <c r="C1700" s="1" t="str">
        <f>"تخليه اصفهان شهركردكارخانه اتحادناغان"</f>
        <v>تخليه اصفهان شهركردكارخانه اتحادناغان</v>
      </c>
      <c r="D1700" s="1">
        <v>7026</v>
      </c>
      <c r="E1700" s="1">
        <v>104000</v>
      </c>
      <c r="F1700" s="1">
        <v>95</v>
      </c>
      <c r="G1700" s="1">
        <v>0</v>
      </c>
      <c r="H1700" s="1" t="str">
        <f>"95/09/23"</f>
        <v>95/09/23</v>
      </c>
      <c r="I1700" s="1" t="str">
        <f t="shared" si="442"/>
        <v>كيلوگرم</v>
      </c>
      <c r="J1700" s="1" t="str">
        <f t="shared" si="449"/>
        <v>0000000076</v>
      </c>
      <c r="K1700" s="1" t="str">
        <f t="shared" si="450"/>
        <v>قير 60/70 - فله</v>
      </c>
      <c r="L1700" s="1">
        <v>100</v>
      </c>
      <c r="M1700" s="1" t="str">
        <f t="shared" si="448"/>
        <v>مخازن قير اصفهان</v>
      </c>
      <c r="N1700" s="1">
        <v>11220</v>
      </c>
      <c r="O1700" s="1">
        <v>50033013</v>
      </c>
      <c r="P1700" s="1" t="str">
        <f>"  پايه ستون زاگرس"</f>
        <v xml:space="preserve">  پايه ستون زاگرس</v>
      </c>
      <c r="Q1700" s="1">
        <v>63</v>
      </c>
      <c r="R1700" s="1" t="str">
        <f>"سازمان نوسازي،توسعه و تجهيز مدارس كشور"</f>
        <v>سازمان نوسازي،توسعه و تجهيز مدارس كشور</v>
      </c>
      <c r="S1700" s="1" t="str">
        <f t="shared" si="443"/>
        <v>قرارداد فروش</v>
      </c>
      <c r="T1700" s="1" t="str">
        <f t="shared" si="444"/>
        <v>ندارد</v>
      </c>
      <c r="U1700" s="1" t="str">
        <f>"قره باغي مجيد(1871065)"</f>
        <v>قره باغي مجيد(1871065)</v>
      </c>
      <c r="V1700" s="1">
        <v>956300005</v>
      </c>
      <c r="W1700" s="1">
        <v>956300005</v>
      </c>
      <c r="X1700" s="1" t="str">
        <f>"1395451387"</f>
        <v>1395451387</v>
      </c>
      <c r="Y1700" s="1" t="str">
        <f>"95/09/23"</f>
        <v>95/09/23</v>
      </c>
      <c r="Z1700" s="1" t="str">
        <f>"18/95/1/7757"</f>
        <v>18/95/1/7757</v>
      </c>
      <c r="AA1700" s="1" t="str">
        <f>"سازمان نوسازي توسعه وتجهيزمدارس كشور"</f>
        <v>سازمان نوسازي توسعه وتجهيزمدارس كشور</v>
      </c>
      <c r="AB1700" s="1" t="str">
        <f>"95/09/09"</f>
        <v>95/09/09</v>
      </c>
      <c r="AC1700" s="1" t="str">
        <f>"استان اصفهان"</f>
        <v>استان اصفهان</v>
      </c>
      <c r="AD1700" s="1" t="str">
        <f>"95/09/22"</f>
        <v>95/09/22</v>
      </c>
      <c r="AE1700" s="1" t="str">
        <f>"تاييدشده"</f>
        <v>تاييدشده</v>
      </c>
      <c r="AF1700" s="1" t="str">
        <f>""</f>
        <v/>
      </c>
      <c r="AG1700" s="1" t="str">
        <f>""</f>
        <v/>
      </c>
      <c r="AH1700" s="1" t="str">
        <f>""</f>
        <v/>
      </c>
      <c r="AI1700" s="1" t="str">
        <f>""</f>
        <v/>
      </c>
      <c r="AJ1700" s="1" t="str">
        <f>""</f>
        <v/>
      </c>
      <c r="AK1700" s="1" t="str">
        <f>""</f>
        <v/>
      </c>
    </row>
    <row r="1701" spans="1:37" x14ac:dyDescent="0.2">
      <c r="A1701" s="1">
        <v>160000</v>
      </c>
      <c r="B1701" s="1">
        <v>956200316</v>
      </c>
      <c r="C1701" s="1" t="str">
        <f>"تخليه- خراسان رضوي--مشهد-کيلومتر 22 جاده کلات-کارخانه آسفالت آتيه سازان مهرجاويد خراسان"</f>
        <v>تخليه- خراسان رضوي--مشهد-کيلومتر 22 جاده کلات-کارخانه آسفالت آتيه سازان مهرجاويد خراسان</v>
      </c>
      <c r="D1701" s="1">
        <v>8848</v>
      </c>
      <c r="E1701" s="1">
        <v>159240</v>
      </c>
      <c r="F1701" s="1">
        <v>95</v>
      </c>
      <c r="G1701" s="1">
        <v>760</v>
      </c>
      <c r="H1701" s="1" t="str">
        <f>"95/12/11"</f>
        <v>95/12/11</v>
      </c>
      <c r="I1701" s="1" t="str">
        <f t="shared" si="442"/>
        <v>كيلوگرم</v>
      </c>
      <c r="J1701" s="1" t="str">
        <f t="shared" si="449"/>
        <v>0000000076</v>
      </c>
      <c r="K1701" s="1" t="str">
        <f t="shared" si="450"/>
        <v>قير 60/70 - فله</v>
      </c>
      <c r="L1701" s="1">
        <v>100</v>
      </c>
      <c r="M1701" s="1" t="str">
        <f t="shared" si="448"/>
        <v>مخازن قير اصفهان</v>
      </c>
      <c r="N1701" s="1">
        <v>11225</v>
      </c>
      <c r="O1701" s="1">
        <v>50033963</v>
      </c>
      <c r="P1701" s="1" t="str">
        <f>"  نگين شهر توس"</f>
        <v xml:space="preserve">  نگين شهر توس</v>
      </c>
      <c r="Q1701" s="1">
        <v>62</v>
      </c>
      <c r="R1701" s="1" t="str">
        <f t="shared" ref="R1701:R1718" si="452">"فروش داخلي - سازمان بنيادمسكن انقلاب اسلامي"</f>
        <v>فروش داخلي - سازمان بنيادمسكن انقلاب اسلامي</v>
      </c>
      <c r="S1701" s="1" t="str">
        <f t="shared" si="443"/>
        <v>قرارداد فروش</v>
      </c>
      <c r="T1701" s="1" t="str">
        <f t="shared" si="444"/>
        <v>ندارد</v>
      </c>
      <c r="U1701" s="1" t="str">
        <f>"حسيني حسن(1841075)"</f>
        <v>حسيني حسن(1841075)</v>
      </c>
      <c r="V1701" s="1">
        <v>956200316</v>
      </c>
      <c r="W1701" s="1">
        <v>956200316</v>
      </c>
      <c r="X1701" s="1" t="str">
        <f>"1395468778"</f>
        <v>1395468778</v>
      </c>
      <c r="Y1701" s="1" t="str">
        <f>"95/12/11"</f>
        <v>95/12/11</v>
      </c>
      <c r="Z1701" s="1" t="str">
        <f>"54614/د"</f>
        <v>54614/د</v>
      </c>
      <c r="AA1701" s="1" t="str">
        <f t="shared" ref="AA1701:AA1718" si="453">"بنيادمسكن انقلاب اسلامي"</f>
        <v>بنيادمسكن انقلاب اسلامي</v>
      </c>
      <c r="AB1701" s="1" t="str">
        <f>"95/12/10"</f>
        <v>95/12/10</v>
      </c>
      <c r="AC1701" s="1" t="str">
        <f>"خراسان رضوي"</f>
        <v>خراسان رضوي</v>
      </c>
      <c r="AD1701" s="1" t="str">
        <f>"95/12/11"</f>
        <v>95/12/11</v>
      </c>
      <c r="AE1701" s="1" t="str">
        <f t="shared" ref="AE1701:AE1764" si="454">"اختتام"</f>
        <v>اختتام</v>
      </c>
      <c r="AF1701" s="1" t="str">
        <f>""</f>
        <v/>
      </c>
      <c r="AG1701" s="1" t="str">
        <f>""</f>
        <v/>
      </c>
      <c r="AH1701" s="1" t="str">
        <f>""</f>
        <v/>
      </c>
      <c r="AI1701" s="1" t="str">
        <f>""</f>
        <v/>
      </c>
      <c r="AJ1701" s="1" t="str">
        <f>""</f>
        <v/>
      </c>
      <c r="AK1701" s="1" t="str">
        <f>""</f>
        <v/>
      </c>
    </row>
    <row r="1702" spans="1:37" x14ac:dyDescent="0.2">
      <c r="A1702" s="1">
        <v>49000</v>
      </c>
      <c r="B1702" s="1">
        <v>956200127</v>
      </c>
      <c r="C1702" s="1" t="str">
        <f>"تخليه - مازندران- ساري--بالاهور-کارخانه آسفالت نو آوران مازند شمال"</f>
        <v>تخليه - مازندران- ساري--بالاهور-کارخانه آسفالت نو آوران مازند شمال</v>
      </c>
      <c r="D1702" s="1">
        <v>8861</v>
      </c>
      <c r="E1702" s="1">
        <v>47660</v>
      </c>
      <c r="F1702" s="1">
        <v>95</v>
      </c>
      <c r="G1702" s="1">
        <v>1340</v>
      </c>
      <c r="H1702" s="1" t="str">
        <f>"95/10/08"</f>
        <v>95/10/08</v>
      </c>
      <c r="I1702" s="1" t="str">
        <f t="shared" si="442"/>
        <v>كيلوگرم</v>
      </c>
      <c r="J1702" s="1" t="str">
        <f t="shared" si="449"/>
        <v>0000000076</v>
      </c>
      <c r="K1702" s="1" t="str">
        <f t="shared" si="450"/>
        <v>قير 60/70 - فله</v>
      </c>
      <c r="L1702" s="1">
        <v>100</v>
      </c>
      <c r="M1702" s="1" t="str">
        <f t="shared" si="448"/>
        <v>مخازن قير اصفهان</v>
      </c>
      <c r="N1702" s="1">
        <v>11228</v>
      </c>
      <c r="O1702" s="1">
        <v>50033207</v>
      </c>
      <c r="P1702" s="1" t="str">
        <f>"  پارسيان سازه بهرام"</f>
        <v xml:space="preserve">  پارسيان سازه بهرام</v>
      </c>
      <c r="Q1702" s="1">
        <v>62</v>
      </c>
      <c r="R1702" s="1" t="str">
        <f t="shared" si="452"/>
        <v>فروش داخلي - سازمان بنيادمسكن انقلاب اسلامي</v>
      </c>
      <c r="S1702" s="1" t="str">
        <f t="shared" si="443"/>
        <v>قرارداد فروش</v>
      </c>
      <c r="T1702" s="1" t="str">
        <f t="shared" si="444"/>
        <v>ندارد</v>
      </c>
      <c r="U1702" s="1" t="str">
        <f>"شيشه بر كريم(1841016)"</f>
        <v>شيشه بر كريم(1841016)</v>
      </c>
      <c r="V1702" s="1">
        <v>956200127</v>
      </c>
      <c r="W1702" s="1">
        <v>956200127</v>
      </c>
      <c r="X1702" s="1" t="str">
        <f>"1395454986"</f>
        <v>1395454986</v>
      </c>
      <c r="Y1702" s="1" t="str">
        <f>"95/10/08"</f>
        <v>95/10/08</v>
      </c>
      <c r="Z1702" s="1" t="str">
        <f>"42201/د"</f>
        <v>42201/د</v>
      </c>
      <c r="AA1702" s="1" t="str">
        <f t="shared" si="453"/>
        <v>بنيادمسكن انقلاب اسلامي</v>
      </c>
      <c r="AB1702" s="1" t="str">
        <f>"95/10/06"</f>
        <v>95/10/06</v>
      </c>
      <c r="AC1702" s="1" t="str">
        <f>"استان مازندران"</f>
        <v>استان مازندران</v>
      </c>
      <c r="AD1702" s="1" t="str">
        <f>"95/10/07"</f>
        <v>95/10/07</v>
      </c>
      <c r="AE1702" s="1" t="str">
        <f t="shared" si="454"/>
        <v>اختتام</v>
      </c>
      <c r="AF1702" s="1" t="str">
        <f>""</f>
        <v/>
      </c>
      <c r="AG1702" s="1" t="str">
        <f>""</f>
        <v/>
      </c>
      <c r="AH1702" s="1" t="str">
        <f>""</f>
        <v/>
      </c>
      <c r="AI1702" s="1" t="str">
        <f>""</f>
        <v/>
      </c>
      <c r="AJ1702" s="1" t="str">
        <f>""</f>
        <v/>
      </c>
      <c r="AK1702" s="1" t="str">
        <f>""</f>
        <v/>
      </c>
    </row>
    <row r="1703" spans="1:37" x14ac:dyDescent="0.2">
      <c r="A1703" s="1">
        <v>70000</v>
      </c>
      <c r="B1703" s="1">
        <v>956200178</v>
      </c>
      <c r="C1703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703" s="1">
        <v>9361</v>
      </c>
      <c r="E1703" s="1">
        <v>68420</v>
      </c>
      <c r="F1703" s="1">
        <v>95</v>
      </c>
      <c r="G1703" s="1">
        <v>1580</v>
      </c>
      <c r="H1703" s="1" t="str">
        <f>"95/11/04"</f>
        <v>95/11/04</v>
      </c>
      <c r="I1703" s="1" t="str">
        <f t="shared" si="442"/>
        <v>كيلوگرم</v>
      </c>
      <c r="J1703" s="1" t="str">
        <f t="shared" si="449"/>
        <v>0000000076</v>
      </c>
      <c r="K1703" s="1" t="str">
        <f t="shared" si="450"/>
        <v>قير 60/70 - فله</v>
      </c>
      <c r="L1703" s="1">
        <v>100</v>
      </c>
      <c r="M1703" s="1" t="str">
        <f t="shared" si="448"/>
        <v>مخازن قير اصفهان</v>
      </c>
      <c r="N1703" s="1">
        <v>11236</v>
      </c>
      <c r="O1703" s="1">
        <v>50033511</v>
      </c>
      <c r="P1703" s="1" t="str">
        <f>"  ستايش گستر زنده رود"</f>
        <v xml:space="preserve">  ستايش گستر زنده رود</v>
      </c>
      <c r="Q1703" s="1">
        <v>62</v>
      </c>
      <c r="R1703" s="1" t="str">
        <f t="shared" si="452"/>
        <v>فروش داخلي - سازمان بنيادمسكن انقلاب اسلامي</v>
      </c>
      <c r="S1703" s="1" t="str">
        <f t="shared" si="443"/>
        <v>قرارداد فروش</v>
      </c>
      <c r="T1703" s="1" t="str">
        <f t="shared" si="444"/>
        <v>ندارد</v>
      </c>
      <c r="U1703" s="1" t="str">
        <f>"قره باغي مجيد(1871065)"</f>
        <v>قره باغي مجيد(1871065)</v>
      </c>
      <c r="V1703" s="1">
        <v>956200178</v>
      </c>
      <c r="W1703" s="1">
        <v>956200178</v>
      </c>
      <c r="X1703" s="1" t="str">
        <f>"1395460248"</f>
        <v>1395460248</v>
      </c>
      <c r="Y1703" s="1" t="str">
        <f>"95/11/04"</f>
        <v>95/11/04</v>
      </c>
      <c r="Z1703" s="1" t="str">
        <f>"46357/د"</f>
        <v>46357/د</v>
      </c>
      <c r="AA1703" s="1" t="str">
        <f t="shared" si="453"/>
        <v>بنيادمسكن انقلاب اسلامي</v>
      </c>
      <c r="AB1703" s="1" t="str">
        <f>"95/10/29"</f>
        <v>95/10/29</v>
      </c>
      <c r="AC1703" s="1" t="str">
        <f>"استان اصفهان"</f>
        <v>استان اصفهان</v>
      </c>
      <c r="AD1703" s="1" t="str">
        <f>"95/11/04"</f>
        <v>95/11/04</v>
      </c>
      <c r="AE1703" s="1" t="str">
        <f t="shared" si="454"/>
        <v>اختتام</v>
      </c>
      <c r="AF1703" s="1" t="str">
        <f>""</f>
        <v/>
      </c>
      <c r="AG1703" s="1" t="str">
        <f>""</f>
        <v/>
      </c>
      <c r="AH1703" s="1" t="str">
        <f>""</f>
        <v/>
      </c>
      <c r="AI1703" s="1" t="str">
        <f>""</f>
        <v/>
      </c>
      <c r="AJ1703" s="1" t="str">
        <f>""</f>
        <v/>
      </c>
      <c r="AK1703" s="1" t="str">
        <f>""</f>
        <v/>
      </c>
    </row>
    <row r="1704" spans="1:37" x14ac:dyDescent="0.2">
      <c r="A1704" s="1">
        <v>32000</v>
      </c>
      <c r="B1704" s="1">
        <v>956200213</v>
      </c>
      <c r="C1704" s="1" t="str">
        <f>"تخليه تهران كهريزك درسون آبادخيابان جانبزرگي ظلع شرقي پادگان جانبزرگي كارخانه تكين راه آسيا"</f>
        <v>تخليه تهران كهريزك درسون آبادخيابان جانبزرگي ظلع شرقي پادگان جانبزرگي كارخانه تكين راه آسيا</v>
      </c>
      <c r="D1704" s="1">
        <v>9361</v>
      </c>
      <c r="E1704" s="1">
        <v>32000</v>
      </c>
      <c r="F1704" s="1">
        <v>95</v>
      </c>
      <c r="G1704" s="1">
        <v>0</v>
      </c>
      <c r="H1704" s="1" t="str">
        <f>"95/11/20"</f>
        <v>95/11/20</v>
      </c>
      <c r="I1704" s="1" t="str">
        <f t="shared" si="442"/>
        <v>كيلوگرم</v>
      </c>
      <c r="J1704" s="1" t="str">
        <f t="shared" si="449"/>
        <v>0000000076</v>
      </c>
      <c r="K1704" s="1" t="str">
        <f t="shared" si="450"/>
        <v>قير 60/70 - فله</v>
      </c>
      <c r="L1704" s="1">
        <v>100</v>
      </c>
      <c r="M1704" s="1" t="str">
        <f t="shared" si="448"/>
        <v>مخازن قير اصفهان</v>
      </c>
      <c r="N1704" s="1">
        <v>11249</v>
      </c>
      <c r="O1704" s="1">
        <v>50033648</v>
      </c>
      <c r="P1704" s="1" t="str">
        <f>"  آرياسازه نگاراطلس"</f>
        <v xml:space="preserve">  آرياسازه نگاراطلس</v>
      </c>
      <c r="Q1704" s="1">
        <v>62</v>
      </c>
      <c r="R1704" s="1" t="str">
        <f t="shared" si="452"/>
        <v>فروش داخلي - سازمان بنيادمسكن انقلاب اسلامي</v>
      </c>
      <c r="S1704" s="1" t="str">
        <f t="shared" si="443"/>
        <v>قرارداد فروش</v>
      </c>
      <c r="T1704" s="1" t="str">
        <f t="shared" si="444"/>
        <v>ندارد</v>
      </c>
      <c r="U1704" s="1" t="str">
        <f>"ولي اصلاني صداقت (1841054)"</f>
        <v>ولي اصلاني صداقت (1841054)</v>
      </c>
      <c r="V1704" s="1">
        <v>956200213</v>
      </c>
      <c r="W1704" s="1">
        <v>956200213</v>
      </c>
      <c r="X1704" s="1" t="str">
        <f>"1395464204"</f>
        <v>1395464204</v>
      </c>
      <c r="Y1704" s="1" t="str">
        <f>"95/11/20"</f>
        <v>95/11/20</v>
      </c>
      <c r="Z1704" s="1" t="str">
        <f>"50214/د"</f>
        <v>50214/د</v>
      </c>
      <c r="AA1704" s="1" t="str">
        <f t="shared" si="453"/>
        <v>بنيادمسكن انقلاب اسلامي</v>
      </c>
      <c r="AB1704" s="1" t="str">
        <f>"95/11/19"</f>
        <v>95/11/19</v>
      </c>
      <c r="AC1704" s="1" t="str">
        <f>"استان تهران"</f>
        <v>استان تهران</v>
      </c>
      <c r="AD1704" s="1" t="str">
        <f>"95/11/20"</f>
        <v>95/11/20</v>
      </c>
      <c r="AE1704" s="1" t="str">
        <f t="shared" si="454"/>
        <v>اختتام</v>
      </c>
      <c r="AF1704" s="1" t="str">
        <f>""</f>
        <v/>
      </c>
      <c r="AG1704" s="1" t="str">
        <f>""</f>
        <v/>
      </c>
      <c r="AH1704" s="1" t="str">
        <f>""</f>
        <v/>
      </c>
      <c r="AI1704" s="1" t="str">
        <f>""</f>
        <v/>
      </c>
      <c r="AJ1704" s="1" t="str">
        <f>""</f>
        <v/>
      </c>
      <c r="AK1704" s="1" t="str">
        <f>""</f>
        <v/>
      </c>
    </row>
    <row r="1705" spans="1:37" x14ac:dyDescent="0.2">
      <c r="A1705" s="1">
        <v>15000</v>
      </c>
      <c r="B1705" s="1">
        <v>956200005</v>
      </c>
      <c r="C1705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1705" s="1">
        <v>9324</v>
      </c>
      <c r="E1705" s="1">
        <v>13580</v>
      </c>
      <c r="F1705" s="1">
        <v>95</v>
      </c>
      <c r="G1705" s="1">
        <v>1420</v>
      </c>
      <c r="H1705" s="1" t="str">
        <f>"95/02/28"</f>
        <v>95/02/28</v>
      </c>
      <c r="I1705" s="1" t="str">
        <f t="shared" si="442"/>
        <v>كيلوگرم</v>
      </c>
      <c r="J1705" s="1" t="str">
        <f>"1000000003"</f>
        <v>1000000003</v>
      </c>
      <c r="K1705" s="1" t="str">
        <f>"قير MC250"</f>
        <v>قير MC250</v>
      </c>
      <c r="L1705" s="1">
        <v>100</v>
      </c>
      <c r="M1705" s="1" t="str">
        <f t="shared" si="448"/>
        <v>مخازن قير اصفهان</v>
      </c>
      <c r="N1705" s="1">
        <v>9043</v>
      </c>
      <c r="O1705" s="1">
        <v>50030852</v>
      </c>
      <c r="P1705" s="1" t="str">
        <f>"  مهندسي صنعت راه گلپايگان"</f>
        <v xml:space="preserve">  مهندسي صنعت راه گلپايگان</v>
      </c>
      <c r="Q1705" s="1">
        <v>62</v>
      </c>
      <c r="R1705" s="1" t="str">
        <f t="shared" si="452"/>
        <v>فروش داخلي - سازمان بنيادمسكن انقلاب اسلامي</v>
      </c>
      <c r="S1705" s="1" t="str">
        <f t="shared" si="443"/>
        <v>قرارداد فروش</v>
      </c>
      <c r="T1705" s="1" t="str">
        <f t="shared" si="444"/>
        <v>ندارد</v>
      </c>
      <c r="U1705" s="1" t="str">
        <f>"شهبازي محمدرضا(1029ج89)"</f>
        <v>شهبازي محمدرضا(1029ج89)</v>
      </c>
      <c r="V1705" s="1">
        <v>956200005</v>
      </c>
      <c r="W1705" s="1">
        <v>956200005</v>
      </c>
      <c r="X1705" s="1" t="str">
        <f>"1395404451"</f>
        <v>1395404451</v>
      </c>
      <c r="Y1705" s="1" t="str">
        <f>"95/02/28"</f>
        <v>95/02/28</v>
      </c>
      <c r="Z1705" s="1" t="str">
        <f>"7177/د"</f>
        <v>7177/د</v>
      </c>
      <c r="AA1705" s="1" t="str">
        <f t="shared" si="453"/>
        <v>بنيادمسكن انقلاب اسلامي</v>
      </c>
      <c r="AB1705" s="1" t="str">
        <f>"95/02/26"</f>
        <v>95/02/26</v>
      </c>
      <c r="AC1705" s="1" t="str">
        <f>"استان اصفهان"</f>
        <v>استان اصفهان</v>
      </c>
      <c r="AD1705" s="1" t="str">
        <f>"95/02/27"</f>
        <v>95/02/27</v>
      </c>
      <c r="AE1705" s="1" t="str">
        <f t="shared" si="454"/>
        <v>اختتام</v>
      </c>
      <c r="AF1705" s="1" t="str">
        <f>""</f>
        <v/>
      </c>
      <c r="AG1705" s="1" t="str">
        <f>""</f>
        <v/>
      </c>
      <c r="AH1705" s="1" t="str">
        <f>""</f>
        <v/>
      </c>
      <c r="AI1705" s="1" t="str">
        <f>""</f>
        <v/>
      </c>
      <c r="AJ1705" s="1" t="str">
        <f>""</f>
        <v/>
      </c>
      <c r="AK1705" s="1" t="str">
        <f>""</f>
        <v/>
      </c>
    </row>
    <row r="1706" spans="1:37" x14ac:dyDescent="0.2">
      <c r="A1706" s="1">
        <v>141000</v>
      </c>
      <c r="B1706" s="1">
        <v>956200255</v>
      </c>
      <c r="C1706" s="1" t="str">
        <f>"تخليه-خراسان رضوي- بجستان-کارخانه گچ وحدت"</f>
        <v>تخليه-خراسان رضوي- بجستان-کارخانه گچ وحدت</v>
      </c>
      <c r="D1706" s="1">
        <v>9361</v>
      </c>
      <c r="E1706" s="1">
        <v>139960</v>
      </c>
      <c r="F1706" s="1">
        <v>95</v>
      </c>
      <c r="G1706" s="1">
        <v>1040</v>
      </c>
      <c r="H1706" s="1" t="str">
        <f>"95/11/28"</f>
        <v>95/11/28</v>
      </c>
      <c r="I1706" s="1" t="str">
        <f t="shared" si="442"/>
        <v>كيلوگرم</v>
      </c>
      <c r="J1706" s="1" t="str">
        <f t="shared" ref="J1706:J1715" si="455">"0000000076"</f>
        <v>0000000076</v>
      </c>
      <c r="K1706" s="1" t="str">
        <f t="shared" ref="K1706:K1715" si="456">"قير 60/70 - فله"</f>
        <v>قير 60/70 - فله</v>
      </c>
      <c r="L1706" s="1">
        <v>100</v>
      </c>
      <c r="M1706" s="1" t="str">
        <f t="shared" si="448"/>
        <v>مخازن قير اصفهان</v>
      </c>
      <c r="N1706" s="1">
        <v>11253</v>
      </c>
      <c r="O1706" s="1">
        <v>50033792</v>
      </c>
      <c r="P1706" s="1" t="str">
        <f>"  کشت و زرع طوفان تون"</f>
        <v xml:space="preserve">  کشت و زرع طوفان تون</v>
      </c>
      <c r="Q1706" s="1">
        <v>62</v>
      </c>
      <c r="R1706" s="1" t="str">
        <f t="shared" si="452"/>
        <v>فروش داخلي - سازمان بنيادمسكن انقلاب اسلامي</v>
      </c>
      <c r="S1706" s="1" t="str">
        <f t="shared" si="443"/>
        <v>قرارداد فروش</v>
      </c>
      <c r="T1706" s="1" t="str">
        <f t="shared" si="444"/>
        <v>ندارد</v>
      </c>
      <c r="U1706" s="1" t="str">
        <f>"ترك شاهسوندي مهدي(1022ج89)"</f>
        <v>ترك شاهسوندي مهدي(1022ج89)</v>
      </c>
      <c r="V1706" s="1">
        <v>956200255</v>
      </c>
      <c r="W1706" s="1">
        <v>956200255</v>
      </c>
      <c r="X1706" s="1" t="str">
        <f>"1395464699"</f>
        <v>1395464699</v>
      </c>
      <c r="Y1706" s="1" t="str">
        <f>"95/11/28"</f>
        <v>95/11/28</v>
      </c>
      <c r="Z1706" s="1" t="str">
        <f>"51015/د"</f>
        <v>51015/د</v>
      </c>
      <c r="AA1706" s="1" t="str">
        <f t="shared" si="453"/>
        <v>بنيادمسكن انقلاب اسلامي</v>
      </c>
      <c r="AB1706" s="1" t="str">
        <f>"95/11/24"</f>
        <v>95/11/24</v>
      </c>
      <c r="AC1706" s="1" t="str">
        <f>"خراسان رضوي"</f>
        <v>خراسان رضوي</v>
      </c>
      <c r="AD1706" s="1" t="str">
        <f>"95/11/25"</f>
        <v>95/11/25</v>
      </c>
      <c r="AE1706" s="1" t="str">
        <f t="shared" si="454"/>
        <v>اختتام</v>
      </c>
      <c r="AF1706" s="1" t="str">
        <f>""</f>
        <v/>
      </c>
      <c r="AG1706" s="1" t="str">
        <f>""</f>
        <v/>
      </c>
      <c r="AH1706" s="1" t="str">
        <f>""</f>
        <v/>
      </c>
      <c r="AI1706" s="1" t="str">
        <f>""</f>
        <v/>
      </c>
      <c r="AJ1706" s="1" t="str">
        <f>""</f>
        <v/>
      </c>
      <c r="AK1706" s="1" t="str">
        <f>""</f>
        <v/>
      </c>
    </row>
    <row r="1707" spans="1:37" x14ac:dyDescent="0.2">
      <c r="A1707" s="1">
        <v>70000</v>
      </c>
      <c r="B1707" s="1">
        <v>956200240</v>
      </c>
      <c r="C1707" s="1" t="str">
        <f>"تخليه - تهران-پاکدشت -بعداز ميدان پارچين-انتهاي پل ششم چشمه-کارخانه تعاوني 428"</f>
        <v>تخليه - تهران-پاکدشت -بعداز ميدان پارچين-انتهاي پل ششم چشمه-کارخانه تعاوني 428</v>
      </c>
      <c r="D1707" s="1">
        <v>9361</v>
      </c>
      <c r="E1707" s="1">
        <v>68920</v>
      </c>
      <c r="F1707" s="1">
        <v>95</v>
      </c>
      <c r="G1707" s="1">
        <v>1080</v>
      </c>
      <c r="H1707" s="1" t="str">
        <f>"95/11/26"</f>
        <v>95/11/26</v>
      </c>
      <c r="I1707" s="1" t="str">
        <f t="shared" si="442"/>
        <v>كيلوگرم</v>
      </c>
      <c r="J1707" s="1" t="str">
        <f t="shared" si="455"/>
        <v>0000000076</v>
      </c>
      <c r="K1707" s="1" t="str">
        <f t="shared" si="456"/>
        <v>قير 60/70 - فله</v>
      </c>
      <c r="L1707" s="1">
        <v>100</v>
      </c>
      <c r="M1707" s="1" t="str">
        <f t="shared" si="448"/>
        <v>مخازن قير اصفهان</v>
      </c>
      <c r="N1707" s="1">
        <v>11259</v>
      </c>
      <c r="O1707" s="1">
        <v>50033755</v>
      </c>
      <c r="P1707" s="1" t="str">
        <f>"  کوبان راه صدرا"</f>
        <v xml:space="preserve">  کوبان راه صدرا</v>
      </c>
      <c r="Q1707" s="1">
        <v>62</v>
      </c>
      <c r="R1707" s="1" t="str">
        <f t="shared" si="452"/>
        <v>فروش داخلي - سازمان بنيادمسكن انقلاب اسلامي</v>
      </c>
      <c r="S1707" s="1" t="str">
        <f t="shared" si="443"/>
        <v>قرارداد فروش</v>
      </c>
      <c r="T1707" s="1" t="str">
        <f t="shared" si="444"/>
        <v>ندارد</v>
      </c>
      <c r="U1707" s="1" t="str">
        <f>"بهاري مرتضي (1881070)"</f>
        <v>بهاري مرتضي (1881070)</v>
      </c>
      <c r="V1707" s="1">
        <v>956200240</v>
      </c>
      <c r="W1707" s="1">
        <v>956200240</v>
      </c>
      <c r="X1707" s="1" t="str">
        <f>"1395465045"</f>
        <v>1395465045</v>
      </c>
      <c r="Y1707" s="1" t="str">
        <f>"95/11/26"</f>
        <v>95/11/26</v>
      </c>
      <c r="Z1707" s="1" t="str">
        <f>"51090/د"</f>
        <v>51090/د</v>
      </c>
      <c r="AA1707" s="1" t="str">
        <f t="shared" si="453"/>
        <v>بنيادمسكن انقلاب اسلامي</v>
      </c>
      <c r="AB1707" s="1" t="str">
        <f>"95/11/25"</f>
        <v>95/11/25</v>
      </c>
      <c r="AC1707" s="1" t="str">
        <f>"استان تهران"</f>
        <v>استان تهران</v>
      </c>
      <c r="AD1707" s="1" t="str">
        <f>"95/11/26"</f>
        <v>95/11/26</v>
      </c>
      <c r="AE1707" s="1" t="str">
        <f t="shared" si="454"/>
        <v>اختتام</v>
      </c>
      <c r="AF1707" s="1" t="str">
        <f>""</f>
        <v/>
      </c>
      <c r="AG1707" s="1" t="str">
        <f>""</f>
        <v/>
      </c>
      <c r="AH1707" s="1" t="str">
        <f>""</f>
        <v/>
      </c>
      <c r="AI1707" s="1" t="str">
        <f>""</f>
        <v/>
      </c>
      <c r="AJ1707" s="1" t="str">
        <f>""</f>
        <v/>
      </c>
      <c r="AK1707" s="1" t="str">
        <f>""</f>
        <v/>
      </c>
    </row>
    <row r="1708" spans="1:37" x14ac:dyDescent="0.2">
      <c r="A1708" s="1">
        <v>89000</v>
      </c>
      <c r="B1708" s="1">
        <v>956200282</v>
      </c>
      <c r="C1708" s="1" t="str">
        <f>"تخليه - تهران-پاکدشت-بعداز ميدان پارچين -انتهاي پل شش چشمه -کارخانه آسفالت تعاوني 428"</f>
        <v>تخليه - تهران-پاکدشت-بعداز ميدان پارچين -انتهاي پل شش چشمه -کارخانه آسفالت تعاوني 428</v>
      </c>
      <c r="D1708" s="1">
        <v>8848</v>
      </c>
      <c r="E1708" s="1">
        <v>83160</v>
      </c>
      <c r="F1708" s="1">
        <v>95</v>
      </c>
      <c r="G1708" s="1">
        <v>5840</v>
      </c>
      <c r="H1708" s="1" t="str">
        <f>"95/12/04"</f>
        <v>95/12/04</v>
      </c>
      <c r="I1708" s="1" t="str">
        <f t="shared" si="442"/>
        <v>كيلوگرم</v>
      </c>
      <c r="J1708" s="1" t="str">
        <f t="shared" si="455"/>
        <v>0000000076</v>
      </c>
      <c r="K1708" s="1" t="str">
        <f t="shared" si="456"/>
        <v>قير 60/70 - فله</v>
      </c>
      <c r="L1708" s="1">
        <v>100</v>
      </c>
      <c r="M1708" s="1" t="str">
        <f t="shared" si="448"/>
        <v>مخازن قير اصفهان</v>
      </c>
      <c r="N1708" s="1">
        <v>11274</v>
      </c>
      <c r="O1708" s="1">
        <v>50033853</v>
      </c>
      <c r="P1708" s="1" t="str">
        <f>"  عمران راگا پرشين"</f>
        <v xml:space="preserve">  عمران راگا پرشين</v>
      </c>
      <c r="Q1708" s="1">
        <v>62</v>
      </c>
      <c r="R1708" s="1" t="str">
        <f t="shared" si="452"/>
        <v>فروش داخلي - سازمان بنيادمسكن انقلاب اسلامي</v>
      </c>
      <c r="S1708" s="1" t="str">
        <f t="shared" si="443"/>
        <v>قرارداد فروش</v>
      </c>
      <c r="T1708" s="1" t="str">
        <f t="shared" si="444"/>
        <v>ندارد</v>
      </c>
      <c r="U1708" s="1" t="str">
        <f>"بهاري مرتضي (1881070)"</f>
        <v>بهاري مرتضي (1881070)</v>
      </c>
      <c r="V1708" s="1">
        <v>956200282</v>
      </c>
      <c r="W1708" s="1">
        <v>956200282</v>
      </c>
      <c r="X1708" s="1" t="str">
        <f>"1395466581"</f>
        <v>1395466581</v>
      </c>
      <c r="Y1708" s="1" t="str">
        <f>"95/12/04"</f>
        <v>95/12/04</v>
      </c>
      <c r="Z1708" s="1" t="str">
        <f>"52153/د"</f>
        <v>52153/د</v>
      </c>
      <c r="AA1708" s="1" t="str">
        <f t="shared" si="453"/>
        <v>بنيادمسكن انقلاب اسلامي</v>
      </c>
      <c r="AB1708" s="1" t="str">
        <f>"95/12/01"</f>
        <v>95/12/01</v>
      </c>
      <c r="AC1708" s="1" t="str">
        <f>"استان تهران"</f>
        <v>استان تهران</v>
      </c>
      <c r="AD1708" s="1" t="str">
        <f>"95/12/03"</f>
        <v>95/12/03</v>
      </c>
      <c r="AE1708" s="1" t="str">
        <f t="shared" si="454"/>
        <v>اختتام</v>
      </c>
      <c r="AF1708" s="1" t="str">
        <f>""</f>
        <v/>
      </c>
      <c r="AG1708" s="1" t="str">
        <f>""</f>
        <v/>
      </c>
      <c r="AH1708" s="1" t="str">
        <f>""</f>
        <v/>
      </c>
      <c r="AI1708" s="1" t="str">
        <f>""</f>
        <v/>
      </c>
      <c r="AJ1708" s="1" t="str">
        <f>""</f>
        <v/>
      </c>
      <c r="AK1708" s="1" t="str">
        <f>""</f>
        <v/>
      </c>
    </row>
    <row r="1709" spans="1:37" x14ac:dyDescent="0.2">
      <c r="A1709" s="1">
        <v>30000</v>
      </c>
      <c r="B1709" s="1">
        <v>956200331</v>
      </c>
      <c r="C1709" s="1" t="str">
        <f>"تخليه - تهران - دماوند-گيلاوند-انتهاي خيابان سپاه -کيلومتر 5 جاده روستاي زره در-کارخانه آسفالت پارس دماوند"</f>
        <v>تخليه - تهران - دماوند-گيلاوند-انتهاي خيابان سپاه -کيلومتر 5 جاده روستاي زره در-کارخانه آسفالت پارس دماوند</v>
      </c>
      <c r="D1709" s="1">
        <v>8848</v>
      </c>
      <c r="E1709" s="1">
        <v>24880</v>
      </c>
      <c r="F1709" s="1">
        <v>95</v>
      </c>
      <c r="G1709" s="1">
        <v>5120</v>
      </c>
      <c r="H1709" s="1" t="str">
        <f>"95/12/15"</f>
        <v>95/12/15</v>
      </c>
      <c r="I1709" s="1" t="str">
        <f t="shared" si="442"/>
        <v>كيلوگرم</v>
      </c>
      <c r="J1709" s="1" t="str">
        <f t="shared" si="455"/>
        <v>0000000076</v>
      </c>
      <c r="K1709" s="1" t="str">
        <f t="shared" si="456"/>
        <v>قير 60/70 - فله</v>
      </c>
      <c r="L1709" s="1">
        <v>100</v>
      </c>
      <c r="M1709" s="1" t="str">
        <f t="shared" si="448"/>
        <v>مخازن قير اصفهان</v>
      </c>
      <c r="N1709" s="1">
        <v>11289</v>
      </c>
      <c r="O1709" s="1">
        <v>50034003</v>
      </c>
      <c r="P1709" s="1" t="str">
        <f>"  نگارين پي ريز هوراد"</f>
        <v xml:space="preserve">  نگارين پي ريز هوراد</v>
      </c>
      <c r="Q1709" s="1">
        <v>62</v>
      </c>
      <c r="R1709" s="1" t="str">
        <f t="shared" si="452"/>
        <v>فروش داخلي - سازمان بنيادمسكن انقلاب اسلامي</v>
      </c>
      <c r="S1709" s="1" t="str">
        <f t="shared" si="443"/>
        <v>قرارداد فروش</v>
      </c>
      <c r="T1709" s="1" t="str">
        <f t="shared" si="444"/>
        <v>ندارد</v>
      </c>
      <c r="U1709" s="1" t="str">
        <f>"فتحي حميد(1901090)"</f>
        <v>فتحي حميد(1901090)</v>
      </c>
      <c r="V1709" s="1">
        <v>956200331</v>
      </c>
      <c r="W1709" s="1">
        <v>956200331</v>
      </c>
      <c r="X1709" s="1" t="str">
        <f>"1395468928"</f>
        <v>1395468928</v>
      </c>
      <c r="Y1709" s="1" t="str">
        <f>"95/12/15"</f>
        <v>95/12/15</v>
      </c>
      <c r="Z1709" s="1" t="str">
        <f>"54952/د"</f>
        <v>54952/د</v>
      </c>
      <c r="AA1709" s="1" t="str">
        <f t="shared" si="453"/>
        <v>بنيادمسكن انقلاب اسلامي</v>
      </c>
      <c r="AB1709" s="1" t="str">
        <f>"95/12/14"</f>
        <v>95/12/14</v>
      </c>
      <c r="AC1709" s="1" t="str">
        <f>"استان تهران"</f>
        <v>استان تهران</v>
      </c>
      <c r="AD1709" s="1" t="str">
        <f>"95/12/14"</f>
        <v>95/12/14</v>
      </c>
      <c r="AE1709" s="1" t="str">
        <f t="shared" si="454"/>
        <v>اختتام</v>
      </c>
      <c r="AF1709" s="1" t="str">
        <f>""</f>
        <v/>
      </c>
      <c r="AG1709" s="1" t="str">
        <f>""</f>
        <v/>
      </c>
      <c r="AH1709" s="1" t="str">
        <f>""</f>
        <v/>
      </c>
      <c r="AI1709" s="1" t="str">
        <f>""</f>
        <v/>
      </c>
      <c r="AJ1709" s="1" t="str">
        <f>""</f>
        <v/>
      </c>
      <c r="AK1709" s="1" t="str">
        <f>""</f>
        <v/>
      </c>
    </row>
    <row r="1710" spans="1:37" x14ac:dyDescent="0.2">
      <c r="A1710" s="1">
        <v>263000</v>
      </c>
      <c r="B1710" s="1">
        <v>956200358</v>
      </c>
      <c r="C1710" s="1" t="str">
        <f>"تخليه-خراسان شمالي-بجنورد-کارخانه آسفالت شرکت يول آوران تاتار-کيلومتر 50جاده بجنورد-گيفان-نرسيده به دوراهي ايزمان"</f>
        <v>تخليه-خراسان شمالي-بجنورد-کارخانه آسفالت شرکت يول آوران تاتار-کيلومتر 50جاده بجنورد-گيفان-نرسيده به دوراهي ايزمان</v>
      </c>
      <c r="D1710" s="1">
        <v>8848</v>
      </c>
      <c r="E1710" s="1">
        <v>262580</v>
      </c>
      <c r="F1710" s="1">
        <v>95</v>
      </c>
      <c r="G1710" s="1">
        <v>420</v>
      </c>
      <c r="H1710" s="1" t="str">
        <f>"95/12/23"</f>
        <v>95/12/23</v>
      </c>
      <c r="I1710" s="1" t="str">
        <f t="shared" si="442"/>
        <v>كيلوگرم</v>
      </c>
      <c r="J1710" s="1" t="str">
        <f t="shared" si="455"/>
        <v>0000000076</v>
      </c>
      <c r="K1710" s="1" t="str">
        <f t="shared" si="456"/>
        <v>قير 60/70 - فله</v>
      </c>
      <c r="L1710" s="1">
        <v>100</v>
      </c>
      <c r="M1710" s="1" t="str">
        <f t="shared" si="448"/>
        <v>مخازن قير اصفهان</v>
      </c>
      <c r="N1710" s="1">
        <v>11301</v>
      </c>
      <c r="O1710" s="1">
        <v>50034143</v>
      </c>
      <c r="P1710" s="1" t="str">
        <f>"  پارسيان راه پاريز"</f>
        <v xml:space="preserve">  پارسيان راه پاريز</v>
      </c>
      <c r="Q1710" s="1">
        <v>62</v>
      </c>
      <c r="R1710" s="1" t="str">
        <f t="shared" si="452"/>
        <v>فروش داخلي - سازمان بنيادمسكن انقلاب اسلامي</v>
      </c>
      <c r="S1710" s="1" t="str">
        <f t="shared" si="443"/>
        <v>قرارداد فروش</v>
      </c>
      <c r="T1710" s="1" t="str">
        <f t="shared" si="444"/>
        <v>ندارد</v>
      </c>
      <c r="U1710" s="1" t="str">
        <f>"نظام دوست امين (1911102)"</f>
        <v>نظام دوست امين (1911102)</v>
      </c>
      <c r="V1710" s="1">
        <v>956200358</v>
      </c>
      <c r="W1710" s="1">
        <v>956200358</v>
      </c>
      <c r="X1710" s="1" t="str">
        <f>"1395470439"</f>
        <v>1395470439</v>
      </c>
      <c r="Y1710" s="1" t="str">
        <f>"95/12/23"</f>
        <v>95/12/23</v>
      </c>
      <c r="Z1710" s="1" t="str">
        <f>"56711/د"</f>
        <v>56711/د</v>
      </c>
      <c r="AA1710" s="1" t="str">
        <f t="shared" si="453"/>
        <v>بنيادمسكن انقلاب اسلامي</v>
      </c>
      <c r="AB1710" s="1" t="str">
        <f>"95/12/21"</f>
        <v>95/12/21</v>
      </c>
      <c r="AC1710" s="1" t="str">
        <f>"خراسان شمالي"</f>
        <v>خراسان شمالي</v>
      </c>
      <c r="AD1710" s="1" t="str">
        <f>"95/12/22"</f>
        <v>95/12/22</v>
      </c>
      <c r="AE1710" s="1" t="str">
        <f t="shared" si="454"/>
        <v>اختتام</v>
      </c>
      <c r="AF1710" s="1" t="str">
        <f>""</f>
        <v/>
      </c>
      <c r="AG1710" s="1" t="str">
        <f>""</f>
        <v/>
      </c>
      <c r="AH1710" s="1" t="str">
        <f>""</f>
        <v/>
      </c>
      <c r="AI1710" s="1" t="str">
        <f>""</f>
        <v/>
      </c>
      <c r="AJ1710" s="1" t="str">
        <f>""</f>
        <v/>
      </c>
      <c r="AK1710" s="1" t="str">
        <f>""</f>
        <v/>
      </c>
    </row>
    <row r="1711" spans="1:37" x14ac:dyDescent="0.2">
      <c r="A1711" s="1">
        <v>175000</v>
      </c>
      <c r="B1711" s="1">
        <v>956200379</v>
      </c>
      <c r="C1711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1711" s="1">
        <v>8848</v>
      </c>
      <c r="E1711" s="1">
        <v>175000</v>
      </c>
      <c r="F1711" s="1">
        <v>95</v>
      </c>
      <c r="G1711" s="1">
        <v>0</v>
      </c>
      <c r="H1711" s="1" t="str">
        <f>"95/12/24"</f>
        <v>95/12/24</v>
      </c>
      <c r="I1711" s="1" t="str">
        <f t="shared" si="442"/>
        <v>كيلوگرم</v>
      </c>
      <c r="J1711" s="1" t="str">
        <f t="shared" si="455"/>
        <v>0000000076</v>
      </c>
      <c r="K1711" s="1" t="str">
        <f t="shared" si="456"/>
        <v>قير 60/70 - فله</v>
      </c>
      <c r="L1711" s="1">
        <v>100</v>
      </c>
      <c r="M1711" s="1" t="str">
        <f t="shared" si="448"/>
        <v>مخازن قير اصفهان</v>
      </c>
      <c r="N1711" s="1">
        <v>11303</v>
      </c>
      <c r="O1711" s="1">
        <v>50034189</v>
      </c>
      <c r="P1711" s="1" t="str">
        <f>"  برج و پل کيميا"</f>
        <v xml:space="preserve">  برج و پل کيميا</v>
      </c>
      <c r="Q1711" s="1">
        <v>62</v>
      </c>
      <c r="R1711" s="1" t="str">
        <f t="shared" si="452"/>
        <v>فروش داخلي - سازمان بنيادمسكن انقلاب اسلامي</v>
      </c>
      <c r="S1711" s="1" t="str">
        <f t="shared" si="443"/>
        <v>قرارداد فروش</v>
      </c>
      <c r="T1711" s="1" t="str">
        <f t="shared" si="444"/>
        <v>ندارد</v>
      </c>
      <c r="U1711" s="1" t="str">
        <f>"ميهن دوست عبداله(2842010)"</f>
        <v>ميهن دوست عبداله(2842010)</v>
      </c>
      <c r="V1711" s="1">
        <v>956200379</v>
      </c>
      <c r="W1711" s="1">
        <v>956200379</v>
      </c>
      <c r="X1711" s="1" t="str">
        <f>"1395470885"</f>
        <v>1395470885</v>
      </c>
      <c r="Y1711" s="1" t="str">
        <f>"95/12/24"</f>
        <v>95/12/24</v>
      </c>
      <c r="Z1711" s="1" t="str">
        <f>"57018/د"</f>
        <v>57018/د</v>
      </c>
      <c r="AA1711" s="1" t="str">
        <f t="shared" si="453"/>
        <v>بنيادمسكن انقلاب اسلامي</v>
      </c>
      <c r="AB1711" s="1" t="str">
        <f>"95/12/22"</f>
        <v>95/12/22</v>
      </c>
      <c r="AC1711" s="1" t="str">
        <f>"استان كرمانشاه"</f>
        <v>استان كرمانشاه</v>
      </c>
      <c r="AD1711" s="1" t="str">
        <f>"95/12/23"</f>
        <v>95/12/23</v>
      </c>
      <c r="AE1711" s="1" t="str">
        <f t="shared" si="454"/>
        <v>اختتام</v>
      </c>
      <c r="AF1711" s="1" t="str">
        <f>""</f>
        <v/>
      </c>
      <c r="AG1711" s="1" t="str">
        <f>""</f>
        <v/>
      </c>
      <c r="AH1711" s="1" t="str">
        <f>""</f>
        <v/>
      </c>
      <c r="AI1711" s="1" t="str">
        <f>""</f>
        <v/>
      </c>
      <c r="AJ1711" s="1" t="str">
        <f>""</f>
        <v/>
      </c>
      <c r="AK1711" s="1" t="str">
        <f>""</f>
        <v/>
      </c>
    </row>
    <row r="1712" spans="1:37" x14ac:dyDescent="0.2">
      <c r="A1712" s="1">
        <v>85000</v>
      </c>
      <c r="B1712" s="1">
        <v>956200380</v>
      </c>
      <c r="C1712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1712" s="1">
        <v>8848</v>
      </c>
      <c r="E1712" s="1">
        <v>85000</v>
      </c>
      <c r="F1712" s="1">
        <v>95</v>
      </c>
      <c r="G1712" s="1">
        <v>0</v>
      </c>
      <c r="H1712" s="1" t="str">
        <f>"95/12/24"</f>
        <v>95/12/24</v>
      </c>
      <c r="I1712" s="1" t="str">
        <f t="shared" si="442"/>
        <v>كيلوگرم</v>
      </c>
      <c r="J1712" s="1" t="str">
        <f t="shared" si="455"/>
        <v>0000000076</v>
      </c>
      <c r="K1712" s="1" t="str">
        <f t="shared" si="456"/>
        <v>قير 60/70 - فله</v>
      </c>
      <c r="L1712" s="1">
        <v>100</v>
      </c>
      <c r="M1712" s="1" t="str">
        <f t="shared" si="448"/>
        <v>مخازن قير اصفهان</v>
      </c>
      <c r="N1712" s="1">
        <v>11303</v>
      </c>
      <c r="O1712" s="1">
        <v>50034190</v>
      </c>
      <c r="P1712" s="1" t="str">
        <f>"  برج و پل کيميا"</f>
        <v xml:space="preserve">  برج و پل کيميا</v>
      </c>
      <c r="Q1712" s="1">
        <v>62</v>
      </c>
      <c r="R1712" s="1" t="str">
        <f t="shared" si="452"/>
        <v>فروش داخلي - سازمان بنيادمسكن انقلاب اسلامي</v>
      </c>
      <c r="S1712" s="1" t="str">
        <f t="shared" si="443"/>
        <v>قرارداد فروش</v>
      </c>
      <c r="T1712" s="1" t="str">
        <f t="shared" si="444"/>
        <v>ندارد</v>
      </c>
      <c r="U1712" s="1" t="str">
        <f>"ميهن دوست عبداله(2842010)"</f>
        <v>ميهن دوست عبداله(2842010)</v>
      </c>
      <c r="V1712" s="1">
        <v>956200380</v>
      </c>
      <c r="W1712" s="1">
        <v>956200380</v>
      </c>
      <c r="X1712" s="1" t="str">
        <f>"1395470885"</f>
        <v>1395470885</v>
      </c>
      <c r="Y1712" s="1" t="str">
        <f>"95/12/24"</f>
        <v>95/12/24</v>
      </c>
      <c r="Z1712" s="1" t="str">
        <f>"57019/د"</f>
        <v>57019/د</v>
      </c>
      <c r="AA1712" s="1" t="str">
        <f t="shared" si="453"/>
        <v>بنيادمسكن انقلاب اسلامي</v>
      </c>
      <c r="AB1712" s="1" t="str">
        <f>"95/12/22"</f>
        <v>95/12/22</v>
      </c>
      <c r="AC1712" s="1" t="str">
        <f>"استان كرمانشاه"</f>
        <v>استان كرمانشاه</v>
      </c>
      <c r="AD1712" s="1" t="str">
        <f>"95/12/23"</f>
        <v>95/12/23</v>
      </c>
      <c r="AE1712" s="1" t="str">
        <f t="shared" si="454"/>
        <v>اختتام</v>
      </c>
      <c r="AF1712" s="1" t="str">
        <f>""</f>
        <v/>
      </c>
      <c r="AG1712" s="1" t="str">
        <f>""</f>
        <v/>
      </c>
      <c r="AH1712" s="1" t="str">
        <f>""</f>
        <v/>
      </c>
      <c r="AI1712" s="1" t="str">
        <f>""</f>
        <v/>
      </c>
      <c r="AJ1712" s="1" t="str">
        <f>""</f>
        <v/>
      </c>
      <c r="AK1712" s="1" t="str">
        <f>""</f>
        <v/>
      </c>
    </row>
    <row r="1713" spans="1:37" x14ac:dyDescent="0.2">
      <c r="A1713" s="1">
        <v>106000</v>
      </c>
      <c r="B1713" s="1">
        <v>956200384</v>
      </c>
      <c r="C1713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1713" s="1">
        <v>8848</v>
      </c>
      <c r="E1713" s="1">
        <v>104740</v>
      </c>
      <c r="F1713" s="1">
        <v>95</v>
      </c>
      <c r="G1713" s="1">
        <v>1260</v>
      </c>
      <c r="H1713" s="1" t="str">
        <f>"95/12/24"</f>
        <v>95/12/24</v>
      </c>
      <c r="I1713" s="1" t="str">
        <f t="shared" si="442"/>
        <v>كيلوگرم</v>
      </c>
      <c r="J1713" s="1" t="str">
        <f t="shared" si="455"/>
        <v>0000000076</v>
      </c>
      <c r="K1713" s="1" t="str">
        <f t="shared" si="456"/>
        <v>قير 60/70 - فله</v>
      </c>
      <c r="L1713" s="1">
        <v>100</v>
      </c>
      <c r="M1713" s="1" t="str">
        <f t="shared" si="448"/>
        <v>مخازن قير اصفهان</v>
      </c>
      <c r="N1713" s="1">
        <v>11303</v>
      </c>
      <c r="O1713" s="1">
        <v>50034196</v>
      </c>
      <c r="P1713" s="1" t="str">
        <f>"  برج و پل کيميا"</f>
        <v xml:space="preserve">  برج و پل کيميا</v>
      </c>
      <c r="Q1713" s="1">
        <v>62</v>
      </c>
      <c r="R1713" s="1" t="str">
        <f t="shared" si="452"/>
        <v>فروش داخلي - سازمان بنيادمسكن انقلاب اسلامي</v>
      </c>
      <c r="S1713" s="1" t="str">
        <f t="shared" si="443"/>
        <v>قرارداد فروش</v>
      </c>
      <c r="T1713" s="1" t="str">
        <f t="shared" si="444"/>
        <v>ندارد</v>
      </c>
      <c r="U1713" s="1" t="str">
        <f>"ميهن دوست عبداله(2842010)"</f>
        <v>ميهن دوست عبداله(2842010)</v>
      </c>
      <c r="V1713" s="1">
        <v>956200384</v>
      </c>
      <c r="W1713" s="1">
        <v>956200384</v>
      </c>
      <c r="X1713" s="1" t="str">
        <f>"1395470885"</f>
        <v>1395470885</v>
      </c>
      <c r="Y1713" s="1" t="str">
        <f>"95/12/24"</f>
        <v>95/12/24</v>
      </c>
      <c r="Z1713" s="1" t="str">
        <f>"57045/د"</f>
        <v>57045/د</v>
      </c>
      <c r="AA1713" s="1" t="str">
        <f t="shared" si="453"/>
        <v>بنيادمسكن انقلاب اسلامي</v>
      </c>
      <c r="AB1713" s="1" t="str">
        <f>"95/12/22"</f>
        <v>95/12/22</v>
      </c>
      <c r="AC1713" s="1" t="str">
        <f>"استان كرمانشاه"</f>
        <v>استان كرمانشاه</v>
      </c>
      <c r="AD1713" s="1" t="str">
        <f>"95/12/23"</f>
        <v>95/12/23</v>
      </c>
      <c r="AE1713" s="1" t="str">
        <f t="shared" si="454"/>
        <v>اختتام</v>
      </c>
      <c r="AF1713" s="1" t="str">
        <f>""</f>
        <v/>
      </c>
      <c r="AG1713" s="1" t="str">
        <f>""</f>
        <v/>
      </c>
      <c r="AH1713" s="1" t="str">
        <f>""</f>
        <v/>
      </c>
      <c r="AI1713" s="1" t="str">
        <f>""</f>
        <v/>
      </c>
      <c r="AJ1713" s="1" t="str">
        <f>""</f>
        <v/>
      </c>
      <c r="AK1713" s="1" t="str">
        <f>""</f>
        <v/>
      </c>
    </row>
    <row r="1714" spans="1:37" x14ac:dyDescent="0.2">
      <c r="A1714" s="1">
        <v>54000</v>
      </c>
      <c r="B1714" s="1">
        <v>956200385</v>
      </c>
      <c r="C1714" s="1" t="str">
        <f>"تخليه - کرمانشاه-سرپل ذهاب-سه راهي قره بلاغ پشت روستاي کلاشي-کارخانه آسفالت راه قدس"</f>
        <v>تخليه - کرمانشاه-سرپل ذهاب-سه راهي قره بلاغ پشت روستاي کلاشي-کارخانه آسفالت راه قدس</v>
      </c>
      <c r="D1714" s="1">
        <v>8848</v>
      </c>
      <c r="E1714" s="1">
        <v>46900</v>
      </c>
      <c r="F1714" s="1">
        <v>95</v>
      </c>
      <c r="G1714" s="1">
        <v>7100</v>
      </c>
      <c r="H1714" s="1" t="str">
        <f>"95/12/24"</f>
        <v>95/12/24</v>
      </c>
      <c r="I1714" s="1" t="str">
        <f t="shared" si="442"/>
        <v>كيلوگرم</v>
      </c>
      <c r="J1714" s="1" t="str">
        <f t="shared" si="455"/>
        <v>0000000076</v>
      </c>
      <c r="K1714" s="1" t="str">
        <f t="shared" si="456"/>
        <v>قير 60/70 - فله</v>
      </c>
      <c r="L1714" s="1">
        <v>100</v>
      </c>
      <c r="M1714" s="1" t="str">
        <f t="shared" si="448"/>
        <v>مخازن قير اصفهان</v>
      </c>
      <c r="N1714" s="1">
        <v>11306</v>
      </c>
      <c r="O1714" s="1">
        <v>50034206</v>
      </c>
      <c r="P1714" s="1" t="str">
        <f>"  رابين راه امير"</f>
        <v xml:space="preserve">  رابين راه امير</v>
      </c>
      <c r="Q1714" s="1">
        <v>62</v>
      </c>
      <c r="R1714" s="1" t="str">
        <f t="shared" si="452"/>
        <v>فروش داخلي - سازمان بنيادمسكن انقلاب اسلامي</v>
      </c>
      <c r="S1714" s="1" t="str">
        <f t="shared" si="443"/>
        <v>قرارداد فروش</v>
      </c>
      <c r="T1714" s="1" t="str">
        <f t="shared" si="444"/>
        <v>ندارد</v>
      </c>
      <c r="U1714" s="1" t="str">
        <f>"حاجيلوئي علي اصغر(2842019)"</f>
        <v>حاجيلوئي علي اصغر(2842019)</v>
      </c>
      <c r="V1714" s="1">
        <v>956200385</v>
      </c>
      <c r="W1714" s="1">
        <v>956200385</v>
      </c>
      <c r="X1714" s="1" t="str">
        <f>"1395470885"</f>
        <v>1395470885</v>
      </c>
      <c r="Y1714" s="1" t="str">
        <f>"95/12/24"</f>
        <v>95/12/24</v>
      </c>
      <c r="Z1714" s="1" t="str">
        <f>"57104/د"</f>
        <v>57104/د</v>
      </c>
      <c r="AA1714" s="1" t="str">
        <f t="shared" si="453"/>
        <v>بنيادمسكن انقلاب اسلامي</v>
      </c>
      <c r="AB1714" s="1" t="str">
        <f>"95/12/22"</f>
        <v>95/12/22</v>
      </c>
      <c r="AC1714" s="1" t="str">
        <f>"استان كرمانشاه"</f>
        <v>استان كرمانشاه</v>
      </c>
      <c r="AD1714" s="1" t="str">
        <f>"95/12/23"</f>
        <v>95/12/23</v>
      </c>
      <c r="AE1714" s="1" t="str">
        <f t="shared" si="454"/>
        <v>اختتام</v>
      </c>
      <c r="AF1714" s="1" t="str">
        <f>""</f>
        <v/>
      </c>
      <c r="AG1714" s="1" t="str">
        <f>""</f>
        <v/>
      </c>
      <c r="AH1714" s="1" t="str">
        <f>""</f>
        <v/>
      </c>
      <c r="AI1714" s="1" t="str">
        <f>""</f>
        <v/>
      </c>
      <c r="AJ1714" s="1" t="str">
        <f>""</f>
        <v/>
      </c>
      <c r="AK1714" s="1" t="str">
        <f>""</f>
        <v/>
      </c>
    </row>
    <row r="1715" spans="1:37" x14ac:dyDescent="0.2">
      <c r="A1715" s="1">
        <v>212000</v>
      </c>
      <c r="B1715" s="1">
        <v>956200395</v>
      </c>
      <c r="C1715" s="1" t="str">
        <f>"تخليه - کرمان-کيلومتر 30جاده سيرجان -بافت"</f>
        <v>تخليه - کرمان-کيلومتر 30جاده سيرجان -بافت</v>
      </c>
      <c r="D1715" s="1">
        <v>8848</v>
      </c>
      <c r="E1715" s="1">
        <v>210180</v>
      </c>
      <c r="F1715" s="1">
        <v>95</v>
      </c>
      <c r="G1715" s="1">
        <v>1820</v>
      </c>
      <c r="H1715" s="1" t="str">
        <f>"95/12/25"</f>
        <v>95/12/25</v>
      </c>
      <c r="I1715" s="1" t="str">
        <f t="shared" si="442"/>
        <v>كيلوگرم</v>
      </c>
      <c r="J1715" s="1" t="str">
        <f t="shared" si="455"/>
        <v>0000000076</v>
      </c>
      <c r="K1715" s="1" t="str">
        <f t="shared" si="456"/>
        <v>قير 60/70 - فله</v>
      </c>
      <c r="L1715" s="1">
        <v>100</v>
      </c>
      <c r="M1715" s="1" t="str">
        <f t="shared" si="448"/>
        <v>مخازن قير اصفهان</v>
      </c>
      <c r="N1715" s="1">
        <v>11310</v>
      </c>
      <c r="O1715" s="1">
        <v>50034217</v>
      </c>
      <c r="P1715" s="1" t="str">
        <f>"  عمران پويش سيرجان"</f>
        <v xml:space="preserve">  عمران پويش سيرجان</v>
      </c>
      <c r="Q1715" s="1">
        <v>62</v>
      </c>
      <c r="R1715" s="1" t="str">
        <f t="shared" si="452"/>
        <v>فروش داخلي - سازمان بنيادمسكن انقلاب اسلامي</v>
      </c>
      <c r="S1715" s="1" t="str">
        <f t="shared" si="443"/>
        <v>قرارداد فروش</v>
      </c>
      <c r="T1715" s="1" t="str">
        <f t="shared" si="444"/>
        <v>ندارد</v>
      </c>
      <c r="U1715" s="1" t="str">
        <f>"پورباقري ترابر (4914036)"</f>
        <v>پورباقري ترابر (4914036)</v>
      </c>
      <c r="V1715" s="1">
        <v>956200395</v>
      </c>
      <c r="W1715" s="1">
        <v>956200395</v>
      </c>
      <c r="X1715" s="1" t="str">
        <f>"1395470894"</f>
        <v>1395470894</v>
      </c>
      <c r="Y1715" s="1" t="str">
        <f>"95/12/25"</f>
        <v>95/12/25</v>
      </c>
      <c r="Z1715" s="1" t="str">
        <f>"56971/د"</f>
        <v>56971/د</v>
      </c>
      <c r="AA1715" s="1" t="str">
        <f t="shared" si="453"/>
        <v>بنيادمسكن انقلاب اسلامي</v>
      </c>
      <c r="AB1715" s="1" t="str">
        <f>"95/12/22"</f>
        <v>95/12/22</v>
      </c>
      <c r="AC1715" s="1" t="str">
        <f>"استان كرمان"</f>
        <v>استان كرمان</v>
      </c>
      <c r="AD1715" s="1" t="str">
        <f>"95/12/23"</f>
        <v>95/12/23</v>
      </c>
      <c r="AE1715" s="1" t="str">
        <f t="shared" si="454"/>
        <v>اختتام</v>
      </c>
      <c r="AF1715" s="1" t="str">
        <f>""</f>
        <v/>
      </c>
      <c r="AG1715" s="1" t="str">
        <f>""</f>
        <v/>
      </c>
      <c r="AH1715" s="1" t="str">
        <f>""</f>
        <v/>
      </c>
      <c r="AI1715" s="1" t="str">
        <f>""</f>
        <v/>
      </c>
      <c r="AJ1715" s="1" t="str">
        <f>""</f>
        <v/>
      </c>
      <c r="AK1715" s="1" t="str">
        <f>""</f>
        <v/>
      </c>
    </row>
    <row r="1716" spans="1:37" x14ac:dyDescent="0.2">
      <c r="A1716" s="1">
        <v>25000</v>
      </c>
      <c r="B1716" s="1">
        <v>956200164</v>
      </c>
      <c r="C1716" s="1" t="str">
        <f>"تخليه -اصفهان -فريدن -كارخانه آسفالت دامنه"</f>
        <v>تخليه -اصفهان -فريدن -كارخانه آسفالت دامنه</v>
      </c>
      <c r="D1716" s="1">
        <v>12507</v>
      </c>
      <c r="E1716" s="1">
        <v>25000</v>
      </c>
      <c r="F1716" s="1">
        <v>95</v>
      </c>
      <c r="G1716" s="1">
        <v>0</v>
      </c>
      <c r="H1716" s="1" t="str">
        <f>"95/10/23"</f>
        <v>95/10/23</v>
      </c>
      <c r="I1716" s="1" t="str">
        <f t="shared" si="442"/>
        <v>كيلوگرم</v>
      </c>
      <c r="J1716" s="1" t="str">
        <f t="shared" ref="J1716:J1721" si="457">"1000000003"</f>
        <v>1000000003</v>
      </c>
      <c r="K1716" s="1" t="str">
        <f t="shared" ref="K1716:K1721" si="458">"قير MC250"</f>
        <v>قير MC250</v>
      </c>
      <c r="L1716" s="1">
        <v>100</v>
      </c>
      <c r="M1716" s="1" t="str">
        <f t="shared" si="448"/>
        <v>مخازن قير اصفهان</v>
      </c>
      <c r="N1716" s="1">
        <v>10536</v>
      </c>
      <c r="O1716" s="1">
        <v>50033386</v>
      </c>
      <c r="P1716" s="1" t="str">
        <f>"  آبجيل صنعت"</f>
        <v xml:space="preserve">  آبجيل صنعت</v>
      </c>
      <c r="Q1716" s="1">
        <v>62</v>
      </c>
      <c r="R1716" s="1" t="str">
        <f t="shared" si="452"/>
        <v>فروش داخلي - سازمان بنيادمسكن انقلاب اسلامي</v>
      </c>
      <c r="S1716" s="1" t="str">
        <f t="shared" si="443"/>
        <v>قرارداد فروش</v>
      </c>
      <c r="T1716" s="1" t="str">
        <f t="shared" si="444"/>
        <v>ندارد</v>
      </c>
      <c r="U1716" s="1" t="str">
        <f>"سيفي پور گودرز(1019ج89)"</f>
        <v>سيفي پور گودرز(1019ج89)</v>
      </c>
      <c r="V1716" s="1">
        <v>956200164</v>
      </c>
      <c r="W1716" s="1">
        <v>956200164</v>
      </c>
      <c r="X1716" s="1" t="str">
        <f>"1395457939"</f>
        <v>1395457939</v>
      </c>
      <c r="Y1716" s="1" t="str">
        <f>"95/10/23"</f>
        <v>95/10/23</v>
      </c>
      <c r="Z1716" s="1" t="str">
        <f>"44847/د"</f>
        <v>44847/د</v>
      </c>
      <c r="AA1716" s="1" t="str">
        <f t="shared" si="453"/>
        <v>بنيادمسكن انقلاب اسلامي</v>
      </c>
      <c r="AB1716" s="1" t="str">
        <f>"95/10/20"</f>
        <v>95/10/20</v>
      </c>
      <c r="AC1716" s="1" t="str">
        <f>"استان اصفهان"</f>
        <v>استان اصفهان</v>
      </c>
      <c r="AD1716" s="1" t="str">
        <f>"95/10/22"</f>
        <v>95/10/22</v>
      </c>
      <c r="AE1716" s="1" t="str">
        <f t="shared" si="454"/>
        <v>اختتام</v>
      </c>
      <c r="AF1716" s="1" t="str">
        <f>""</f>
        <v/>
      </c>
      <c r="AG1716" s="1" t="str">
        <f>""</f>
        <v/>
      </c>
      <c r="AH1716" s="1" t="str">
        <f>""</f>
        <v/>
      </c>
      <c r="AI1716" s="1" t="str">
        <f>""</f>
        <v/>
      </c>
      <c r="AJ1716" s="1" t="str">
        <f>""</f>
        <v/>
      </c>
      <c r="AK1716" s="1" t="str">
        <f>""</f>
        <v/>
      </c>
    </row>
    <row r="1717" spans="1:37" x14ac:dyDescent="0.2">
      <c r="A1717" s="1">
        <v>27000</v>
      </c>
      <c r="B1717" s="1">
        <v>956200416</v>
      </c>
      <c r="C1717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717" s="1">
        <v>12582</v>
      </c>
      <c r="E1717" s="1">
        <v>27000</v>
      </c>
      <c r="F1717" s="1">
        <v>95</v>
      </c>
      <c r="G1717" s="1">
        <v>0</v>
      </c>
      <c r="H1717" s="1" t="str">
        <f>"95/12/28"</f>
        <v>95/12/28</v>
      </c>
      <c r="I1717" s="1" t="str">
        <f t="shared" si="442"/>
        <v>كيلوگرم</v>
      </c>
      <c r="J1717" s="1" t="str">
        <f t="shared" si="457"/>
        <v>1000000003</v>
      </c>
      <c r="K1717" s="1" t="str">
        <f t="shared" si="458"/>
        <v>قير MC250</v>
      </c>
      <c r="L1717" s="1">
        <v>100</v>
      </c>
      <c r="M1717" s="1" t="str">
        <f t="shared" si="448"/>
        <v>مخازن قير اصفهان</v>
      </c>
      <c r="N1717" s="1">
        <v>11001</v>
      </c>
      <c r="O1717" s="1">
        <v>50034303</v>
      </c>
      <c r="P1717" s="1" t="str">
        <f>"  بنياد مسکن انقلاب اسلامي نجف آباد"</f>
        <v xml:space="preserve">  بنياد مسکن انقلاب اسلامي نجف آباد</v>
      </c>
      <c r="Q1717" s="1">
        <v>62</v>
      </c>
      <c r="R1717" s="1" t="str">
        <f t="shared" si="452"/>
        <v>فروش داخلي - سازمان بنيادمسكن انقلاب اسلامي</v>
      </c>
      <c r="S1717" s="1" t="str">
        <f t="shared" si="443"/>
        <v>قرارداد فروش</v>
      </c>
      <c r="T1717" s="1" t="str">
        <f t="shared" si="444"/>
        <v>ندارد</v>
      </c>
      <c r="U1717" s="1" t="str">
        <f>"سيفي پور عبدالمجيد(1009ج89)"</f>
        <v>سيفي پور عبدالمجيد(1009ج89)</v>
      </c>
      <c r="V1717" s="1">
        <v>956200416</v>
      </c>
      <c r="W1717" s="1">
        <v>956200416</v>
      </c>
      <c r="X1717" s="1" t="str">
        <f>"1395470954"</f>
        <v>1395470954</v>
      </c>
      <c r="Y1717" s="1" t="str">
        <f>"95/12/28"</f>
        <v>95/12/28</v>
      </c>
      <c r="Z1717" s="1" t="str">
        <f>"57002/د"</f>
        <v>57002/د</v>
      </c>
      <c r="AA1717" s="1" t="str">
        <f t="shared" si="453"/>
        <v>بنيادمسكن انقلاب اسلامي</v>
      </c>
      <c r="AB1717" s="1" t="str">
        <f>"95/12/22"</f>
        <v>95/12/22</v>
      </c>
      <c r="AC1717" s="1" t="str">
        <f>"استان اصفهان"</f>
        <v>استان اصفهان</v>
      </c>
      <c r="AD1717" s="1" t="str">
        <f>"95/12/24"</f>
        <v>95/12/24</v>
      </c>
      <c r="AE1717" s="1" t="str">
        <f t="shared" si="454"/>
        <v>اختتام</v>
      </c>
      <c r="AF1717" s="1" t="str">
        <f>""</f>
        <v/>
      </c>
      <c r="AG1717" s="1" t="str">
        <f>""</f>
        <v/>
      </c>
      <c r="AH1717" s="1" t="str">
        <f>""</f>
        <v/>
      </c>
      <c r="AI1717" s="1" t="str">
        <f>""</f>
        <v/>
      </c>
      <c r="AJ1717" s="1" t="str">
        <f>""</f>
        <v/>
      </c>
      <c r="AK1717" s="1" t="str">
        <f>""</f>
        <v/>
      </c>
    </row>
    <row r="1718" spans="1:37" x14ac:dyDescent="0.2">
      <c r="A1718" s="1">
        <v>85000</v>
      </c>
      <c r="B1718" s="1">
        <v>956200099</v>
      </c>
      <c r="C1718" s="1" t="str">
        <f>"تخليه- سيستان و بلوچستان- سراوان-جاده سراوان-غفورآباد-کارگاه شن و ماسه آقاي ملکي"</f>
        <v>تخليه- سيستان و بلوچستان- سراوان-جاده سراوان-غفورآباد-کارگاه شن و ماسه آقاي ملکي</v>
      </c>
      <c r="D1718" s="1">
        <v>10906</v>
      </c>
      <c r="E1718" s="1">
        <v>85000</v>
      </c>
      <c r="F1718" s="1">
        <v>95</v>
      </c>
      <c r="G1718" s="1">
        <v>0</v>
      </c>
      <c r="H1718" s="1" t="str">
        <f>"95/09/14"</f>
        <v>95/09/14</v>
      </c>
      <c r="I1718" s="1" t="str">
        <f t="shared" si="442"/>
        <v>كيلوگرم</v>
      </c>
      <c r="J1718" s="1" t="str">
        <f t="shared" si="457"/>
        <v>1000000003</v>
      </c>
      <c r="K1718" s="1" t="str">
        <f t="shared" si="458"/>
        <v>قير MC250</v>
      </c>
      <c r="L1718" s="1">
        <v>100</v>
      </c>
      <c r="M1718" s="1" t="str">
        <f t="shared" si="448"/>
        <v>مخازن قير اصفهان</v>
      </c>
      <c r="N1718" s="1">
        <v>11070</v>
      </c>
      <c r="O1718" s="1">
        <v>50032839</v>
      </c>
      <c r="P1718" s="1" t="str">
        <f>"  شايان نقشه جنوب"</f>
        <v xml:space="preserve">  شايان نقشه جنوب</v>
      </c>
      <c r="Q1718" s="1">
        <v>62</v>
      </c>
      <c r="R1718" s="1" t="str">
        <f t="shared" si="452"/>
        <v>فروش داخلي - سازمان بنيادمسكن انقلاب اسلامي</v>
      </c>
      <c r="S1718" s="1" t="str">
        <f t="shared" si="443"/>
        <v>قرارداد فروش</v>
      </c>
      <c r="T1718" s="1" t="str">
        <f t="shared" si="444"/>
        <v>ندارد</v>
      </c>
      <c r="U1718" s="1" t="str">
        <f>"تاج سعيد هوشنگ (1031ج 89)"</f>
        <v>تاج سعيد هوشنگ (1031ج 89)</v>
      </c>
      <c r="V1718" s="1">
        <v>956200099</v>
      </c>
      <c r="W1718" s="1">
        <v>956200099</v>
      </c>
      <c r="X1718" s="1" t="str">
        <f>"1395449224"</f>
        <v>1395449224</v>
      </c>
      <c r="Y1718" s="1" t="str">
        <f>"95/09/14"</f>
        <v>95/09/14</v>
      </c>
      <c r="Z1718" s="1" t="str">
        <f>"38454/د"</f>
        <v>38454/د</v>
      </c>
      <c r="AA1718" s="1" t="str">
        <f t="shared" si="453"/>
        <v>بنيادمسكن انقلاب اسلامي</v>
      </c>
      <c r="AB1718" s="1" t="str">
        <f>"95/09/13"</f>
        <v>95/09/13</v>
      </c>
      <c r="AC1718" s="1" t="str">
        <f>"استان سيستان بلوچستان"</f>
        <v>استان سيستان بلوچستان</v>
      </c>
      <c r="AD1718" s="1" t="str">
        <f>"95/09/14"</f>
        <v>95/09/14</v>
      </c>
      <c r="AE1718" s="1" t="str">
        <f t="shared" si="454"/>
        <v>اختتام</v>
      </c>
      <c r="AF1718" s="1" t="str">
        <f>""</f>
        <v/>
      </c>
      <c r="AG1718" s="1" t="str">
        <f>""</f>
        <v/>
      </c>
      <c r="AH1718" s="1" t="str">
        <f>""</f>
        <v/>
      </c>
      <c r="AI1718" s="1" t="str">
        <f>""</f>
        <v/>
      </c>
      <c r="AJ1718" s="1" t="str">
        <f>""</f>
        <v/>
      </c>
      <c r="AK1718" s="1" t="str">
        <f>""</f>
        <v/>
      </c>
    </row>
    <row r="1719" spans="1:37" x14ac:dyDescent="0.2">
      <c r="A1719" s="1">
        <v>50000</v>
      </c>
      <c r="B1719" s="1">
        <v>951100147</v>
      </c>
      <c r="C1719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719" s="1">
        <v>10906</v>
      </c>
      <c r="E1719" s="1">
        <v>46920</v>
      </c>
      <c r="F1719" s="1">
        <v>95</v>
      </c>
      <c r="G1719" s="1">
        <v>3080</v>
      </c>
      <c r="H1719" s="1" t="str">
        <f>"95/09/01"</f>
        <v>95/09/01</v>
      </c>
      <c r="I1719" s="1" t="str">
        <f t="shared" si="442"/>
        <v>كيلوگرم</v>
      </c>
      <c r="J1719" s="1" t="str">
        <f t="shared" si="457"/>
        <v>1000000003</v>
      </c>
      <c r="K1719" s="1" t="str">
        <f t="shared" si="458"/>
        <v>قير MC250</v>
      </c>
      <c r="L1719" s="1">
        <v>100</v>
      </c>
      <c r="M1719" s="1" t="str">
        <f t="shared" si="448"/>
        <v>مخازن قير اصفهان</v>
      </c>
      <c r="N1719" s="1">
        <v>11096</v>
      </c>
      <c r="O1719" s="1">
        <v>50032648</v>
      </c>
      <c r="P1719" s="1" t="str">
        <f>"  شهرداري زنجان"</f>
        <v xml:space="preserve">  شهرداري زنجان</v>
      </c>
      <c r="Q1719" s="1">
        <v>11</v>
      </c>
      <c r="R1719" s="1" t="str">
        <f>"فروش داخلي تهران - بورس"</f>
        <v>فروش داخلي تهران - بورس</v>
      </c>
      <c r="S1719" s="1" t="str">
        <f t="shared" si="443"/>
        <v>قرارداد فروش</v>
      </c>
      <c r="T1719" s="1" t="str">
        <f t="shared" si="444"/>
        <v>ندارد</v>
      </c>
      <c r="U1719" s="1" t="str">
        <f>"هادي سيه رود(3863023)"</f>
        <v>هادي سيه رود(3863023)</v>
      </c>
      <c r="V1719" s="1">
        <v>951100147</v>
      </c>
      <c r="W1719" s="1">
        <v>951100147</v>
      </c>
      <c r="X1719" s="1" t="str">
        <f>"1395446074"</f>
        <v>1395446074</v>
      </c>
      <c r="Y1719" s="1" t="str">
        <f>"95/09/01"</f>
        <v>95/09/01</v>
      </c>
      <c r="Z1719" s="1" t="str">
        <f>"95/2/38100"</f>
        <v>95/2/38100</v>
      </c>
      <c r="AA1719" s="1" t="str">
        <f>"شهرداريها"</f>
        <v>شهرداريها</v>
      </c>
      <c r="AB1719" s="1" t="str">
        <f>"95/08/24"</f>
        <v>95/08/24</v>
      </c>
      <c r="AC1719" s="1" t="str">
        <f>"استان زنجان"</f>
        <v>استان زنجان</v>
      </c>
      <c r="AD1719" s="1" t="str">
        <f>"95/08/26"</f>
        <v>95/08/26</v>
      </c>
      <c r="AE1719" s="1" t="str">
        <f t="shared" si="454"/>
        <v>اختتام</v>
      </c>
      <c r="AF1719" s="1" t="str">
        <f>""</f>
        <v/>
      </c>
      <c r="AG1719" s="1" t="str">
        <f>""</f>
        <v/>
      </c>
      <c r="AH1719" s="1" t="str">
        <f>""</f>
        <v/>
      </c>
      <c r="AI1719" s="1" t="str">
        <f>""</f>
        <v/>
      </c>
      <c r="AJ1719" s="1" t="str">
        <f>""</f>
        <v/>
      </c>
      <c r="AK1719" s="1" t="str">
        <f>""</f>
        <v/>
      </c>
    </row>
    <row r="1720" spans="1:37" x14ac:dyDescent="0.2">
      <c r="A1720" s="1">
        <v>79000</v>
      </c>
      <c r="B1720" s="1">
        <v>956200014</v>
      </c>
      <c r="C1720" s="1" t="str">
        <f>"تخليه-ايرانشهر- روستاي شهردراز"</f>
        <v>تخليه-ايرانشهر- روستاي شهردراز</v>
      </c>
      <c r="D1720" s="1">
        <v>9860</v>
      </c>
      <c r="E1720" s="1">
        <v>77400</v>
      </c>
      <c r="F1720" s="1">
        <v>95</v>
      </c>
      <c r="G1720" s="1">
        <v>1600</v>
      </c>
      <c r="H1720" s="1" t="str">
        <f>"95/03/11"</f>
        <v>95/03/11</v>
      </c>
      <c r="I1720" s="1" t="str">
        <f t="shared" si="442"/>
        <v>كيلوگرم</v>
      </c>
      <c r="J1720" s="1" t="str">
        <f t="shared" si="457"/>
        <v>1000000003</v>
      </c>
      <c r="K1720" s="1" t="str">
        <f t="shared" si="458"/>
        <v>قير MC250</v>
      </c>
      <c r="L1720" s="1">
        <v>100</v>
      </c>
      <c r="M1720" s="1" t="str">
        <f t="shared" si="448"/>
        <v>مخازن قير اصفهان</v>
      </c>
      <c r="N1720" s="1">
        <v>11099</v>
      </c>
      <c r="O1720" s="1">
        <v>50030933</v>
      </c>
      <c r="P1720" s="1" t="str">
        <f>"  پل دژ فيدار"</f>
        <v xml:space="preserve">  پل دژ فيدار</v>
      </c>
      <c r="Q1720" s="1">
        <v>62</v>
      </c>
      <c r="R1720" s="1" t="str">
        <f>"فروش داخلي - سازمان بنيادمسكن انقلاب اسلامي"</f>
        <v>فروش داخلي - سازمان بنيادمسكن انقلاب اسلامي</v>
      </c>
      <c r="S1720" s="1" t="str">
        <f t="shared" si="443"/>
        <v>قرارداد فروش</v>
      </c>
      <c r="T1720" s="1" t="str">
        <f t="shared" si="444"/>
        <v>ندارد</v>
      </c>
      <c r="U1720" s="1" t="str">
        <f>"تاج سعيد هوشنگ (1031ج 89)"</f>
        <v>تاج سعيد هوشنگ (1031ج 89)</v>
      </c>
      <c r="V1720" s="1">
        <v>956200014</v>
      </c>
      <c r="W1720" s="1">
        <v>956200014</v>
      </c>
      <c r="X1720" s="1" t="str">
        <f>"1395406645"</f>
        <v>1395406645</v>
      </c>
      <c r="Y1720" s="1" t="str">
        <f>"95/03/11"</f>
        <v>95/03/11</v>
      </c>
      <c r="Z1720" s="1" t="str">
        <f>"9528/د"</f>
        <v>9528/د</v>
      </c>
      <c r="AA1720" s="1" t="str">
        <f>"بنيادمسكن انقلاب اسلامي"</f>
        <v>بنيادمسكن انقلاب اسلامي</v>
      </c>
      <c r="AB1720" s="1" t="str">
        <f>"95/03/10"</f>
        <v>95/03/10</v>
      </c>
      <c r="AC1720" s="1" t="str">
        <f>"استان سيستان بلوچستان"</f>
        <v>استان سيستان بلوچستان</v>
      </c>
      <c r="AD1720" s="1" t="str">
        <f>"95/03/11"</f>
        <v>95/03/11</v>
      </c>
      <c r="AE1720" s="1" t="str">
        <f t="shared" si="454"/>
        <v>اختتام</v>
      </c>
      <c r="AF1720" s="1" t="str">
        <f>""</f>
        <v/>
      </c>
      <c r="AG1720" s="1" t="str">
        <f>""</f>
        <v/>
      </c>
      <c r="AH1720" s="1" t="str">
        <f>""</f>
        <v/>
      </c>
      <c r="AI1720" s="1" t="str">
        <f>""</f>
        <v/>
      </c>
      <c r="AJ1720" s="1" t="str">
        <f>""</f>
        <v/>
      </c>
      <c r="AK1720" s="1" t="str">
        <f>""</f>
        <v/>
      </c>
    </row>
    <row r="1721" spans="1:37" x14ac:dyDescent="0.2">
      <c r="A1721" s="1">
        <v>15000</v>
      </c>
      <c r="B1721" s="1">
        <v>956200183</v>
      </c>
      <c r="C1721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721" s="1">
        <v>13027</v>
      </c>
      <c r="E1721" s="1">
        <v>15000</v>
      </c>
      <c r="F1721" s="1">
        <v>95</v>
      </c>
      <c r="G1721" s="1">
        <v>0</v>
      </c>
      <c r="H1721" s="1" t="str">
        <f>"95/11/05"</f>
        <v>95/11/05</v>
      </c>
      <c r="I1721" s="1" t="str">
        <f t="shared" si="442"/>
        <v>كيلوگرم</v>
      </c>
      <c r="J1721" s="1" t="str">
        <f t="shared" si="457"/>
        <v>1000000003</v>
      </c>
      <c r="K1721" s="1" t="str">
        <f t="shared" si="458"/>
        <v>قير MC250</v>
      </c>
      <c r="L1721" s="1">
        <v>100</v>
      </c>
      <c r="M1721" s="1" t="str">
        <f t="shared" si="448"/>
        <v>مخازن قير اصفهان</v>
      </c>
      <c r="N1721" s="1">
        <v>11236</v>
      </c>
      <c r="O1721" s="1">
        <v>50033542</v>
      </c>
      <c r="P1721" s="1" t="str">
        <f>"  ستايش گستر زنده رود"</f>
        <v xml:space="preserve">  ستايش گستر زنده رود</v>
      </c>
      <c r="Q1721" s="1">
        <v>62</v>
      </c>
      <c r="R1721" s="1" t="str">
        <f>"فروش داخلي - سازمان بنيادمسكن انقلاب اسلامي"</f>
        <v>فروش داخلي - سازمان بنيادمسكن انقلاب اسلامي</v>
      </c>
      <c r="S1721" s="1" t="str">
        <f t="shared" si="443"/>
        <v>قرارداد فروش</v>
      </c>
      <c r="T1721" s="1" t="str">
        <f t="shared" si="444"/>
        <v>ندارد</v>
      </c>
      <c r="U1721" s="1" t="str">
        <f>"قره باغي مجيد(1871065)"</f>
        <v>قره باغي مجيد(1871065)</v>
      </c>
      <c r="V1721" s="1">
        <v>956200183</v>
      </c>
      <c r="W1721" s="1">
        <v>956200183</v>
      </c>
      <c r="X1721" s="1" t="str">
        <f>"1395460607"</f>
        <v>1395460607</v>
      </c>
      <c r="Y1721" s="1" t="str">
        <f>"95/11/05"</f>
        <v>95/11/05</v>
      </c>
      <c r="Z1721" s="1" t="str">
        <f>"46357/د"</f>
        <v>46357/د</v>
      </c>
      <c r="AA1721" s="1" t="str">
        <f>"بنيادمسكن انقلاب اسلامي"</f>
        <v>بنيادمسكن انقلاب اسلامي</v>
      </c>
      <c r="AB1721" s="1" t="str">
        <f>"95/10/29"</f>
        <v>95/10/29</v>
      </c>
      <c r="AC1721" s="1" t="str">
        <f>"استان اصفهان"</f>
        <v>استان اصفهان</v>
      </c>
      <c r="AD1721" s="1" t="str">
        <f>"95/11/05"</f>
        <v>95/11/05</v>
      </c>
      <c r="AE1721" s="1" t="str">
        <f t="shared" si="454"/>
        <v>اختتام</v>
      </c>
      <c r="AF1721" s="1" t="str">
        <f>""</f>
        <v/>
      </c>
      <c r="AG1721" s="1" t="str">
        <f>""</f>
        <v/>
      </c>
      <c r="AH1721" s="1" t="str">
        <f>""</f>
        <v/>
      </c>
      <c r="AI1721" s="1" t="str">
        <f>""</f>
        <v/>
      </c>
      <c r="AJ1721" s="1" t="str">
        <f>""</f>
        <v/>
      </c>
      <c r="AK1721" s="1" t="str">
        <f>""</f>
        <v/>
      </c>
    </row>
    <row r="1722" spans="1:37" x14ac:dyDescent="0.2">
      <c r="A1722" s="1">
        <v>150000</v>
      </c>
      <c r="B1722" s="1">
        <v>951700304</v>
      </c>
      <c r="C1722" s="1" t="str">
        <f>"تخليه چهارمحال وبختياري پردنجان شركت احمديه چليچه"</f>
        <v>تخليه چهارمحال وبختياري پردنجان شركت احمديه چليچه</v>
      </c>
      <c r="D1722" s="1">
        <v>9061</v>
      </c>
      <c r="E1722" s="1">
        <v>0</v>
      </c>
      <c r="F1722" s="1">
        <v>95</v>
      </c>
      <c r="G1722" s="1">
        <v>150000</v>
      </c>
      <c r="H1722" s="1" t="str">
        <f>"95/10/22"</f>
        <v>95/10/22</v>
      </c>
      <c r="I1722" s="1" t="str">
        <f t="shared" si="442"/>
        <v>كيلوگرم</v>
      </c>
      <c r="J1722" s="1" t="str">
        <f>"0000000088"</f>
        <v>0000000088</v>
      </c>
      <c r="K1722" s="1" t="str">
        <f>"قير  PG58-22"</f>
        <v>قير  PG58-22</v>
      </c>
      <c r="L1722" s="1">
        <v>100</v>
      </c>
      <c r="M1722" s="1" t="str">
        <f t="shared" si="448"/>
        <v>مخازن قير اصفهان</v>
      </c>
      <c r="N1722" s="1">
        <v>7190</v>
      </c>
      <c r="O1722" s="1">
        <v>50033365</v>
      </c>
      <c r="P1722" s="1" t="str">
        <f>"  اداره كل راه و شهرسازي چهارمحال وبختياري"</f>
        <v xml:space="preserve">  اداره كل راه و شهرسازي چهارمحال وبختياري</v>
      </c>
      <c r="Q1722" s="1">
        <v>17</v>
      </c>
      <c r="R1722" s="1" t="str">
        <f>"فروش داخلي تهران - وزارت راه - راه روستايي - روکش"</f>
        <v>فروش داخلي تهران - وزارت راه - راه روستايي - روکش</v>
      </c>
      <c r="S1722" s="1" t="str">
        <f t="shared" si="443"/>
        <v>قرارداد فروش</v>
      </c>
      <c r="T1722" s="1" t="str">
        <f t="shared" si="444"/>
        <v>ندارد</v>
      </c>
      <c r="U1722" s="1" t="str">
        <f>"مظلوم فريبرز(1008ج89)"</f>
        <v>مظلوم فريبرز(1008ج89)</v>
      </c>
      <c r="V1722" s="1">
        <v>951700304</v>
      </c>
      <c r="W1722" s="1">
        <v>951700304</v>
      </c>
      <c r="X1722" s="1" t="str">
        <f>"1395457936"</f>
        <v>1395457936</v>
      </c>
      <c r="Y1722" s="1" t="str">
        <f>"95/10/22"</f>
        <v>95/10/22</v>
      </c>
      <c r="Z1722" s="1" t="str">
        <f>"51837/710"</f>
        <v>51837/710</v>
      </c>
      <c r="AA1722" s="1" t="str">
        <f>"راه روستائي -روكش"</f>
        <v>راه روستائي -روكش</v>
      </c>
      <c r="AB1722" s="1" t="str">
        <f>"95/10/20"</f>
        <v>95/10/20</v>
      </c>
      <c r="AC1722" s="1" t="str">
        <f>"استان چهارمحال بختياري"</f>
        <v>استان چهارمحال بختياري</v>
      </c>
      <c r="AD1722" s="1" t="str">
        <f>"95/10/22"</f>
        <v>95/10/22</v>
      </c>
      <c r="AE1722" s="1" t="str">
        <f t="shared" si="454"/>
        <v>اختتام</v>
      </c>
      <c r="AF1722" s="1" t="str">
        <f>""</f>
        <v/>
      </c>
      <c r="AG1722" s="1" t="str">
        <f>""</f>
        <v/>
      </c>
      <c r="AH1722" s="1" t="str">
        <f>""</f>
        <v/>
      </c>
      <c r="AI1722" s="1" t="str">
        <f>""</f>
        <v/>
      </c>
      <c r="AJ1722" s="1" t="str">
        <f>""</f>
        <v/>
      </c>
      <c r="AK1722" s="1" t="str">
        <f>""</f>
        <v/>
      </c>
    </row>
    <row r="1723" spans="1:37" x14ac:dyDescent="0.2">
      <c r="A1723" s="1">
        <v>1000000</v>
      </c>
      <c r="B1723" s="1">
        <v>951800103</v>
      </c>
      <c r="C1723" s="1" t="str">
        <f>"تخليه چهارمحال وبختياري -سفيددشت كارگاه بهارديمه"</f>
        <v>تخليه چهارمحال وبختياري -سفيددشت كارگاه بهارديمه</v>
      </c>
      <c r="D1723" s="1">
        <v>7276</v>
      </c>
      <c r="E1723" s="1">
        <v>0</v>
      </c>
      <c r="F1723" s="1">
        <v>95</v>
      </c>
      <c r="G1723" s="1">
        <v>1000000</v>
      </c>
      <c r="H1723" s="1" t="str">
        <f>"95/09/23"</f>
        <v>95/09/23</v>
      </c>
      <c r="I1723" s="1" t="str">
        <f t="shared" si="442"/>
        <v>كيلوگرم</v>
      </c>
      <c r="J1723" s="1" t="str">
        <f>"0000000088"</f>
        <v>0000000088</v>
      </c>
      <c r="K1723" s="1" t="str">
        <f>"قير  PG58-22"</f>
        <v>قير  PG58-22</v>
      </c>
      <c r="L1723" s="1">
        <v>100</v>
      </c>
      <c r="M1723" s="1" t="str">
        <f t="shared" si="448"/>
        <v>مخازن قير اصفهان</v>
      </c>
      <c r="N1723" s="1">
        <v>11110</v>
      </c>
      <c r="O1723" s="1">
        <v>50033007</v>
      </c>
      <c r="P1723" s="1" t="str">
        <f>"  بهارديمه"</f>
        <v xml:space="preserve">  بهارديمه</v>
      </c>
      <c r="Q1723" s="1">
        <v>18</v>
      </c>
      <c r="R1723" s="1" t="str">
        <f>"فروش داخلي تهران - وزارت راه - شرکت ساخت و توسعه راهها"</f>
        <v>فروش داخلي تهران - وزارت راه - شرکت ساخت و توسعه راهها</v>
      </c>
      <c r="S1723" s="1" t="str">
        <f t="shared" si="443"/>
        <v>قرارداد فروش</v>
      </c>
      <c r="T1723" s="1" t="str">
        <f t="shared" si="444"/>
        <v>ندارد</v>
      </c>
      <c r="U1723" s="1" t="str">
        <f>"غلام نجفي سيامك‌‌‌‌‌‌(1881082)"</f>
        <v>غلام نجفي سيامك‌‌‌‌‌‌(1881082)</v>
      </c>
      <c r="V1723" s="1">
        <v>951800103</v>
      </c>
      <c r="W1723" s="1">
        <v>951800103</v>
      </c>
      <c r="X1723" s="1" t="str">
        <f>"1395451390"</f>
        <v>1395451390</v>
      </c>
      <c r="Y1723" s="1" t="str">
        <f>"95/09/22"</f>
        <v>95/09/22</v>
      </c>
      <c r="Z1723" s="1" t="str">
        <f>"42042/710"</f>
        <v>42042/710</v>
      </c>
      <c r="AA1723" s="1" t="str">
        <f>"شركت  ساخت وتوسعه راهها"</f>
        <v>شركت  ساخت وتوسعه راهها</v>
      </c>
      <c r="AB1723" s="1" t="str">
        <f>"95/08/29"</f>
        <v>95/08/29</v>
      </c>
      <c r="AC1723" s="1" t="str">
        <f>"استان چهارمحال بختياري"</f>
        <v>استان چهارمحال بختياري</v>
      </c>
      <c r="AD1723" s="1" t="str">
        <f>"95/09/22"</f>
        <v>95/09/22</v>
      </c>
      <c r="AE1723" s="1" t="str">
        <f t="shared" si="454"/>
        <v>اختتام</v>
      </c>
      <c r="AF1723" s="1" t="str">
        <f>""</f>
        <v/>
      </c>
      <c r="AG1723" s="1" t="str">
        <f>""</f>
        <v/>
      </c>
      <c r="AH1723" s="1" t="str">
        <f>""</f>
        <v/>
      </c>
      <c r="AI1723" s="1" t="str">
        <f>""</f>
        <v/>
      </c>
      <c r="AJ1723" s="1" t="str">
        <f>""</f>
        <v/>
      </c>
      <c r="AK1723" s="1" t="str">
        <f>""</f>
        <v/>
      </c>
    </row>
    <row r="1724" spans="1:37" x14ac:dyDescent="0.2">
      <c r="A1724" s="1">
        <v>175000</v>
      </c>
      <c r="B1724" s="1">
        <v>951400117</v>
      </c>
      <c r="C1724" s="1" t="str">
        <f>"تخليه -خراسان جنوبي -بيرجند-كارخانه آسفالت شماره 2"</f>
        <v>تخليه -خراسان جنوبي -بيرجند-كارخانه آسفالت شماره 2</v>
      </c>
      <c r="D1724" s="1">
        <v>9061</v>
      </c>
      <c r="E1724" s="1">
        <v>0</v>
      </c>
      <c r="F1724" s="1">
        <v>95</v>
      </c>
      <c r="G1724" s="1">
        <v>175000</v>
      </c>
      <c r="H1724" s="1" t="str">
        <f>"95/10/13"</f>
        <v>95/10/13</v>
      </c>
      <c r="I1724" s="1" t="str">
        <f t="shared" si="442"/>
        <v>كيلوگرم</v>
      </c>
      <c r="J1724" s="1" t="str">
        <f>"0000000091"</f>
        <v>0000000091</v>
      </c>
      <c r="K1724" s="1" t="str">
        <f>"قير  PG64-22"</f>
        <v>قير  PG64-22</v>
      </c>
      <c r="L1724" s="1">
        <v>100</v>
      </c>
      <c r="M1724" s="1" t="str">
        <f t="shared" si="448"/>
        <v>مخازن قير اصفهان</v>
      </c>
      <c r="N1724" s="1">
        <v>4012</v>
      </c>
      <c r="O1724" s="1">
        <v>50033275</v>
      </c>
      <c r="P1724" s="1" t="str">
        <f>"  اداره كل راه و شهرسازي خراسان جنوبي"</f>
        <v xml:space="preserve">  اداره كل راه و شهرسازي خراسان جنوبي</v>
      </c>
      <c r="Q1724" s="1">
        <v>14</v>
      </c>
      <c r="R1724" s="1" t="str">
        <f>"فروش داخلي - وزارت راه - حوزه راه روستايي ساخت"</f>
        <v>فروش داخلي - وزارت راه - حوزه راه روستايي ساخت</v>
      </c>
      <c r="S1724" s="1" t="str">
        <f t="shared" si="443"/>
        <v>قرارداد فروش</v>
      </c>
      <c r="T1724" s="1" t="str">
        <f t="shared" si="444"/>
        <v>ندارد</v>
      </c>
      <c r="U1724" s="1" t="str">
        <f>"بابامحمدي عنايت اله(4844000)"</f>
        <v>بابامحمدي عنايت اله(4844000)</v>
      </c>
      <c r="V1724" s="1">
        <v>951400117</v>
      </c>
      <c r="W1724" s="1">
        <v>951400117</v>
      </c>
      <c r="X1724" s="1" t="str">
        <f>"1395456363"</f>
        <v>1395456363</v>
      </c>
      <c r="Y1724" s="1" t="str">
        <f>"95/10/13"</f>
        <v>95/10/13</v>
      </c>
      <c r="Z1724" s="1" t="str">
        <f>"49480/710"</f>
        <v>49480/710</v>
      </c>
      <c r="AA1724" s="1" t="str">
        <f>"راه وروستايي -ساخت"</f>
        <v>راه وروستايي -ساخت</v>
      </c>
      <c r="AB1724" s="1" t="str">
        <f>"95/10/08"</f>
        <v>95/10/08</v>
      </c>
      <c r="AC1724" s="1" t="str">
        <f>"خراسان جنوبي"</f>
        <v>خراسان جنوبي</v>
      </c>
      <c r="AD1724" s="1" t="str">
        <f>"95/10/13"</f>
        <v>95/10/13</v>
      </c>
      <c r="AE1724" s="1" t="str">
        <f t="shared" si="454"/>
        <v>اختتام</v>
      </c>
      <c r="AF1724" s="1" t="str">
        <f>""</f>
        <v/>
      </c>
      <c r="AG1724" s="1" t="str">
        <f>""</f>
        <v/>
      </c>
      <c r="AH1724" s="1" t="str">
        <f>""</f>
        <v/>
      </c>
      <c r="AI1724" s="1" t="str">
        <f>""</f>
        <v/>
      </c>
      <c r="AJ1724" s="1" t="str">
        <f>""</f>
        <v/>
      </c>
      <c r="AK1724" s="1" t="str">
        <f>""</f>
        <v/>
      </c>
    </row>
    <row r="1725" spans="1:37" x14ac:dyDescent="0.2">
      <c r="A1725" s="1">
        <v>500000</v>
      </c>
      <c r="B1725" s="1">
        <v>951700235</v>
      </c>
      <c r="C1725" s="1" t="str">
        <f>"تخليه كرمان باغين پشت كارخانه سيمان شركت كرمان فراراه"</f>
        <v>تخليه كرمان باغين پشت كارخانه سيمان شركت كرمان فراراه</v>
      </c>
      <c r="D1725" s="1">
        <v>7276</v>
      </c>
      <c r="E1725" s="1">
        <v>0</v>
      </c>
      <c r="F1725" s="1">
        <v>95</v>
      </c>
      <c r="G1725" s="1">
        <v>500000</v>
      </c>
      <c r="H1725" s="1" t="str">
        <f>"95/07/13"</f>
        <v>95/07/13</v>
      </c>
      <c r="I1725" s="1" t="str">
        <f t="shared" si="442"/>
        <v>كيلوگرم</v>
      </c>
      <c r="J1725" s="1" t="str">
        <f>"0000000091"</f>
        <v>0000000091</v>
      </c>
      <c r="K1725" s="1" t="str">
        <f>"قير  PG64-22"</f>
        <v>قير  PG64-22</v>
      </c>
      <c r="L1725" s="1">
        <v>100</v>
      </c>
      <c r="M1725" s="1" t="str">
        <f t="shared" si="448"/>
        <v>مخازن قير اصفهان</v>
      </c>
      <c r="N1725" s="1">
        <v>7034</v>
      </c>
      <c r="O1725" s="1">
        <v>50032088</v>
      </c>
      <c r="P1725" s="1" t="str">
        <f>"  اداره كل راه وشهرسازي كرمان"</f>
        <v xml:space="preserve">  اداره كل راه وشهرسازي كرمان</v>
      </c>
      <c r="Q1725" s="1">
        <v>17</v>
      </c>
      <c r="R1725" s="1" t="str">
        <f>"فروش داخلي تهران - وزارت راه - راه روستايي - روکش"</f>
        <v>فروش داخلي تهران - وزارت راه - راه روستايي - روکش</v>
      </c>
      <c r="S1725" s="1" t="str">
        <f t="shared" si="443"/>
        <v>قرارداد فروش</v>
      </c>
      <c r="T1725" s="1" t="str">
        <f t="shared" si="444"/>
        <v>ندارد</v>
      </c>
      <c r="U1725" s="1" t="str">
        <f>"ميرحسيني سيناترابر سيدمحمد(4854031)"</f>
        <v>ميرحسيني سيناترابر سيدمحمد(4854031)</v>
      </c>
      <c r="V1725" s="1">
        <v>951700235</v>
      </c>
      <c r="W1725" s="1">
        <v>951700235</v>
      </c>
      <c r="X1725" s="1" t="str">
        <f>"1395435600"</f>
        <v>1395435600</v>
      </c>
      <c r="Y1725" s="1" t="str">
        <f>"95/07/13"</f>
        <v>95/07/13</v>
      </c>
      <c r="Z1725" s="1" t="str">
        <f>"32935/510"</f>
        <v>32935/510</v>
      </c>
      <c r="AA1725" s="1" t="str">
        <f>"راه روستائي -روكش"</f>
        <v>راه روستائي -روكش</v>
      </c>
      <c r="AB1725" s="1" t="str">
        <f>"95/07/11"</f>
        <v>95/07/11</v>
      </c>
      <c r="AC1725" s="1" t="str">
        <f>"استان كرمان"</f>
        <v>استان كرمان</v>
      </c>
      <c r="AD1725" s="1" t="str">
        <f>"95/07/13"</f>
        <v>95/07/13</v>
      </c>
      <c r="AE1725" s="1" t="str">
        <f t="shared" si="454"/>
        <v>اختتام</v>
      </c>
      <c r="AF1725" s="1" t="str">
        <f>""</f>
        <v/>
      </c>
      <c r="AG1725" s="1" t="str">
        <f>""</f>
        <v/>
      </c>
      <c r="AH1725" s="1" t="str">
        <f>""</f>
        <v/>
      </c>
      <c r="AI1725" s="1" t="str">
        <f>""</f>
        <v/>
      </c>
      <c r="AJ1725" s="1" t="str">
        <f>""</f>
        <v/>
      </c>
      <c r="AK1725" s="1" t="str">
        <f>""</f>
        <v/>
      </c>
    </row>
    <row r="1726" spans="1:37" x14ac:dyDescent="0.2">
      <c r="A1726" s="1">
        <v>1000000</v>
      </c>
      <c r="B1726" s="1">
        <v>951900223</v>
      </c>
      <c r="C1726" s="1" t="str">
        <f>"تخليه يزدكمربندي يزدبعدازپادگان شهيدصدوقي شركت تعاوني موحدين آسفالت"</f>
        <v>تخليه يزدكمربندي يزدبعدازپادگان شهيدصدوقي شركت تعاوني موحدين آسفالت</v>
      </c>
      <c r="D1726" s="1">
        <v>9061</v>
      </c>
      <c r="E1726" s="1">
        <v>0</v>
      </c>
      <c r="F1726" s="1">
        <v>95</v>
      </c>
      <c r="G1726" s="1">
        <v>1000000</v>
      </c>
      <c r="H1726" s="1" t="str">
        <f>"95/10/02"</f>
        <v>95/10/02</v>
      </c>
      <c r="I1726" s="1" t="str">
        <f t="shared" si="442"/>
        <v>كيلوگرم</v>
      </c>
      <c r="J1726" s="1" t="str">
        <f>"0000000091"</f>
        <v>0000000091</v>
      </c>
      <c r="K1726" s="1" t="str">
        <f>"قير  PG64-22"</f>
        <v>قير  PG64-22</v>
      </c>
      <c r="L1726" s="1">
        <v>100</v>
      </c>
      <c r="M1726" s="1" t="str">
        <f t="shared" si="448"/>
        <v>مخازن قير اصفهان</v>
      </c>
      <c r="N1726" s="1">
        <v>11130</v>
      </c>
      <c r="O1726" s="1">
        <v>50033114</v>
      </c>
      <c r="P1726" s="1" t="str">
        <f>"  داريون راه بنا"</f>
        <v xml:space="preserve">  داريون راه بنا</v>
      </c>
      <c r="Q1726" s="1">
        <v>19</v>
      </c>
      <c r="R17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26" s="1" t="str">
        <f t="shared" si="443"/>
        <v>قرارداد فروش</v>
      </c>
      <c r="T1726" s="1" t="str">
        <f t="shared" si="444"/>
        <v>ندارد</v>
      </c>
      <c r="U1726" s="1" t="str">
        <f>"قانعي محمدرضا(1011ج89)"</f>
        <v>قانعي محمدرضا(1011ج89)</v>
      </c>
      <c r="V1726" s="1">
        <v>951900223</v>
      </c>
      <c r="W1726" s="1">
        <v>951900223</v>
      </c>
      <c r="X1726" s="1" t="str">
        <f>"1395447619"</f>
        <v>1395447619</v>
      </c>
      <c r="Y1726" s="1" t="str">
        <f>"95/10/02"</f>
        <v>95/10/02</v>
      </c>
      <c r="Z1726" s="1" t="str">
        <f>"42079/710"</f>
        <v>42079/710</v>
      </c>
      <c r="AA1726" s="1" t="str">
        <f>"سازمان راهداري وحمل نقل جاده اي"</f>
        <v>سازمان راهداري وحمل نقل جاده اي</v>
      </c>
      <c r="AB1726" s="1" t="str">
        <f>"95/08/29"</f>
        <v>95/08/29</v>
      </c>
      <c r="AC1726" s="1" t="str">
        <f>"استان يزد"</f>
        <v>استان يزد</v>
      </c>
      <c r="AD1726" s="1" t="str">
        <f>"95/09/06"</f>
        <v>95/09/06</v>
      </c>
      <c r="AE1726" s="1" t="str">
        <f t="shared" si="454"/>
        <v>اختتام</v>
      </c>
      <c r="AF1726" s="1" t="str">
        <f>""</f>
        <v/>
      </c>
      <c r="AG1726" s="1" t="str">
        <f>""</f>
        <v/>
      </c>
      <c r="AH1726" s="1" t="str">
        <f>""</f>
        <v/>
      </c>
      <c r="AI1726" s="1" t="str">
        <f>""</f>
        <v/>
      </c>
      <c r="AJ1726" s="1" t="str">
        <f>""</f>
        <v/>
      </c>
      <c r="AK1726" s="1" t="str">
        <f>""</f>
        <v/>
      </c>
    </row>
    <row r="1727" spans="1:37" x14ac:dyDescent="0.2">
      <c r="A1727" s="1">
        <v>150000</v>
      </c>
      <c r="B1727" s="1">
        <v>951400050</v>
      </c>
      <c r="C1727" s="1" t="str">
        <f>"تخليه - کهگيلويه-چرام-کارخانه آسفالت شهرداري"</f>
        <v>تخليه - کهگيلويه-چرام-کارخانه آسفالت شهرداري</v>
      </c>
      <c r="D1727" s="1">
        <v>6726</v>
      </c>
      <c r="E1727" s="1">
        <v>0</v>
      </c>
      <c r="F1727" s="1">
        <v>95</v>
      </c>
      <c r="G1727" s="1">
        <v>150000</v>
      </c>
      <c r="H1727" s="1" t="str">
        <f>"95/05/06"</f>
        <v>95/05/06</v>
      </c>
      <c r="I1727" s="1" t="str">
        <f t="shared" si="442"/>
        <v>كيلوگرم</v>
      </c>
      <c r="J1727" s="1" t="str">
        <f>"0000000091"</f>
        <v>0000000091</v>
      </c>
      <c r="K1727" s="1" t="str">
        <f>"قير  PG64-22"</f>
        <v>قير  PG64-22</v>
      </c>
      <c r="L1727" s="1">
        <v>100</v>
      </c>
      <c r="M1727" s="1" t="str">
        <f t="shared" si="448"/>
        <v>مخازن قير اصفهان</v>
      </c>
      <c r="N1727" s="1">
        <v>11143</v>
      </c>
      <c r="O1727" s="1">
        <v>50031389</v>
      </c>
      <c r="P1727" s="1" t="str">
        <f>"  تعاوني 2270فراگستر جنوب"</f>
        <v xml:space="preserve">  تعاوني 2270فراگستر جنوب</v>
      </c>
      <c r="Q1727" s="1">
        <v>14</v>
      </c>
      <c r="R1727" s="1" t="str">
        <f>"فروش داخلي - وزارت راه - حوزه راه روستايي ساخت"</f>
        <v>فروش داخلي - وزارت راه - حوزه راه روستايي ساخت</v>
      </c>
      <c r="S1727" s="1" t="str">
        <f t="shared" si="443"/>
        <v>قرارداد فروش</v>
      </c>
      <c r="T1727" s="1" t="str">
        <f t="shared" si="444"/>
        <v>ندارد</v>
      </c>
      <c r="U1727" s="1" t="str">
        <f>"غلام نجفي سيامك‌‌‌‌‌‌(1881082)"</f>
        <v>غلام نجفي سيامك‌‌‌‌‌‌(1881082)</v>
      </c>
      <c r="V1727" s="1">
        <v>951400050</v>
      </c>
      <c r="W1727" s="1">
        <v>951400050</v>
      </c>
      <c r="X1727" s="1" t="str">
        <f>"1395419175"</f>
        <v>1395419175</v>
      </c>
      <c r="Y1727" s="1" t="str">
        <f>"95/05/06"</f>
        <v>95/05/06</v>
      </c>
      <c r="Z1727" s="1" t="str">
        <f>"18729/510"</f>
        <v>18729/510</v>
      </c>
      <c r="AA1727" s="1" t="str">
        <f>"شركت  ساخت وتوسعه راهها"</f>
        <v>شركت  ساخت وتوسعه راهها</v>
      </c>
      <c r="AB1727" s="1" t="str">
        <f>"95/04/29"</f>
        <v>95/04/29</v>
      </c>
      <c r="AC1727" s="1" t="str">
        <f>"كهكيلويه و بوير احمد"</f>
        <v>كهكيلويه و بوير احمد</v>
      </c>
      <c r="AD1727" s="1" t="str">
        <f>"95/05/06"</f>
        <v>95/05/06</v>
      </c>
      <c r="AE1727" s="1" t="str">
        <f t="shared" si="454"/>
        <v>اختتام</v>
      </c>
      <c r="AF1727" s="1" t="str">
        <f>""</f>
        <v/>
      </c>
      <c r="AG1727" s="1" t="str">
        <f>""</f>
        <v/>
      </c>
      <c r="AH1727" s="1" t="str">
        <f>""</f>
        <v/>
      </c>
      <c r="AI1727" s="1" t="str">
        <f>""</f>
        <v/>
      </c>
      <c r="AJ1727" s="1" t="str">
        <f>""</f>
        <v/>
      </c>
      <c r="AK1727" s="1" t="str">
        <f>""</f>
        <v/>
      </c>
    </row>
    <row r="1728" spans="1:37" x14ac:dyDescent="0.2">
      <c r="A1728" s="1">
        <v>220000</v>
      </c>
      <c r="B1728" s="1">
        <v>951400122</v>
      </c>
      <c r="C1728" s="1" t="str">
        <f>"تخليه خراسان جنوبي بيرجندكيلومتر5جاده خوسف جنب كارخانه كويرتايركارخانه آسفالت كريم پور"</f>
        <v>تخليه خراسان جنوبي بيرجندكيلومتر5جاده خوسف جنب كارخانه كويرتايركارخانه آسفالت كريم پور</v>
      </c>
      <c r="D1728" s="1">
        <v>9061</v>
      </c>
      <c r="E1728" s="1">
        <v>0</v>
      </c>
      <c r="F1728" s="1">
        <v>95</v>
      </c>
      <c r="G1728" s="1">
        <v>220000</v>
      </c>
      <c r="H1728" s="1" t="str">
        <f>"95/10/14"</f>
        <v>95/10/14</v>
      </c>
      <c r="I1728" s="1" t="str">
        <f t="shared" si="442"/>
        <v>كيلوگرم</v>
      </c>
      <c r="J1728" s="1" t="str">
        <f>"0000000091"</f>
        <v>0000000091</v>
      </c>
      <c r="K1728" s="1" t="str">
        <f>"قير  PG64-22"</f>
        <v>قير  PG64-22</v>
      </c>
      <c r="L1728" s="1">
        <v>100</v>
      </c>
      <c r="M1728" s="1" t="str">
        <f t="shared" si="448"/>
        <v>مخازن قير اصفهان</v>
      </c>
      <c r="N1728" s="1">
        <v>11230</v>
      </c>
      <c r="O1728" s="1">
        <v>50033290</v>
      </c>
      <c r="P1728" s="1" t="str">
        <f>"  ساختماني وراهسازي كيهان سازه قهستان"</f>
        <v xml:space="preserve">  ساختماني وراهسازي كيهان سازه قهستان</v>
      </c>
      <c r="Q1728" s="1">
        <v>14</v>
      </c>
      <c r="R1728" s="1" t="str">
        <f>"فروش داخلي - وزارت راه - حوزه راه روستايي ساخت"</f>
        <v>فروش داخلي - وزارت راه - حوزه راه روستايي ساخت</v>
      </c>
      <c r="S1728" s="1" t="str">
        <f t="shared" si="443"/>
        <v>قرارداد فروش</v>
      </c>
      <c r="T1728" s="1" t="str">
        <f t="shared" si="444"/>
        <v>ندارد</v>
      </c>
      <c r="U1728" s="1" t="str">
        <f>"بابامحمدي عنايت اله(4844000)"</f>
        <v>بابامحمدي عنايت اله(4844000)</v>
      </c>
      <c r="V1728" s="1">
        <v>951400122</v>
      </c>
      <c r="W1728" s="1">
        <v>951400122</v>
      </c>
      <c r="X1728" s="1" t="str">
        <f>"1395456603"</f>
        <v>1395456603</v>
      </c>
      <c r="Y1728" s="1" t="str">
        <f>"95/10/14"</f>
        <v>95/10/14</v>
      </c>
      <c r="Z1728" s="1" t="str">
        <f>"49203/710"</f>
        <v>49203/710</v>
      </c>
      <c r="AA1728" s="1" t="str">
        <f>"راه وروستايي -ساخت"</f>
        <v>راه وروستايي -ساخت</v>
      </c>
      <c r="AB1728" s="1" t="str">
        <f>"95/10/07"</f>
        <v>95/10/07</v>
      </c>
      <c r="AC1728" s="1" t="str">
        <f>"خراسان جنوبي"</f>
        <v>خراسان جنوبي</v>
      </c>
      <c r="AD1728" s="1" t="str">
        <f>"95/10/14"</f>
        <v>95/10/14</v>
      </c>
      <c r="AE1728" s="1" t="str">
        <f t="shared" si="454"/>
        <v>اختتام</v>
      </c>
      <c r="AF1728" s="1" t="str">
        <f>""</f>
        <v/>
      </c>
      <c r="AG1728" s="1" t="str">
        <f>""</f>
        <v/>
      </c>
      <c r="AH1728" s="1" t="str">
        <f>""</f>
        <v/>
      </c>
      <c r="AI1728" s="1" t="str">
        <f>""</f>
        <v/>
      </c>
      <c r="AJ1728" s="1" t="str">
        <f>""</f>
        <v/>
      </c>
      <c r="AK1728" s="1" t="str">
        <f>""</f>
        <v/>
      </c>
    </row>
    <row r="1729" spans="1:37" x14ac:dyDescent="0.2">
      <c r="A1729" s="1">
        <v>1000000</v>
      </c>
      <c r="B1729" s="1">
        <v>951700237</v>
      </c>
      <c r="C1729" s="1" t="str">
        <f>"تخليه فارس نيريزكارخانه سيويل تونل"</f>
        <v>تخليه فارس نيريزكارخانه سيويل تونل</v>
      </c>
      <c r="D1729" s="1">
        <v>7276</v>
      </c>
      <c r="E1729" s="1">
        <v>0</v>
      </c>
      <c r="F1729" s="1">
        <v>95</v>
      </c>
      <c r="G1729" s="1">
        <v>1000000</v>
      </c>
      <c r="H1729" s="1" t="str">
        <f>"95/07/17"</f>
        <v>95/07/17</v>
      </c>
      <c r="I1729" s="1" t="str">
        <f t="shared" si="442"/>
        <v>كيلوگرم</v>
      </c>
      <c r="J1729" s="1" t="str">
        <f>"0000000092"</f>
        <v>0000000092</v>
      </c>
      <c r="K1729" s="1" t="str">
        <f>"قير  PG64-16"</f>
        <v>قير  PG64-16</v>
      </c>
      <c r="L1729" s="1">
        <v>100</v>
      </c>
      <c r="M1729" s="1" t="str">
        <f t="shared" si="448"/>
        <v>مخازن قير اصفهان</v>
      </c>
      <c r="N1729" s="1">
        <v>4133</v>
      </c>
      <c r="O1729" s="1">
        <v>50032120</v>
      </c>
      <c r="P1729" s="1" t="str">
        <f>"  اداره كل راه وشهرسازي فارس"</f>
        <v xml:space="preserve">  اداره كل راه وشهرسازي فارس</v>
      </c>
      <c r="Q1729" s="1">
        <v>17</v>
      </c>
      <c r="R1729" s="1" t="str">
        <f>"فروش داخلي تهران - وزارت راه - راه روستايي - روکش"</f>
        <v>فروش داخلي تهران - وزارت راه - راه روستايي - روکش</v>
      </c>
      <c r="S1729" s="1" t="str">
        <f t="shared" si="443"/>
        <v>قرارداد فروش</v>
      </c>
      <c r="T1729" s="1" t="str">
        <f t="shared" si="444"/>
        <v>ندارد</v>
      </c>
      <c r="U1729" s="1" t="str">
        <f>"دهقانيان بهرام(4844012)"</f>
        <v>دهقانيان بهرام(4844012)</v>
      </c>
      <c r="V1729" s="1">
        <v>951700237</v>
      </c>
      <c r="W1729" s="1">
        <v>951700237</v>
      </c>
      <c r="X1729" s="1" t="str">
        <f>"1395436742"</f>
        <v>1395436742</v>
      </c>
      <c r="Y1729" s="1" t="str">
        <f>"95/07/17"</f>
        <v>95/07/17</v>
      </c>
      <c r="Z1729" s="1" t="str">
        <f>"33980/510"</f>
        <v>33980/510</v>
      </c>
      <c r="AA1729" s="1" t="str">
        <f>"راه روستائي -روكش"</f>
        <v>راه روستائي -روكش</v>
      </c>
      <c r="AB1729" s="1" t="str">
        <f>"95/07/14"</f>
        <v>95/07/14</v>
      </c>
      <c r="AC1729" s="1" t="str">
        <f>"استان فارس"</f>
        <v>استان فارس</v>
      </c>
      <c r="AD1729" s="1" t="str">
        <f>"95/07/17"</f>
        <v>95/07/17</v>
      </c>
      <c r="AE1729" s="1" t="str">
        <f t="shared" si="454"/>
        <v>اختتام</v>
      </c>
      <c r="AF1729" s="1" t="str">
        <f>""</f>
        <v/>
      </c>
      <c r="AG1729" s="1" t="str">
        <f>""</f>
        <v/>
      </c>
      <c r="AH1729" s="1" t="str">
        <f>""</f>
        <v/>
      </c>
      <c r="AI1729" s="1" t="str">
        <f>""</f>
        <v/>
      </c>
      <c r="AJ1729" s="1" t="str">
        <f>""</f>
        <v/>
      </c>
      <c r="AK1729" s="1" t="str">
        <f>""</f>
        <v/>
      </c>
    </row>
    <row r="1730" spans="1:37" x14ac:dyDescent="0.2">
      <c r="A1730" s="1">
        <v>178000</v>
      </c>
      <c r="B1730" s="1">
        <v>951400109</v>
      </c>
      <c r="C1730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730" s="1">
        <v>9061</v>
      </c>
      <c r="E1730" s="1">
        <v>0</v>
      </c>
      <c r="F1730" s="1">
        <v>95</v>
      </c>
      <c r="G1730" s="1">
        <v>178000</v>
      </c>
      <c r="H1730" s="1" t="str">
        <f>"95/10/13"</f>
        <v>95/10/13</v>
      </c>
      <c r="I1730" s="1" t="str">
        <f t="shared" ref="I1730:I1793" si="459">"كيلوگرم"</f>
        <v>كيلوگرم</v>
      </c>
      <c r="J1730" s="1" t="str">
        <f>"0000000092"</f>
        <v>0000000092</v>
      </c>
      <c r="K1730" s="1" t="str">
        <f>"قير  PG64-16"</f>
        <v>قير  PG64-16</v>
      </c>
      <c r="L1730" s="1">
        <v>100</v>
      </c>
      <c r="M1730" s="1" t="str">
        <f t="shared" si="448"/>
        <v>مخازن قير اصفهان</v>
      </c>
      <c r="N1730" s="1">
        <v>10717</v>
      </c>
      <c r="O1730" s="1">
        <v>50033253</v>
      </c>
      <c r="P1730" s="1" t="str">
        <f>"  تعاوني نگين صحت جيرفت"</f>
        <v xml:space="preserve">  تعاوني نگين صحت جيرفت</v>
      </c>
      <c r="Q1730" s="1">
        <v>14</v>
      </c>
      <c r="R1730" s="1" t="str">
        <f>"فروش داخلي - وزارت راه - حوزه راه روستايي ساخت"</f>
        <v>فروش داخلي - وزارت راه - حوزه راه روستايي ساخت</v>
      </c>
      <c r="S1730" s="1" t="str">
        <f t="shared" ref="S1730:S1793" si="460">"قرارداد فروش"</f>
        <v>قرارداد فروش</v>
      </c>
      <c r="T1730" s="1" t="str">
        <f t="shared" ref="T1730:T1793" si="461">"ندارد"</f>
        <v>ندارد</v>
      </c>
      <c r="U1730" s="1" t="str">
        <f>"دشت بشي پودنگ وبرادران رضا(4844014)"</f>
        <v>دشت بشي پودنگ وبرادران رضا(4844014)</v>
      </c>
      <c r="V1730" s="1">
        <v>951400109</v>
      </c>
      <c r="W1730" s="1">
        <v>951400109</v>
      </c>
      <c r="X1730" s="1" t="str">
        <f>"1395456109"</f>
        <v>1395456109</v>
      </c>
      <c r="Y1730" s="1" t="str">
        <f>"95/10/12"</f>
        <v>95/10/12</v>
      </c>
      <c r="Z1730" s="1" t="str">
        <f>"47057/710"</f>
        <v>47057/710</v>
      </c>
      <c r="AA1730" s="1" t="str">
        <f>"راه وروستايي -ساخت"</f>
        <v>راه وروستايي -ساخت</v>
      </c>
      <c r="AB1730" s="1" t="str">
        <f>"95/09/28"</f>
        <v>95/09/28</v>
      </c>
      <c r="AC1730" s="1" t="str">
        <f>"جنوب کرمان"</f>
        <v>جنوب کرمان</v>
      </c>
      <c r="AD1730" s="1" t="str">
        <f>"95/10/11"</f>
        <v>95/10/11</v>
      </c>
      <c r="AE1730" s="1" t="str">
        <f t="shared" si="454"/>
        <v>اختتام</v>
      </c>
      <c r="AF1730" s="1" t="str">
        <f>""</f>
        <v/>
      </c>
      <c r="AG1730" s="1" t="str">
        <f>""</f>
        <v/>
      </c>
      <c r="AH1730" s="1" t="str">
        <f>""</f>
        <v/>
      </c>
      <c r="AI1730" s="1" t="str">
        <f>""</f>
        <v/>
      </c>
      <c r="AJ1730" s="1" t="str">
        <f>""</f>
        <v/>
      </c>
      <c r="AK1730" s="1" t="str">
        <f>""</f>
        <v/>
      </c>
    </row>
    <row r="1731" spans="1:37" x14ac:dyDescent="0.2">
      <c r="A1731" s="1">
        <v>200000</v>
      </c>
      <c r="B1731" s="1">
        <v>951900113</v>
      </c>
      <c r="C1731" s="1" t="str">
        <f>"تخليه -سمنان -ميامي جنب نيروگاه برق كارگاه مركزي شركت راهسازان كويرشاهرود"</f>
        <v>تخليه -سمنان -ميامي جنب نيروگاه برق كارگاه مركزي شركت راهسازان كويرشاهرود</v>
      </c>
      <c r="D1731" s="1">
        <v>6726</v>
      </c>
      <c r="E1731" s="1">
        <v>0</v>
      </c>
      <c r="F1731" s="1">
        <v>95</v>
      </c>
      <c r="G1731" s="1">
        <v>200000</v>
      </c>
      <c r="H1731" s="1" t="str">
        <f>"95/05/23"</f>
        <v>95/05/23</v>
      </c>
      <c r="I1731" s="1" t="str">
        <f t="shared" si="459"/>
        <v>كيلوگرم</v>
      </c>
      <c r="J1731" s="1" t="str">
        <f>"0000000092"</f>
        <v>0000000092</v>
      </c>
      <c r="K1731" s="1" t="str">
        <f>"قير  PG64-16"</f>
        <v>قير  PG64-16</v>
      </c>
      <c r="L1731" s="1">
        <v>100</v>
      </c>
      <c r="M1731" s="1" t="str">
        <f t="shared" si="448"/>
        <v>مخازن قير اصفهان</v>
      </c>
      <c r="N1731" s="1">
        <v>11085</v>
      </c>
      <c r="O1731" s="1">
        <v>50031502</v>
      </c>
      <c r="P1731" s="1" t="str">
        <f>"  راه سازان توحيدشمالشرق"</f>
        <v xml:space="preserve">  راه سازان توحيدشمالشرق</v>
      </c>
      <c r="Q1731" s="1">
        <v>19</v>
      </c>
      <c r="R17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31" s="1" t="str">
        <f t="shared" si="460"/>
        <v>قرارداد فروش</v>
      </c>
      <c r="T1731" s="1" t="str">
        <f t="shared" si="461"/>
        <v>ندارد</v>
      </c>
      <c r="U1731" s="1" t="str">
        <f>"دهقانيان بهرام(4844012)"</f>
        <v>دهقانيان بهرام(4844012)</v>
      </c>
      <c r="V1731" s="1">
        <v>951900113</v>
      </c>
      <c r="W1731" s="1">
        <v>951900113</v>
      </c>
      <c r="X1731" s="1" t="str">
        <f>"1395421996"</f>
        <v>1395421996</v>
      </c>
      <c r="Y1731" s="1" t="str">
        <f>"95/05/23"</f>
        <v>95/05/23</v>
      </c>
      <c r="Z1731" s="1" t="str">
        <f>"21558/510"</f>
        <v>21558/510</v>
      </c>
      <c r="AA1731" s="1" t="str">
        <f>"سازمان راهداري وحمل نقل جاده اي"</f>
        <v>سازمان راهداري وحمل نقل جاده اي</v>
      </c>
      <c r="AB1731" s="1" t="str">
        <f>"95/05/13"</f>
        <v>95/05/13</v>
      </c>
      <c r="AC1731" s="1" t="str">
        <f>"استان سمنان"</f>
        <v>استان سمنان</v>
      </c>
      <c r="AD1731" s="1" t="str">
        <f>"95/05/18"</f>
        <v>95/05/18</v>
      </c>
      <c r="AE1731" s="1" t="str">
        <f t="shared" si="454"/>
        <v>اختتام</v>
      </c>
      <c r="AF1731" s="1" t="str">
        <f>""</f>
        <v/>
      </c>
      <c r="AG1731" s="1" t="str">
        <f>""</f>
        <v/>
      </c>
      <c r="AH1731" s="1" t="str">
        <f>""</f>
        <v/>
      </c>
      <c r="AI1731" s="1" t="str">
        <f>""</f>
        <v/>
      </c>
      <c r="AJ1731" s="1" t="str">
        <f>""</f>
        <v/>
      </c>
      <c r="AK1731" s="1" t="str">
        <f>""</f>
        <v/>
      </c>
    </row>
    <row r="1732" spans="1:37" x14ac:dyDescent="0.2">
      <c r="A1732" s="1">
        <v>17240</v>
      </c>
      <c r="B1732" s="1">
        <v>951400084</v>
      </c>
      <c r="C1732" s="1" t="str">
        <f>"تخليه -خراسان جنوبي -ديهوك اداره راه وشهرسازي ديهوك"</f>
        <v>تخليه -خراسان جنوبي -ديهوك اداره راه وشهرسازي ديهوك</v>
      </c>
      <c r="D1732" s="1">
        <v>10906</v>
      </c>
      <c r="E1732" s="1">
        <v>0</v>
      </c>
      <c r="F1732" s="1">
        <v>95</v>
      </c>
      <c r="G1732" s="1">
        <v>17240</v>
      </c>
      <c r="H1732" s="1" t="str">
        <f>"95/08/08"</f>
        <v>95/08/08</v>
      </c>
      <c r="I1732" s="1" t="str">
        <f t="shared" si="459"/>
        <v>كيلوگرم</v>
      </c>
      <c r="J1732" s="1" t="str">
        <f>"1000000003"</f>
        <v>1000000003</v>
      </c>
      <c r="K1732" s="1" t="str">
        <f>"قير MC250"</f>
        <v>قير MC250</v>
      </c>
      <c r="L1732" s="1">
        <v>100</v>
      </c>
      <c r="M1732" s="1" t="str">
        <f t="shared" si="448"/>
        <v>مخازن قير اصفهان</v>
      </c>
      <c r="N1732" s="1">
        <v>4012</v>
      </c>
      <c r="O1732" s="1">
        <v>50032379</v>
      </c>
      <c r="P1732" s="1" t="str">
        <f>"  اداره كل راه و شهرسازي خراسان جنوبي"</f>
        <v xml:space="preserve">  اداره كل راه و شهرسازي خراسان جنوبي</v>
      </c>
      <c r="Q1732" s="1">
        <v>14</v>
      </c>
      <c r="R1732" s="1" t="str">
        <f>"فروش داخلي - وزارت راه - حوزه راه روستايي ساخت"</f>
        <v>فروش داخلي - وزارت راه - حوزه راه روستايي ساخت</v>
      </c>
      <c r="S1732" s="1" t="str">
        <f t="shared" si="460"/>
        <v>قرارداد فروش</v>
      </c>
      <c r="T1732" s="1" t="str">
        <f t="shared" si="461"/>
        <v>ندارد</v>
      </c>
      <c r="U1732" s="1" t="str">
        <f>"مظفري مرتضي(4844023)"</f>
        <v>مظفري مرتضي(4844023)</v>
      </c>
      <c r="V1732" s="1">
        <v>951400084</v>
      </c>
      <c r="W1732" s="1">
        <v>951400084</v>
      </c>
      <c r="X1732" s="1" t="str">
        <f>"1395416200"</f>
        <v>1395416200</v>
      </c>
      <c r="Y1732" s="1" t="str">
        <f>"95/08/08"</f>
        <v>95/08/08</v>
      </c>
      <c r="Z1732" s="1" t="str">
        <f>"17854/510"</f>
        <v>17854/510</v>
      </c>
      <c r="AA1732" s="1" t="str">
        <f>"راه وروستايي -ساخت"</f>
        <v>راه وروستايي -ساخت</v>
      </c>
      <c r="AB1732" s="1" t="str">
        <f>"95/04/26"</f>
        <v>95/04/26</v>
      </c>
      <c r="AC1732" s="1" t="str">
        <f>"خراسان جنوبي"</f>
        <v>خراسان جنوبي</v>
      </c>
      <c r="AD1732" s="1" t="str">
        <f>"95/04/28"</f>
        <v>95/04/28</v>
      </c>
      <c r="AE1732" s="1" t="str">
        <f t="shared" si="454"/>
        <v>اختتام</v>
      </c>
      <c r="AF1732" s="1" t="str">
        <f>""</f>
        <v/>
      </c>
      <c r="AG1732" s="1" t="str">
        <f>""</f>
        <v/>
      </c>
      <c r="AH1732" s="1" t="str">
        <f>""</f>
        <v/>
      </c>
      <c r="AI1732" s="1" t="str">
        <f>""</f>
        <v/>
      </c>
      <c r="AJ1732" s="1" t="str">
        <f>""</f>
        <v/>
      </c>
      <c r="AK1732" s="1" t="str">
        <f>""</f>
        <v/>
      </c>
    </row>
    <row r="1733" spans="1:37" x14ac:dyDescent="0.2">
      <c r="A1733" s="1">
        <v>166000</v>
      </c>
      <c r="B1733" s="1">
        <v>956200267</v>
      </c>
      <c r="C1733" s="1" t="str">
        <f>"تخليه-همدان کيلومتر54 همدان-رزن شرکت سراوک"</f>
        <v>تخليه-همدان کيلومتر54 همدان-رزن شرکت سراوک</v>
      </c>
      <c r="D1733" s="1">
        <v>8848</v>
      </c>
      <c r="E1733" s="1">
        <v>166000</v>
      </c>
      <c r="F1733" s="1">
        <v>95</v>
      </c>
      <c r="G1733" s="1">
        <v>0</v>
      </c>
      <c r="H1733" s="1" t="str">
        <f>"95/12/04"</f>
        <v>95/12/04</v>
      </c>
      <c r="I1733" s="1" t="str">
        <f t="shared" si="459"/>
        <v>كيلوگرم</v>
      </c>
      <c r="J1733" s="1" t="str">
        <f>"1000000002"</f>
        <v>1000000002</v>
      </c>
      <c r="K1733" s="1" t="str">
        <f>"قير 85/100 - فله"</f>
        <v>قير 85/100 - فله</v>
      </c>
      <c r="L1733" s="1">
        <v>100</v>
      </c>
      <c r="M1733" s="1" t="str">
        <f t="shared" si="448"/>
        <v>مخازن قير اصفهان</v>
      </c>
      <c r="N1733" s="1">
        <v>4013</v>
      </c>
      <c r="O1733" s="1">
        <v>50033833</v>
      </c>
      <c r="P1733" s="1" t="str">
        <f>"  ساختماني و راهسازي سراوك"</f>
        <v xml:space="preserve">  ساختماني و راهسازي سراوك</v>
      </c>
      <c r="Q1733" s="1">
        <v>62</v>
      </c>
      <c r="R1733" s="1" t="str">
        <f>"فروش داخلي - سازمان بنيادمسكن انقلاب اسلامي"</f>
        <v>فروش داخلي - سازمان بنيادمسكن انقلاب اسلامي</v>
      </c>
      <c r="S1733" s="1" t="str">
        <f t="shared" si="460"/>
        <v>قرارداد فروش</v>
      </c>
      <c r="T1733" s="1" t="str">
        <f t="shared" si="461"/>
        <v>ندارد</v>
      </c>
      <c r="U1733" s="1" t="str">
        <f>"حاجيلوئي علي اصغر(2842019)"</f>
        <v>حاجيلوئي علي اصغر(2842019)</v>
      </c>
      <c r="V1733" s="1">
        <v>956200267</v>
      </c>
      <c r="W1733" s="1">
        <v>956200267</v>
      </c>
      <c r="X1733" s="1" t="str">
        <f>"1395466582"</f>
        <v>1395466582</v>
      </c>
      <c r="Y1733" s="1" t="str">
        <f>"95/12/04"</f>
        <v>95/12/04</v>
      </c>
      <c r="Z1733" s="1" t="str">
        <f>"52076/د"</f>
        <v>52076/د</v>
      </c>
      <c r="AA1733" s="1" t="str">
        <f>"بنيادمسكن انقلاب اسلامي"</f>
        <v>بنيادمسكن انقلاب اسلامي</v>
      </c>
      <c r="AB1733" s="1" t="str">
        <f>"95/11/30"</f>
        <v>95/11/30</v>
      </c>
      <c r="AC1733" s="1" t="str">
        <f>"استان همدان"</f>
        <v>استان همدان</v>
      </c>
      <c r="AD1733" s="1" t="str">
        <f>"95/12/03"</f>
        <v>95/12/03</v>
      </c>
      <c r="AE1733" s="1" t="str">
        <f t="shared" si="454"/>
        <v>اختتام</v>
      </c>
      <c r="AF1733" s="1" t="str">
        <f>""</f>
        <v/>
      </c>
      <c r="AG1733" s="1" t="str">
        <f>""</f>
        <v/>
      </c>
      <c r="AH1733" s="1" t="str">
        <f>""</f>
        <v/>
      </c>
      <c r="AI1733" s="1" t="str">
        <f>""</f>
        <v/>
      </c>
      <c r="AJ1733" s="1" t="str">
        <f>""</f>
        <v/>
      </c>
      <c r="AK1733" s="1" t="str">
        <f>""</f>
        <v/>
      </c>
    </row>
    <row r="1734" spans="1:37" x14ac:dyDescent="0.2">
      <c r="A1734" s="1">
        <v>71000</v>
      </c>
      <c r="B1734" s="1">
        <v>956200417</v>
      </c>
      <c r="C1734" s="1" t="str">
        <f>"تخليه-همدان کيلومتر54 همدان-رزن شرکت سراوک"</f>
        <v>تخليه-همدان کيلومتر54 همدان-رزن شرکت سراوک</v>
      </c>
      <c r="D1734" s="1">
        <v>8848</v>
      </c>
      <c r="E1734" s="1">
        <v>67600</v>
      </c>
      <c r="F1734" s="1">
        <v>95</v>
      </c>
      <c r="G1734" s="1">
        <v>3400</v>
      </c>
      <c r="H1734" s="1" t="str">
        <f>"95/12/28"</f>
        <v>95/12/28</v>
      </c>
      <c r="I1734" s="1" t="str">
        <f t="shared" si="459"/>
        <v>كيلوگرم</v>
      </c>
      <c r="J1734" s="1" t="str">
        <f>"1000000002"</f>
        <v>1000000002</v>
      </c>
      <c r="K1734" s="1" t="str">
        <f>"قير 85/100 - فله"</f>
        <v>قير 85/100 - فله</v>
      </c>
      <c r="L1734" s="1">
        <v>100</v>
      </c>
      <c r="M1734" s="1" t="str">
        <f t="shared" si="448"/>
        <v>مخازن قير اصفهان</v>
      </c>
      <c r="N1734" s="1">
        <v>4013</v>
      </c>
      <c r="O1734" s="1">
        <v>50034305</v>
      </c>
      <c r="P1734" s="1" t="str">
        <f>"  ساختماني و راهسازي سراوك"</f>
        <v xml:space="preserve">  ساختماني و راهسازي سراوك</v>
      </c>
      <c r="Q1734" s="1">
        <v>62</v>
      </c>
      <c r="R1734" s="1" t="str">
        <f>"فروش داخلي - سازمان بنيادمسكن انقلاب اسلامي"</f>
        <v>فروش داخلي - سازمان بنيادمسكن انقلاب اسلامي</v>
      </c>
      <c r="S1734" s="1" t="str">
        <f t="shared" si="460"/>
        <v>قرارداد فروش</v>
      </c>
      <c r="T1734" s="1" t="str">
        <f t="shared" si="461"/>
        <v>ندارد</v>
      </c>
      <c r="U1734" s="1" t="str">
        <f>"حاجيلوئي علي اصغر(2842019)"</f>
        <v>حاجيلوئي علي اصغر(2842019)</v>
      </c>
      <c r="V1734" s="1">
        <v>956200417</v>
      </c>
      <c r="W1734" s="1">
        <v>956200417</v>
      </c>
      <c r="X1734" s="1" t="str">
        <f>"1395470953"</f>
        <v>1395470953</v>
      </c>
      <c r="Y1734" s="1" t="str">
        <f>"95/12/28"</f>
        <v>95/12/28</v>
      </c>
      <c r="Z1734" s="1" t="str">
        <f>"57174/د"</f>
        <v>57174/د</v>
      </c>
      <c r="AA1734" s="1" t="str">
        <f>"بنيادمسكن انقلاب اسلامي"</f>
        <v>بنيادمسكن انقلاب اسلامي</v>
      </c>
      <c r="AB1734" s="1" t="str">
        <f>"95/12/22"</f>
        <v>95/12/22</v>
      </c>
      <c r="AC1734" s="1" t="str">
        <f>"استان همدان"</f>
        <v>استان همدان</v>
      </c>
      <c r="AD1734" s="1" t="str">
        <f>"95/12/24"</f>
        <v>95/12/24</v>
      </c>
      <c r="AE1734" s="1" t="str">
        <f t="shared" si="454"/>
        <v>اختتام</v>
      </c>
      <c r="AF1734" s="1" t="str">
        <f>""</f>
        <v/>
      </c>
      <c r="AG1734" s="1" t="str">
        <f>""</f>
        <v/>
      </c>
      <c r="AH1734" s="1" t="str">
        <f>""</f>
        <v/>
      </c>
      <c r="AI1734" s="1" t="str">
        <f>""</f>
        <v/>
      </c>
      <c r="AJ1734" s="1" t="str">
        <f>""</f>
        <v/>
      </c>
      <c r="AK1734" s="1" t="str">
        <f>""</f>
        <v/>
      </c>
    </row>
    <row r="1735" spans="1:37" x14ac:dyDescent="0.2">
      <c r="A1735" s="1">
        <v>957800</v>
      </c>
      <c r="B1735" s="1">
        <v>951700164</v>
      </c>
      <c r="C1735" s="1" t="str">
        <f>"تخليه -لرستان اليگودرزكيلومتر53راه دسترسي نيروگاه سدرودبارشركت ساختماني معتبر"</f>
        <v>تخليه -لرستان اليگودرزكيلومتر53راه دسترسي نيروگاه سدرودبارشركت ساختماني معتبر</v>
      </c>
      <c r="D1735" s="1">
        <v>6250</v>
      </c>
      <c r="E1735" s="1">
        <v>957180</v>
      </c>
      <c r="F1735" s="1">
        <v>95</v>
      </c>
      <c r="G1735" s="1">
        <v>620</v>
      </c>
      <c r="H1735" s="1" t="str">
        <f>"95/06/02"</f>
        <v>95/06/02</v>
      </c>
      <c r="I1735" s="1" t="str">
        <f t="shared" si="459"/>
        <v>كيلوگرم</v>
      </c>
      <c r="J1735" s="1" t="str">
        <f t="shared" ref="J1735:J1749" si="462">"0000000088"</f>
        <v>0000000088</v>
      </c>
      <c r="K1735" s="1" t="str">
        <f t="shared" ref="K1735:K1749" si="463">"قير  PG58-22"</f>
        <v>قير  PG58-22</v>
      </c>
      <c r="L1735" s="1">
        <v>100</v>
      </c>
      <c r="M1735" s="1" t="str">
        <f t="shared" si="448"/>
        <v>مخازن قير اصفهان</v>
      </c>
      <c r="N1735" s="1">
        <v>4074</v>
      </c>
      <c r="O1735" s="1">
        <v>50031605</v>
      </c>
      <c r="P1735" s="1" t="str">
        <f>"  اداره كل راه و  شهرسازي لرستان"</f>
        <v xml:space="preserve">  اداره كل راه و  شهرسازي لرستان</v>
      </c>
      <c r="Q1735" s="1">
        <v>17</v>
      </c>
      <c r="R1735" s="1" t="str">
        <f>"فروش داخلي تهران - وزارت راه - راه روستايي - روکش"</f>
        <v>فروش داخلي تهران - وزارت راه - راه روستايي - روکش</v>
      </c>
      <c r="S1735" s="1" t="str">
        <f t="shared" si="460"/>
        <v>قرارداد فروش</v>
      </c>
      <c r="T1735" s="1" t="str">
        <f t="shared" si="461"/>
        <v>ندارد</v>
      </c>
      <c r="U1735" s="1" t="str">
        <f>"ريسماني حسن(1007ج89)"</f>
        <v>ريسماني حسن(1007ج89)</v>
      </c>
      <c r="V1735" s="1">
        <v>951700164</v>
      </c>
      <c r="W1735" s="1">
        <v>951700164</v>
      </c>
      <c r="X1735" s="1" t="str">
        <f>"1395414283"</f>
        <v>1395414283</v>
      </c>
      <c r="Y1735" s="1" t="str">
        <f>"95/06/02"</f>
        <v>95/06/02</v>
      </c>
      <c r="Z1735" s="1" t="str">
        <f>"59565/510"</f>
        <v>59565/510</v>
      </c>
      <c r="AA1735" s="1" t="str">
        <f>"راه روستائي -روكش"</f>
        <v>راه روستائي -روكش</v>
      </c>
      <c r="AB1735" s="1" t="str">
        <f>"94/10/28"</f>
        <v>94/10/28</v>
      </c>
      <c r="AC1735" s="1" t="str">
        <f>"لرستان"</f>
        <v>لرستان</v>
      </c>
      <c r="AD1735" s="1" t="str">
        <f>"95/04/20"</f>
        <v>95/04/20</v>
      </c>
      <c r="AE1735" s="1" t="str">
        <f t="shared" si="454"/>
        <v>اختتام</v>
      </c>
      <c r="AF1735" s="1" t="str">
        <f>""</f>
        <v/>
      </c>
      <c r="AG1735" s="1" t="str">
        <f>""</f>
        <v/>
      </c>
      <c r="AH1735" s="1" t="str">
        <f>""</f>
        <v/>
      </c>
      <c r="AI1735" s="1" t="str">
        <f>""</f>
        <v/>
      </c>
      <c r="AJ1735" s="1" t="str">
        <f>""</f>
        <v/>
      </c>
      <c r="AK1735" s="1" t="str">
        <f>""</f>
        <v/>
      </c>
    </row>
    <row r="1736" spans="1:37" x14ac:dyDescent="0.2">
      <c r="A1736" s="1">
        <v>100000</v>
      </c>
      <c r="B1736" s="1">
        <v>951700003</v>
      </c>
      <c r="C1736" s="1" t="str">
        <f>"تخليه -چهارومحال بختياري -شهرستان كيارشهرناغان -شركت اتحادناغان"</f>
        <v>تخليه -چهارومحال بختياري -شهرستان كيارشهرناغان -شركت اتحادناغان</v>
      </c>
      <c r="D1736" s="1">
        <v>5650</v>
      </c>
      <c r="E1736" s="1">
        <v>100000</v>
      </c>
      <c r="F1736" s="1">
        <v>95</v>
      </c>
      <c r="G1736" s="1">
        <v>0</v>
      </c>
      <c r="H1736" s="1" t="str">
        <f>"95/02/14"</f>
        <v>95/02/14</v>
      </c>
      <c r="I1736" s="1" t="str">
        <f t="shared" si="459"/>
        <v>كيلوگرم</v>
      </c>
      <c r="J1736" s="1" t="str">
        <f t="shared" si="462"/>
        <v>0000000088</v>
      </c>
      <c r="K1736" s="1" t="str">
        <f t="shared" si="463"/>
        <v>قير  PG58-22</v>
      </c>
      <c r="L1736" s="1">
        <v>100</v>
      </c>
      <c r="M1736" s="1" t="str">
        <f t="shared" ref="M1736:M1799" si="464">"مخازن قير اصفهان"</f>
        <v>مخازن قير اصفهان</v>
      </c>
      <c r="N1736" s="1">
        <v>7190</v>
      </c>
      <c r="O1736" s="1">
        <v>50030733</v>
      </c>
      <c r="P1736" s="1" t="str">
        <f>"  اداره كل راه و شهرسازي چهارمحال وبختياري"</f>
        <v xml:space="preserve">  اداره كل راه و شهرسازي چهارمحال وبختياري</v>
      </c>
      <c r="Q1736" s="1">
        <v>17</v>
      </c>
      <c r="R1736" s="1" t="str">
        <f>"فروش داخلي تهران - وزارت راه - راه روستايي - روکش"</f>
        <v>فروش داخلي تهران - وزارت راه - راه روستايي - روکش</v>
      </c>
      <c r="S1736" s="1" t="str">
        <f t="shared" si="460"/>
        <v>قرارداد فروش</v>
      </c>
      <c r="T1736" s="1" t="str">
        <f t="shared" si="461"/>
        <v>ندارد</v>
      </c>
      <c r="U1736" s="1" t="str">
        <f>"قره باغي مجيد(1871065)"</f>
        <v>قره باغي مجيد(1871065)</v>
      </c>
      <c r="V1736" s="1">
        <v>951700003</v>
      </c>
      <c r="W1736" s="1">
        <v>951700003</v>
      </c>
      <c r="X1736" s="1" t="str">
        <f>"1395401965"</f>
        <v>1395401965</v>
      </c>
      <c r="Y1736" s="1" t="str">
        <f>"95/02/14"</f>
        <v>95/02/14</v>
      </c>
      <c r="Z1736" s="1" t="str">
        <f>"66255/510"</f>
        <v>66255/510</v>
      </c>
      <c r="AA1736" s="1" t="str">
        <f>"راه روستائي -روكش"</f>
        <v>راه روستائي -روكش</v>
      </c>
      <c r="AB1736" s="1" t="str">
        <f>"94/12/02"</f>
        <v>94/12/02</v>
      </c>
      <c r="AC1736" s="1" t="str">
        <f>"استان چهارمحال بختياري"</f>
        <v>استان چهارمحال بختياري</v>
      </c>
      <c r="AD1736" s="1" t="str">
        <f>"95/02/11"</f>
        <v>95/02/11</v>
      </c>
      <c r="AE1736" s="1" t="str">
        <f t="shared" si="454"/>
        <v>اختتام</v>
      </c>
      <c r="AF1736" s="1" t="str">
        <f>""</f>
        <v/>
      </c>
      <c r="AG1736" s="1" t="str">
        <f>""</f>
        <v/>
      </c>
      <c r="AH1736" s="1" t="str">
        <f>""</f>
        <v/>
      </c>
      <c r="AI1736" s="1" t="str">
        <f>""</f>
        <v/>
      </c>
      <c r="AJ1736" s="1" t="str">
        <f>""</f>
        <v/>
      </c>
      <c r="AK1736" s="1" t="str">
        <f>""</f>
        <v/>
      </c>
    </row>
    <row r="1737" spans="1:37" x14ac:dyDescent="0.2">
      <c r="A1737" s="1">
        <v>100000</v>
      </c>
      <c r="B1737" s="1">
        <v>951700325</v>
      </c>
      <c r="C1737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737" s="1">
        <v>8998</v>
      </c>
      <c r="E1737" s="1">
        <v>100000</v>
      </c>
      <c r="F1737" s="1">
        <v>95</v>
      </c>
      <c r="G1737" s="1">
        <v>0</v>
      </c>
      <c r="H1737" s="1" t="str">
        <f>"95/11/05"</f>
        <v>95/11/05</v>
      </c>
      <c r="I1737" s="1" t="str">
        <f t="shared" si="459"/>
        <v>كيلوگرم</v>
      </c>
      <c r="J1737" s="1" t="str">
        <f t="shared" si="462"/>
        <v>0000000088</v>
      </c>
      <c r="K1737" s="1" t="str">
        <f t="shared" si="463"/>
        <v>قير  PG58-22</v>
      </c>
      <c r="L1737" s="1">
        <v>100</v>
      </c>
      <c r="M1737" s="1" t="str">
        <f t="shared" si="464"/>
        <v>مخازن قير اصفهان</v>
      </c>
      <c r="N1737" s="1">
        <v>7190</v>
      </c>
      <c r="O1737" s="1">
        <v>50033524</v>
      </c>
      <c r="P1737" s="1" t="str">
        <f>"  اداره كل راه و شهرسازي چهارمحال وبختياري"</f>
        <v xml:space="preserve">  اداره كل راه و شهرسازي چهارمحال وبختياري</v>
      </c>
      <c r="Q1737" s="1">
        <v>17</v>
      </c>
      <c r="R1737" s="1" t="str">
        <f>"فروش داخلي تهران - وزارت راه - راه روستايي - روکش"</f>
        <v>فروش داخلي تهران - وزارت راه - راه روستايي - روکش</v>
      </c>
      <c r="S1737" s="1" t="str">
        <f t="shared" si="460"/>
        <v>قرارداد فروش</v>
      </c>
      <c r="T1737" s="1" t="str">
        <f t="shared" si="461"/>
        <v>ندارد</v>
      </c>
      <c r="U1737" s="1" t="str">
        <f>"قره باغي مجيد(1871065)"</f>
        <v>قره باغي مجيد(1871065)</v>
      </c>
      <c r="V1737" s="1">
        <v>951700325</v>
      </c>
      <c r="W1737" s="1">
        <v>951700325</v>
      </c>
      <c r="X1737" s="1" t="str">
        <f>"1395460247"</f>
        <v>1395460247</v>
      </c>
      <c r="Y1737" s="1" t="str">
        <f>"95/11/04"</f>
        <v>95/11/04</v>
      </c>
      <c r="Z1737" s="1" t="str">
        <f>"52735/710"</f>
        <v>52735/710</v>
      </c>
      <c r="AA1737" s="1" t="str">
        <f>"راه روستائي -روكش"</f>
        <v>راه روستائي -روكش</v>
      </c>
      <c r="AB1737" s="1" t="str">
        <f>"95/10/25"</f>
        <v>95/10/25</v>
      </c>
      <c r="AC1737" s="1" t="str">
        <f>"استان چهارمحال بختياري"</f>
        <v>استان چهارمحال بختياري</v>
      </c>
      <c r="AD1737" s="1" t="str">
        <f>"95/11/04"</f>
        <v>95/11/04</v>
      </c>
      <c r="AE1737" s="1" t="str">
        <f t="shared" si="454"/>
        <v>اختتام</v>
      </c>
      <c r="AF1737" s="1" t="str">
        <f>""</f>
        <v/>
      </c>
      <c r="AG1737" s="1" t="str">
        <f>""</f>
        <v/>
      </c>
      <c r="AH1737" s="1" t="str">
        <f>""</f>
        <v/>
      </c>
      <c r="AI1737" s="1" t="str">
        <f>""</f>
        <v/>
      </c>
      <c r="AJ1737" s="1" t="str">
        <f>""</f>
        <v/>
      </c>
      <c r="AK1737" s="1" t="str">
        <f>""</f>
        <v/>
      </c>
    </row>
    <row r="1738" spans="1:37" x14ac:dyDescent="0.2">
      <c r="A1738" s="1">
        <v>50000</v>
      </c>
      <c r="B1738" s="1">
        <v>951700334</v>
      </c>
      <c r="C1738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738" s="1">
        <v>9511</v>
      </c>
      <c r="E1738" s="1">
        <v>47720</v>
      </c>
      <c r="F1738" s="1">
        <v>95</v>
      </c>
      <c r="G1738" s="1">
        <v>2280</v>
      </c>
      <c r="H1738" s="1" t="str">
        <f>"95/11/05"</f>
        <v>95/11/05</v>
      </c>
      <c r="I1738" s="1" t="str">
        <f t="shared" si="459"/>
        <v>كيلوگرم</v>
      </c>
      <c r="J1738" s="1" t="str">
        <f t="shared" si="462"/>
        <v>0000000088</v>
      </c>
      <c r="K1738" s="1" t="str">
        <f t="shared" si="463"/>
        <v>قير  PG58-22</v>
      </c>
      <c r="L1738" s="1">
        <v>100</v>
      </c>
      <c r="M1738" s="1" t="str">
        <f t="shared" si="464"/>
        <v>مخازن قير اصفهان</v>
      </c>
      <c r="N1738" s="1">
        <v>7190</v>
      </c>
      <c r="O1738" s="1">
        <v>50033535</v>
      </c>
      <c r="P1738" s="1" t="str">
        <f>"  اداره كل راه و شهرسازي چهارمحال وبختياري"</f>
        <v xml:space="preserve">  اداره كل راه و شهرسازي چهارمحال وبختياري</v>
      </c>
      <c r="Q1738" s="1">
        <v>17</v>
      </c>
      <c r="R1738" s="1" t="str">
        <f>"فروش داخلي تهران - وزارت راه - راه روستايي - روکش"</f>
        <v>فروش داخلي تهران - وزارت راه - راه روستايي - روکش</v>
      </c>
      <c r="S1738" s="1" t="str">
        <f t="shared" si="460"/>
        <v>قرارداد فروش</v>
      </c>
      <c r="T1738" s="1" t="str">
        <f t="shared" si="461"/>
        <v>ندارد</v>
      </c>
      <c r="U1738" s="1" t="str">
        <f>"مظلوم فريبرز(1008ج89)"</f>
        <v>مظلوم فريبرز(1008ج89)</v>
      </c>
      <c r="V1738" s="1">
        <v>951700334</v>
      </c>
      <c r="W1738" s="1">
        <v>951700334</v>
      </c>
      <c r="X1738" s="1" t="str">
        <f>"1395460247"</f>
        <v>1395460247</v>
      </c>
      <c r="Y1738" s="1" t="str">
        <f>"95/11/04"</f>
        <v>95/11/04</v>
      </c>
      <c r="Z1738" s="1" t="str">
        <f>"52216/710"</f>
        <v>52216/710</v>
      </c>
      <c r="AA1738" s="1" t="str">
        <f>"راه روستائي -روكش"</f>
        <v>راه روستائي -روكش</v>
      </c>
      <c r="AB1738" s="1" t="str">
        <f>"95/10/22"</f>
        <v>95/10/22</v>
      </c>
      <c r="AC1738" s="1" t="str">
        <f>"استان چهارمحال بختياري"</f>
        <v>استان چهارمحال بختياري</v>
      </c>
      <c r="AD1738" s="1" t="str">
        <f>"95/11/04"</f>
        <v>95/11/04</v>
      </c>
      <c r="AE1738" s="1" t="str">
        <f t="shared" si="454"/>
        <v>اختتام</v>
      </c>
      <c r="AF1738" s="1" t="str">
        <f>""</f>
        <v/>
      </c>
      <c r="AG1738" s="1" t="str">
        <f>""</f>
        <v/>
      </c>
      <c r="AH1738" s="1" t="str">
        <f>""</f>
        <v/>
      </c>
      <c r="AI1738" s="1" t="str">
        <f>""</f>
        <v/>
      </c>
      <c r="AJ1738" s="1" t="str">
        <f>""</f>
        <v/>
      </c>
      <c r="AK1738" s="1" t="str">
        <f>""</f>
        <v/>
      </c>
    </row>
    <row r="1739" spans="1:37" x14ac:dyDescent="0.2">
      <c r="A1739" s="1">
        <v>200000</v>
      </c>
      <c r="B1739" s="1">
        <v>951400167</v>
      </c>
      <c r="C1739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739" s="1">
        <v>8998</v>
      </c>
      <c r="E1739" s="1">
        <v>199500</v>
      </c>
      <c r="F1739" s="1">
        <v>95</v>
      </c>
      <c r="G1739" s="1">
        <v>500</v>
      </c>
      <c r="H1739" s="1" t="str">
        <f>"95/12/03"</f>
        <v>95/12/03</v>
      </c>
      <c r="I1739" s="1" t="str">
        <f t="shared" si="459"/>
        <v>كيلوگرم</v>
      </c>
      <c r="J1739" s="1" t="str">
        <f t="shared" si="462"/>
        <v>0000000088</v>
      </c>
      <c r="K1739" s="1" t="str">
        <f t="shared" si="463"/>
        <v>قير  PG58-22</v>
      </c>
      <c r="L1739" s="1">
        <v>100</v>
      </c>
      <c r="M1739" s="1" t="str">
        <f t="shared" si="464"/>
        <v>مخازن قير اصفهان</v>
      </c>
      <c r="N1739" s="1">
        <v>7190</v>
      </c>
      <c r="O1739" s="1">
        <v>50033814</v>
      </c>
      <c r="P1739" s="1" t="str">
        <f>"  اداره كل راه و شهرسازي چهارمحال وبختياري"</f>
        <v xml:space="preserve">  اداره كل راه و شهرسازي چهارمحال وبختياري</v>
      </c>
      <c r="Q1739" s="1">
        <v>14</v>
      </c>
      <c r="R1739" s="1" t="str">
        <f>"فروش داخلي - وزارت راه - حوزه راه روستايي ساخت"</f>
        <v>فروش داخلي - وزارت راه - حوزه راه روستايي ساخت</v>
      </c>
      <c r="S1739" s="1" t="str">
        <f t="shared" si="460"/>
        <v>قرارداد فروش</v>
      </c>
      <c r="T1739" s="1" t="str">
        <f t="shared" si="461"/>
        <v>ندارد</v>
      </c>
      <c r="U1739" s="1" t="str">
        <f>"مظلوم فريبرز(1008ج89)"</f>
        <v>مظلوم فريبرز(1008ج89)</v>
      </c>
      <c r="V1739" s="1">
        <v>951400167</v>
      </c>
      <c r="W1739" s="1">
        <v>951400167</v>
      </c>
      <c r="X1739" s="1" t="str">
        <f>"1395466579"</f>
        <v>1395466579</v>
      </c>
      <c r="Y1739" s="1" t="str">
        <f>"95/12/03"</f>
        <v>95/12/03</v>
      </c>
      <c r="Z1739" s="1" t="str">
        <f>"59690/710"</f>
        <v>59690/710</v>
      </c>
      <c r="AA1739" s="1" t="str">
        <f>"راه وروستايي -ساخت"</f>
        <v>راه وروستايي -ساخت</v>
      </c>
      <c r="AB1739" s="1" t="str">
        <f>"95/11/27"</f>
        <v>95/11/27</v>
      </c>
      <c r="AC1739" s="1" t="str">
        <f>"استان چهارمحال بختياري"</f>
        <v>استان چهارمحال بختياري</v>
      </c>
      <c r="AD1739" s="1" t="str">
        <f>"95/12/03"</f>
        <v>95/12/03</v>
      </c>
      <c r="AE1739" s="1" t="str">
        <f t="shared" si="454"/>
        <v>اختتام</v>
      </c>
      <c r="AF1739" s="1" t="str">
        <f>""</f>
        <v/>
      </c>
      <c r="AG1739" s="1" t="str">
        <f>""</f>
        <v/>
      </c>
      <c r="AH1739" s="1" t="str">
        <f>""</f>
        <v/>
      </c>
      <c r="AI1739" s="1" t="str">
        <f>""</f>
        <v/>
      </c>
      <c r="AJ1739" s="1" t="str">
        <f>""</f>
        <v/>
      </c>
      <c r="AK1739" s="1" t="str">
        <f>""</f>
        <v/>
      </c>
    </row>
    <row r="1740" spans="1:37" x14ac:dyDescent="0.2">
      <c r="A1740" s="1">
        <v>50360</v>
      </c>
      <c r="B1740" s="1">
        <v>951400088</v>
      </c>
      <c r="C1740" s="1" t="str">
        <f>"تخليه - کردستان- سقز جاده سقز مريوان روستاي شيپانجو کارخانه جهد نصر مرکزي"</f>
        <v>تخليه - کردستان- سقز جاده سقز مريوان روستاي شيپانجو کارخانه جهد نصر مرکزي</v>
      </c>
      <c r="D1740" s="1">
        <v>8323</v>
      </c>
      <c r="E1740" s="1">
        <v>49700</v>
      </c>
      <c r="F1740" s="1">
        <v>95</v>
      </c>
      <c r="G1740" s="1">
        <v>660</v>
      </c>
      <c r="H1740" s="1" t="str">
        <f>"95/08/08"</f>
        <v>95/08/08</v>
      </c>
      <c r="I1740" s="1" t="str">
        <f t="shared" si="459"/>
        <v>كيلوگرم</v>
      </c>
      <c r="J1740" s="1" t="str">
        <f t="shared" si="462"/>
        <v>0000000088</v>
      </c>
      <c r="K1740" s="1" t="str">
        <f t="shared" si="463"/>
        <v>قير  PG58-22</v>
      </c>
      <c r="L1740" s="1">
        <v>100</v>
      </c>
      <c r="M1740" s="1" t="str">
        <f t="shared" si="464"/>
        <v>مخازن قير اصفهان</v>
      </c>
      <c r="N1740" s="1">
        <v>8078</v>
      </c>
      <c r="O1740" s="1">
        <v>50032403</v>
      </c>
      <c r="P1740" s="1" t="str">
        <f>"  جهاد نصر استان مركزي"</f>
        <v xml:space="preserve">  جهاد نصر استان مركزي</v>
      </c>
      <c r="Q1740" s="1">
        <v>14</v>
      </c>
      <c r="R1740" s="1" t="str">
        <f>"فروش داخلي - وزارت راه - حوزه راه روستايي ساخت"</f>
        <v>فروش داخلي - وزارت راه - حوزه راه روستايي ساخت</v>
      </c>
      <c r="S1740" s="1" t="str">
        <f t="shared" si="460"/>
        <v>قرارداد فروش</v>
      </c>
      <c r="T1740" s="1" t="str">
        <f t="shared" si="461"/>
        <v>ندارد</v>
      </c>
      <c r="U1740" s="1" t="str">
        <f>"عظيمي محمد(2842015)"</f>
        <v>عظيمي محمد(2842015)</v>
      </c>
      <c r="V1740" s="1">
        <v>951400088</v>
      </c>
      <c r="W1740" s="1">
        <v>951400088</v>
      </c>
      <c r="X1740" s="1" t="str">
        <f>"1395433670"</f>
        <v>1395433670</v>
      </c>
      <c r="Y1740" s="1" t="str">
        <f>"95/08/08"</f>
        <v>95/08/08</v>
      </c>
      <c r="Z1740" s="1" t="str">
        <f>"31246/510"</f>
        <v>31246/510</v>
      </c>
      <c r="AA1740" s="1" t="str">
        <f>"راه وروستايي -ساخت"</f>
        <v>راه وروستايي -ساخت</v>
      </c>
      <c r="AB1740" s="1" t="str">
        <f>"95/06/31"</f>
        <v>95/06/31</v>
      </c>
      <c r="AC1740" s="1" t="str">
        <f>"استان كردستان"</f>
        <v>استان كردستان</v>
      </c>
      <c r="AD1740" s="1" t="str">
        <f>"95/07/04"</f>
        <v>95/07/04</v>
      </c>
      <c r="AE1740" s="1" t="str">
        <f t="shared" si="454"/>
        <v>اختتام</v>
      </c>
      <c r="AF1740" s="1" t="str">
        <f>""</f>
        <v/>
      </c>
      <c r="AG1740" s="1" t="str">
        <f>""</f>
        <v/>
      </c>
      <c r="AH1740" s="1" t="str">
        <f>""</f>
        <v/>
      </c>
      <c r="AI1740" s="1" t="str">
        <f>""</f>
        <v/>
      </c>
      <c r="AJ1740" s="1" t="str">
        <f>""</f>
        <v/>
      </c>
      <c r="AK1740" s="1" t="str">
        <f>""</f>
        <v/>
      </c>
    </row>
    <row r="1741" spans="1:37" x14ac:dyDescent="0.2">
      <c r="A1741" s="1">
        <v>300000</v>
      </c>
      <c r="B1741" s="1">
        <v>951400068</v>
      </c>
      <c r="C1741" s="1" t="str">
        <f>"اصفهان -شهرستان دامنه -كارخانه آسفالت شهرداري دامنه"</f>
        <v>اصفهان -شهرستان دامنه -كارخانه آسفالت شهرداري دامنه</v>
      </c>
      <c r="D1741" s="1">
        <v>7176</v>
      </c>
      <c r="E1741" s="1">
        <v>299500</v>
      </c>
      <c r="F1741" s="1">
        <v>95</v>
      </c>
      <c r="G1741" s="1">
        <v>500</v>
      </c>
      <c r="H1741" s="1" t="str">
        <f>"95/06/20"</f>
        <v>95/06/20</v>
      </c>
      <c r="I1741" s="1" t="str">
        <f t="shared" si="459"/>
        <v>كيلوگرم</v>
      </c>
      <c r="J1741" s="1" t="str">
        <f t="shared" si="462"/>
        <v>0000000088</v>
      </c>
      <c r="K1741" s="1" t="str">
        <f t="shared" si="463"/>
        <v>قير  PG58-22</v>
      </c>
      <c r="L1741" s="1">
        <v>100</v>
      </c>
      <c r="M1741" s="1" t="str">
        <f t="shared" si="464"/>
        <v>مخازن قير اصفهان</v>
      </c>
      <c r="N1741" s="1">
        <v>8091</v>
      </c>
      <c r="O1741" s="1">
        <v>50031843</v>
      </c>
      <c r="P1741" s="1" t="str">
        <f>"  اداره كل راه وشهرسازي اصفهان"</f>
        <v xml:space="preserve">  اداره كل راه وشهرسازي اصفهان</v>
      </c>
      <c r="Q1741" s="1">
        <v>14</v>
      </c>
      <c r="R1741" s="1" t="str">
        <f>"فروش داخلي - وزارت راه - حوزه راه روستايي ساخت"</f>
        <v>فروش داخلي - وزارت راه - حوزه راه روستايي ساخت</v>
      </c>
      <c r="S1741" s="1" t="str">
        <f t="shared" si="460"/>
        <v>قرارداد فروش</v>
      </c>
      <c r="T1741" s="1" t="str">
        <f t="shared" si="461"/>
        <v>ندارد</v>
      </c>
      <c r="U1741" s="1" t="str">
        <f>"سيفي پور گودرز(1019ج89)"</f>
        <v>سيفي پور گودرز(1019ج89)</v>
      </c>
      <c r="V1741" s="1">
        <v>951400068</v>
      </c>
      <c r="W1741" s="1">
        <v>951400068</v>
      </c>
      <c r="X1741" s="1" t="str">
        <f>"1395430594"</f>
        <v>1395430594</v>
      </c>
      <c r="Y1741" s="1" t="str">
        <f>"95/06/20"</f>
        <v>95/06/20</v>
      </c>
      <c r="Z1741" s="1" t="str">
        <f>"29030/510"</f>
        <v>29030/510</v>
      </c>
      <c r="AA1741" s="1" t="str">
        <f>"راه وروستايي -ساخت"</f>
        <v>راه وروستايي -ساخت</v>
      </c>
      <c r="AB1741" s="1" t="str">
        <f>"95/06/17"</f>
        <v>95/06/17</v>
      </c>
      <c r="AC1741" s="1" t="str">
        <f>"استان اصفهان"</f>
        <v>استان اصفهان</v>
      </c>
      <c r="AD1741" s="1" t="str">
        <f>"95/06/20"</f>
        <v>95/06/20</v>
      </c>
      <c r="AE1741" s="1" t="str">
        <f t="shared" si="454"/>
        <v>اختتام</v>
      </c>
      <c r="AF1741" s="1" t="str">
        <f>""</f>
        <v/>
      </c>
      <c r="AG1741" s="1" t="str">
        <f>""</f>
        <v/>
      </c>
      <c r="AH1741" s="1" t="str">
        <f>""</f>
        <v/>
      </c>
      <c r="AI1741" s="1" t="str">
        <f>""</f>
        <v/>
      </c>
      <c r="AJ1741" s="1" t="str">
        <f>""</f>
        <v/>
      </c>
      <c r="AK1741" s="1" t="str">
        <f>""</f>
        <v/>
      </c>
    </row>
    <row r="1742" spans="1:37" x14ac:dyDescent="0.2">
      <c r="A1742" s="1">
        <v>170000</v>
      </c>
      <c r="B1742" s="1">
        <v>951300006</v>
      </c>
      <c r="C1742" s="1" t="str">
        <f>"تخليه -شهرستان کيار بخش ناغان -100متر بعد از تونل شرکت آسفالت کاران اتحاد ناغان"</f>
        <v>تخليه -شهرستان کيار بخش ناغان -100متر بعد از تونل شرکت آسفالت کاران اتحاد ناغان</v>
      </c>
      <c r="D1742" s="1">
        <v>5650</v>
      </c>
      <c r="E1742" s="1">
        <v>169360</v>
      </c>
      <c r="F1742" s="1">
        <v>95</v>
      </c>
      <c r="G1742" s="1">
        <v>640</v>
      </c>
      <c r="H1742" s="1" t="str">
        <f>"95/02/28"</f>
        <v>95/02/28</v>
      </c>
      <c r="I1742" s="1" t="str">
        <f t="shared" si="459"/>
        <v>كيلوگرم</v>
      </c>
      <c r="J1742" s="1" t="str">
        <f t="shared" si="462"/>
        <v>0000000088</v>
      </c>
      <c r="K1742" s="1" t="str">
        <f t="shared" si="463"/>
        <v>قير  PG58-22</v>
      </c>
      <c r="L1742" s="1">
        <v>100</v>
      </c>
      <c r="M1742" s="1" t="str">
        <f t="shared" si="464"/>
        <v>مخازن قير اصفهان</v>
      </c>
      <c r="N1742" s="1">
        <v>9665</v>
      </c>
      <c r="O1742" s="1">
        <v>50030856</v>
      </c>
      <c r="P1742" s="1" t="str">
        <f>"  شهرداري شلمزار"</f>
        <v xml:space="preserve">  شهرداري شلمزار</v>
      </c>
      <c r="Q1742" s="1">
        <v>13</v>
      </c>
      <c r="R1742" s="1" t="str">
        <f>"فروش داخلي - وزارت راه - حوزه بنياد مسكن"</f>
        <v>فروش داخلي - وزارت راه - حوزه بنياد مسكن</v>
      </c>
      <c r="S1742" s="1" t="str">
        <f t="shared" si="460"/>
        <v>قرارداد فروش</v>
      </c>
      <c r="T1742" s="1" t="str">
        <f t="shared" si="461"/>
        <v>ندارد</v>
      </c>
      <c r="U1742" s="1" t="str">
        <f>"قره باغي مجيد(1871065)"</f>
        <v>قره باغي مجيد(1871065)</v>
      </c>
      <c r="V1742" s="1">
        <v>951300006</v>
      </c>
      <c r="W1742" s="1">
        <v>951300006</v>
      </c>
      <c r="X1742" s="1" t="str">
        <f>"1395404452"</f>
        <v>1395404452</v>
      </c>
      <c r="Y1742" s="1" t="str">
        <f>"95/02/28"</f>
        <v>95/02/28</v>
      </c>
      <c r="Z1742" s="1" t="str">
        <f>"57468/510"</f>
        <v>57468/510</v>
      </c>
      <c r="AA1742" s="1" t="str">
        <f>"بنياد مسكن -مسكن مهر"</f>
        <v>بنياد مسكن -مسكن مهر</v>
      </c>
      <c r="AB1742" s="1" t="str">
        <f>"94/10/19"</f>
        <v>94/10/19</v>
      </c>
      <c r="AC1742" s="1" t="str">
        <f>"استان چهارمحال بختياري"</f>
        <v>استان چهارمحال بختياري</v>
      </c>
      <c r="AD1742" s="1" t="str">
        <f>"95/02/27"</f>
        <v>95/02/27</v>
      </c>
      <c r="AE1742" s="1" t="str">
        <f t="shared" si="454"/>
        <v>اختتام</v>
      </c>
      <c r="AF1742" s="1" t="str">
        <f>""</f>
        <v/>
      </c>
      <c r="AG1742" s="1" t="str">
        <f>""</f>
        <v/>
      </c>
      <c r="AH1742" s="1" t="str">
        <f>""</f>
        <v/>
      </c>
      <c r="AI1742" s="1" t="str">
        <f>""</f>
        <v/>
      </c>
      <c r="AJ1742" s="1" t="str">
        <f>""</f>
        <v/>
      </c>
      <c r="AK1742" s="1" t="str">
        <f>""</f>
        <v/>
      </c>
    </row>
    <row r="1743" spans="1:37" x14ac:dyDescent="0.2">
      <c r="A1743" s="1">
        <v>500000</v>
      </c>
      <c r="B1743" s="1">
        <v>951800030</v>
      </c>
      <c r="C1743" s="1" t="str">
        <f>"تخليه -جاده ديوان دره سقز-20کيلومترمانده به سقزکارخانه آسفالت سنته"</f>
        <v>تخليه -جاده ديوان دره سقز-20کيلومترمانده به سقزکارخانه آسفالت سنته</v>
      </c>
      <c r="D1743" s="1">
        <v>6250</v>
      </c>
      <c r="E1743" s="1">
        <v>498300</v>
      </c>
      <c r="F1743" s="1">
        <v>95</v>
      </c>
      <c r="G1743" s="1">
        <v>1700</v>
      </c>
      <c r="H1743" s="1" t="str">
        <f>"95/04/26"</f>
        <v>95/04/26</v>
      </c>
      <c r="I1743" s="1" t="str">
        <f t="shared" si="459"/>
        <v>كيلوگرم</v>
      </c>
      <c r="J1743" s="1" t="str">
        <f t="shared" si="462"/>
        <v>0000000088</v>
      </c>
      <c r="K1743" s="1" t="str">
        <f t="shared" si="463"/>
        <v>قير  PG58-22</v>
      </c>
      <c r="L1743" s="1">
        <v>100</v>
      </c>
      <c r="M1743" s="1" t="str">
        <f t="shared" si="464"/>
        <v>مخازن قير اصفهان</v>
      </c>
      <c r="N1743" s="1">
        <v>10081</v>
      </c>
      <c r="O1743" s="1">
        <v>50031289</v>
      </c>
      <c r="P1743" s="1" t="str">
        <f>"  طرح وساخت سازه سنندج"</f>
        <v xml:space="preserve">  طرح وساخت سازه سنندج</v>
      </c>
      <c r="Q1743" s="1">
        <v>18</v>
      </c>
      <c r="R1743" s="1" t="str">
        <f>"فروش داخلي تهران - وزارت راه - شرکت ساخت و توسعه راهها"</f>
        <v>فروش داخلي تهران - وزارت راه - شرکت ساخت و توسعه راهها</v>
      </c>
      <c r="S1743" s="1" t="str">
        <f t="shared" si="460"/>
        <v>قرارداد فروش</v>
      </c>
      <c r="T1743" s="1" t="str">
        <f t="shared" si="461"/>
        <v>ندارد</v>
      </c>
      <c r="U1743" s="1" t="str">
        <f>"قنبري امين(2872037)"</f>
        <v>قنبري امين(2872037)</v>
      </c>
      <c r="V1743" s="1">
        <v>951800030</v>
      </c>
      <c r="W1743" s="1">
        <v>951800030</v>
      </c>
      <c r="X1743" s="1" t="str">
        <f>"1395415789"</f>
        <v>1395415789</v>
      </c>
      <c r="Y1743" s="1" t="str">
        <f>"95/04/26"</f>
        <v>95/04/26</v>
      </c>
      <c r="Z1743" s="1" t="str">
        <f>"16338/510"</f>
        <v>16338/510</v>
      </c>
      <c r="AA1743" s="1" t="str">
        <f>"شركت  ساخت وتوسعه راهها"</f>
        <v>شركت  ساخت وتوسعه راهها</v>
      </c>
      <c r="AB1743" s="1" t="str">
        <f>"95/04/15"</f>
        <v>95/04/15</v>
      </c>
      <c r="AC1743" s="1" t="str">
        <f t="shared" ref="AC1743:AC1748" si="465">"استان كردستان"</f>
        <v>استان كردستان</v>
      </c>
      <c r="AD1743" s="1" t="str">
        <f>"95/04/26"</f>
        <v>95/04/26</v>
      </c>
      <c r="AE1743" s="1" t="str">
        <f t="shared" si="454"/>
        <v>اختتام</v>
      </c>
      <c r="AF1743" s="1" t="str">
        <f>""</f>
        <v/>
      </c>
      <c r="AG1743" s="1" t="str">
        <f>""</f>
        <v/>
      </c>
      <c r="AH1743" s="1" t="str">
        <f>""</f>
        <v/>
      </c>
      <c r="AI1743" s="1" t="str">
        <f>""</f>
        <v/>
      </c>
      <c r="AJ1743" s="1" t="str">
        <f>""</f>
        <v/>
      </c>
      <c r="AK1743" s="1" t="str">
        <f>""</f>
        <v/>
      </c>
    </row>
    <row r="1744" spans="1:37" x14ac:dyDescent="0.2">
      <c r="A1744" s="1">
        <v>180000</v>
      </c>
      <c r="B1744" s="1">
        <v>956100016</v>
      </c>
      <c r="C1744" s="1" t="str">
        <f>"تخليه كردستان مريوان كيلومتر7جاده سقزكارخانه آسفالت شهرداري سقز"</f>
        <v>تخليه كردستان مريوان كيلومتر7جاده سقزكارخانه آسفالت شهرداري سقز</v>
      </c>
      <c r="D1744" s="1">
        <v>7276</v>
      </c>
      <c r="E1744" s="1">
        <v>178200</v>
      </c>
      <c r="F1744" s="1">
        <v>95</v>
      </c>
      <c r="G1744" s="1">
        <v>1800</v>
      </c>
      <c r="H1744" s="1" t="str">
        <f>"95/07/04"</f>
        <v>95/07/04</v>
      </c>
      <c r="I1744" s="1" t="str">
        <f t="shared" si="459"/>
        <v>كيلوگرم</v>
      </c>
      <c r="J1744" s="1" t="str">
        <f t="shared" si="462"/>
        <v>0000000088</v>
      </c>
      <c r="K1744" s="1" t="str">
        <f t="shared" si="463"/>
        <v>قير  PG58-22</v>
      </c>
      <c r="L1744" s="1">
        <v>100</v>
      </c>
      <c r="M1744" s="1" t="str">
        <f t="shared" si="464"/>
        <v>مخازن قير اصفهان</v>
      </c>
      <c r="N1744" s="1">
        <v>10406</v>
      </c>
      <c r="O1744" s="1">
        <v>50031929</v>
      </c>
      <c r="P1744" s="1" t="str">
        <f>"  اداره كل راه وشهرسازي كردستان"</f>
        <v xml:space="preserve">  اداره كل راه وشهرسازي كردستان</v>
      </c>
      <c r="Q1744" s="1">
        <v>61</v>
      </c>
      <c r="R1744" s="1" t="str">
        <f>"فروش داخلي - وزارت راه - مسكن مهر"</f>
        <v>فروش داخلي - وزارت راه - مسكن مهر</v>
      </c>
      <c r="S1744" s="1" t="str">
        <f t="shared" si="460"/>
        <v>قرارداد فروش</v>
      </c>
      <c r="T1744" s="1" t="str">
        <f t="shared" si="461"/>
        <v>ندارد</v>
      </c>
      <c r="U1744" s="1" t="str">
        <f>"ميهن دوست عبداله(2842010)"</f>
        <v>ميهن دوست عبداله(2842010)</v>
      </c>
      <c r="V1744" s="1">
        <v>956100016</v>
      </c>
      <c r="W1744" s="1">
        <v>956100016</v>
      </c>
      <c r="X1744" s="1" t="str">
        <f>"1395433649"</f>
        <v>1395433649</v>
      </c>
      <c r="Y1744" s="1" t="str">
        <f>"95/07/04"</f>
        <v>95/07/04</v>
      </c>
      <c r="Z1744" s="1" t="str">
        <f>"31188/510"</f>
        <v>31188/510</v>
      </c>
      <c r="AA1744" s="1" t="str">
        <f>"مسكن مهر-وزارت راه"</f>
        <v>مسكن مهر-وزارت راه</v>
      </c>
      <c r="AB1744" s="1" t="str">
        <f>"95/06/31"</f>
        <v>95/06/31</v>
      </c>
      <c r="AC1744" s="1" t="str">
        <f t="shared" si="465"/>
        <v>استان كردستان</v>
      </c>
      <c r="AD1744" s="1" t="str">
        <f>"95/07/04"</f>
        <v>95/07/04</v>
      </c>
      <c r="AE1744" s="1" t="str">
        <f t="shared" si="454"/>
        <v>اختتام</v>
      </c>
      <c r="AF1744" s="1" t="str">
        <f>""</f>
        <v/>
      </c>
      <c r="AG1744" s="1" t="str">
        <f>""</f>
        <v/>
      </c>
      <c r="AH1744" s="1" t="str">
        <f>""</f>
        <v/>
      </c>
      <c r="AI1744" s="1" t="str">
        <f>""</f>
        <v/>
      </c>
      <c r="AJ1744" s="1" t="str">
        <f>""</f>
        <v/>
      </c>
      <c r="AK1744" s="1" t="str">
        <f>""</f>
        <v/>
      </c>
    </row>
    <row r="1745" spans="1:37" x14ac:dyDescent="0.2">
      <c r="A1745" s="1">
        <v>215000</v>
      </c>
      <c r="B1745" s="1">
        <v>951700215</v>
      </c>
      <c r="C1745" s="1" t="str">
        <f>"تخليه كردستان بانه كارخانه شهرداري بانه"</f>
        <v>تخليه كردستان بانه كارخانه شهرداري بانه</v>
      </c>
      <c r="D1745" s="1">
        <v>7276</v>
      </c>
      <c r="E1745" s="1">
        <v>215000</v>
      </c>
      <c r="F1745" s="1">
        <v>95</v>
      </c>
      <c r="G1745" s="1">
        <v>0</v>
      </c>
      <c r="H1745" s="1" t="str">
        <f>"95/07/05"</f>
        <v>95/07/05</v>
      </c>
      <c r="I1745" s="1" t="str">
        <f t="shared" si="459"/>
        <v>كيلوگرم</v>
      </c>
      <c r="J1745" s="1" t="str">
        <f t="shared" si="462"/>
        <v>0000000088</v>
      </c>
      <c r="K1745" s="1" t="str">
        <f t="shared" si="463"/>
        <v>قير  PG58-22</v>
      </c>
      <c r="L1745" s="1">
        <v>100</v>
      </c>
      <c r="M1745" s="1" t="str">
        <f t="shared" si="464"/>
        <v>مخازن قير اصفهان</v>
      </c>
      <c r="N1745" s="1">
        <v>10406</v>
      </c>
      <c r="O1745" s="1">
        <v>50031964</v>
      </c>
      <c r="P1745" s="1" t="str">
        <f>"  اداره كل راه وشهرسازي كردستان"</f>
        <v xml:space="preserve">  اداره كل راه وشهرسازي كردستان</v>
      </c>
      <c r="Q1745" s="1">
        <v>17</v>
      </c>
      <c r="R1745" s="1" t="str">
        <f>"فروش داخلي تهران - وزارت راه - راه روستايي - روکش"</f>
        <v>فروش داخلي تهران - وزارت راه - راه روستايي - روکش</v>
      </c>
      <c r="S1745" s="1" t="str">
        <f t="shared" si="460"/>
        <v>قرارداد فروش</v>
      </c>
      <c r="T1745" s="1" t="str">
        <f t="shared" si="461"/>
        <v>ندارد</v>
      </c>
      <c r="U1745" s="1" t="str">
        <f>"ميهن دوست عبداله(2842010)"</f>
        <v>ميهن دوست عبداله(2842010)</v>
      </c>
      <c r="V1745" s="1">
        <v>951700215</v>
      </c>
      <c r="W1745" s="1">
        <v>951700215</v>
      </c>
      <c r="X1745" s="1" t="str">
        <f>"1395433842"</f>
        <v>1395433842</v>
      </c>
      <c r="Y1745" s="1" t="str">
        <f>"95/07/05"</f>
        <v>95/07/05</v>
      </c>
      <c r="Z1745" s="1" t="str">
        <f>"31536/510"</f>
        <v>31536/510</v>
      </c>
      <c r="AA1745" s="1" t="str">
        <f>"راه روستائي -روكش"</f>
        <v>راه روستائي -روكش</v>
      </c>
      <c r="AB1745" s="1" t="str">
        <f>"95/07/03"</f>
        <v>95/07/03</v>
      </c>
      <c r="AC1745" s="1" t="str">
        <f t="shared" si="465"/>
        <v>استان كردستان</v>
      </c>
      <c r="AD1745" s="1" t="str">
        <f>"95/07/05"</f>
        <v>95/07/05</v>
      </c>
      <c r="AE1745" s="1" t="str">
        <f t="shared" si="454"/>
        <v>اختتام</v>
      </c>
      <c r="AF1745" s="1" t="str">
        <f>""</f>
        <v/>
      </c>
      <c r="AG1745" s="1" t="str">
        <f>""</f>
        <v/>
      </c>
      <c r="AH1745" s="1" t="str">
        <f>""</f>
        <v/>
      </c>
      <c r="AI1745" s="1" t="str">
        <f>""</f>
        <v/>
      </c>
      <c r="AJ1745" s="1" t="str">
        <f>""</f>
        <v/>
      </c>
      <c r="AK1745" s="1" t="str">
        <f>""</f>
        <v/>
      </c>
    </row>
    <row r="1746" spans="1:37" x14ac:dyDescent="0.2">
      <c r="A1746" s="1">
        <v>200000</v>
      </c>
      <c r="B1746" s="1">
        <v>951400034</v>
      </c>
      <c r="C1746" s="1" t="str">
        <f>"تخليه كردستان كارخانه آسفالت شركت آونگان(حسيني )5كيلومتري شهرستان قروه"</f>
        <v>تخليه كردستان كارخانه آسفالت شركت آونگان(حسيني )5كيلومتري شهرستان قروه</v>
      </c>
      <c r="D1746" s="1">
        <v>6250</v>
      </c>
      <c r="E1746" s="1">
        <v>199100</v>
      </c>
      <c r="F1746" s="1">
        <v>95</v>
      </c>
      <c r="G1746" s="1">
        <v>900</v>
      </c>
      <c r="H1746" s="1" t="str">
        <f>"95/04/12"</f>
        <v>95/04/12</v>
      </c>
      <c r="I1746" s="1" t="str">
        <f t="shared" si="459"/>
        <v>كيلوگرم</v>
      </c>
      <c r="J1746" s="1" t="str">
        <f t="shared" si="462"/>
        <v>0000000088</v>
      </c>
      <c r="K1746" s="1" t="str">
        <f t="shared" si="463"/>
        <v>قير  PG58-22</v>
      </c>
      <c r="L1746" s="1">
        <v>100</v>
      </c>
      <c r="M1746" s="1" t="str">
        <f t="shared" si="464"/>
        <v>مخازن قير اصفهان</v>
      </c>
      <c r="N1746" s="1">
        <v>10936</v>
      </c>
      <c r="O1746" s="1">
        <v>50031180</v>
      </c>
      <c r="P1746" s="1" t="str">
        <f>"  نيك سازان كردستان"</f>
        <v xml:space="preserve">  نيك سازان كردستان</v>
      </c>
      <c r="Q1746" s="1">
        <v>14</v>
      </c>
      <c r="R1746" s="1" t="str">
        <f>"فروش داخلي - وزارت راه - حوزه راه روستايي ساخت"</f>
        <v>فروش داخلي - وزارت راه - حوزه راه روستايي ساخت</v>
      </c>
      <c r="S1746" s="1" t="str">
        <f t="shared" si="460"/>
        <v>قرارداد فروش</v>
      </c>
      <c r="T1746" s="1" t="str">
        <f t="shared" si="461"/>
        <v>ندارد</v>
      </c>
      <c r="U1746" s="1" t="str">
        <f>"ميهن دوست عبداله(2842010)"</f>
        <v>ميهن دوست عبداله(2842010)</v>
      </c>
      <c r="V1746" s="1">
        <v>951400034</v>
      </c>
      <c r="W1746" s="1">
        <v>951400034</v>
      </c>
      <c r="X1746" s="1" t="str">
        <f>"1395412593"</f>
        <v>1395412593</v>
      </c>
      <c r="Y1746" s="1" t="str">
        <f>"95/04/12"</f>
        <v>95/04/12</v>
      </c>
      <c r="Z1746" s="1" t="str">
        <f>"14132/510"</f>
        <v>14132/510</v>
      </c>
      <c r="AA1746" s="1" t="str">
        <f>"راه وروستايي -ساخت"</f>
        <v>راه وروستايي -ساخت</v>
      </c>
      <c r="AB1746" s="1" t="str">
        <f>"95/04/02"</f>
        <v>95/04/02</v>
      </c>
      <c r="AC1746" s="1" t="str">
        <f t="shared" si="465"/>
        <v>استان كردستان</v>
      </c>
      <c r="AD1746" s="1" t="str">
        <f>"95/04/12"</f>
        <v>95/04/12</v>
      </c>
      <c r="AE1746" s="1" t="str">
        <f t="shared" si="454"/>
        <v>اختتام</v>
      </c>
      <c r="AF1746" s="1" t="str">
        <f>""</f>
        <v/>
      </c>
      <c r="AG1746" s="1" t="str">
        <f>""</f>
        <v/>
      </c>
      <c r="AH1746" s="1" t="str">
        <f>""</f>
        <v/>
      </c>
      <c r="AI1746" s="1" t="str">
        <f>""</f>
        <v/>
      </c>
      <c r="AJ1746" s="1" t="str">
        <f>""</f>
        <v/>
      </c>
      <c r="AK1746" s="1" t="str">
        <f>""</f>
        <v/>
      </c>
    </row>
    <row r="1747" spans="1:37" x14ac:dyDescent="0.2">
      <c r="A1747" s="1">
        <v>600000</v>
      </c>
      <c r="B1747" s="1">
        <v>951800119</v>
      </c>
      <c r="C1747" s="1" t="str">
        <f>"تخليه كردستان پروژه قطعات 5-1و5-2الف بزرگراه كرمانشاه مياندوآب كارخانه آسفالت شركت سرچنارراه"</f>
        <v>تخليه كردستان پروژه قطعات 5-1و5-2الف بزرگراه كرمانشاه مياندوآب كارخانه آسفالت شركت سرچنارراه</v>
      </c>
      <c r="D1747" s="1">
        <v>9061</v>
      </c>
      <c r="E1747" s="1">
        <v>598500</v>
      </c>
      <c r="F1747" s="1">
        <v>95</v>
      </c>
      <c r="G1747" s="1">
        <v>1500</v>
      </c>
      <c r="H1747" s="1" t="str">
        <f>"95/10/14"</f>
        <v>95/10/14</v>
      </c>
      <c r="I1747" s="1" t="str">
        <f t="shared" si="459"/>
        <v>كيلوگرم</v>
      </c>
      <c r="J1747" s="1" t="str">
        <f t="shared" si="462"/>
        <v>0000000088</v>
      </c>
      <c r="K1747" s="1" t="str">
        <f t="shared" si="463"/>
        <v>قير  PG58-22</v>
      </c>
      <c r="L1747" s="1">
        <v>100</v>
      </c>
      <c r="M1747" s="1" t="str">
        <f t="shared" si="464"/>
        <v>مخازن قير اصفهان</v>
      </c>
      <c r="N1747" s="1">
        <v>10981</v>
      </c>
      <c r="O1747" s="1">
        <v>50033288</v>
      </c>
      <c r="P1747" s="1" t="str">
        <f>"  پاريزسهندكاخ"</f>
        <v xml:space="preserve">  پاريزسهندكاخ</v>
      </c>
      <c r="Q1747" s="1">
        <v>18</v>
      </c>
      <c r="R1747" s="1" t="str">
        <f>"فروش داخلي تهران - وزارت راه - شرکت ساخت و توسعه راهها"</f>
        <v>فروش داخلي تهران - وزارت راه - شرکت ساخت و توسعه راهها</v>
      </c>
      <c r="S1747" s="1" t="str">
        <f t="shared" si="460"/>
        <v>قرارداد فروش</v>
      </c>
      <c r="T1747" s="1" t="str">
        <f t="shared" si="461"/>
        <v>ندارد</v>
      </c>
      <c r="U1747" s="1" t="str">
        <f>"ميهن دوست عبداله(2842010)"</f>
        <v>ميهن دوست عبداله(2842010)</v>
      </c>
      <c r="V1747" s="1">
        <v>951800119</v>
      </c>
      <c r="W1747" s="1">
        <v>951800119</v>
      </c>
      <c r="X1747" s="1" t="str">
        <f>"1395456604"</f>
        <v>1395456604</v>
      </c>
      <c r="Y1747" s="1" t="str">
        <f>"95/10/14"</f>
        <v>95/10/14</v>
      </c>
      <c r="Z1747" s="1" t="str">
        <f>"50331/710"</f>
        <v>50331/710</v>
      </c>
      <c r="AA1747" s="1" t="str">
        <f>"شركت  ساخت وتوسعه راهها"</f>
        <v>شركت  ساخت وتوسعه راهها</v>
      </c>
      <c r="AB1747" s="1" t="str">
        <f>"95/10/13"</f>
        <v>95/10/13</v>
      </c>
      <c r="AC1747" s="1" t="str">
        <f t="shared" si="465"/>
        <v>استان كردستان</v>
      </c>
      <c r="AD1747" s="1" t="str">
        <f>"95/10/14"</f>
        <v>95/10/14</v>
      </c>
      <c r="AE1747" s="1" t="str">
        <f t="shared" si="454"/>
        <v>اختتام</v>
      </c>
      <c r="AF1747" s="1" t="str">
        <f>""</f>
        <v/>
      </c>
      <c r="AG1747" s="1" t="str">
        <f>""</f>
        <v/>
      </c>
      <c r="AH1747" s="1" t="str">
        <f>""</f>
        <v/>
      </c>
      <c r="AI1747" s="1" t="str">
        <f>""</f>
        <v/>
      </c>
      <c r="AJ1747" s="1" t="str">
        <f>""</f>
        <v/>
      </c>
      <c r="AK1747" s="1" t="str">
        <f>""</f>
        <v/>
      </c>
    </row>
    <row r="1748" spans="1:37" x14ac:dyDescent="0.2">
      <c r="A1748" s="1">
        <v>350000</v>
      </c>
      <c r="B1748" s="1">
        <v>956100011</v>
      </c>
      <c r="C1748" s="1" t="str">
        <f>"تخليه كردستان كيلومتر16محورسنندج كرمانشاه شركت كاراتعاوني 163"</f>
        <v>تخليه كردستان كيلومتر16محورسنندج كرمانشاه شركت كاراتعاوني 163</v>
      </c>
      <c r="D1748" s="1">
        <v>7176</v>
      </c>
      <c r="E1748" s="1">
        <v>349320</v>
      </c>
      <c r="F1748" s="1">
        <v>95</v>
      </c>
      <c r="G1748" s="1">
        <v>680</v>
      </c>
      <c r="H1748" s="1" t="str">
        <f>"95/06/15"</f>
        <v>95/06/15</v>
      </c>
      <c r="I1748" s="1" t="str">
        <f t="shared" si="459"/>
        <v>كيلوگرم</v>
      </c>
      <c r="J1748" s="1" t="str">
        <f t="shared" si="462"/>
        <v>0000000088</v>
      </c>
      <c r="K1748" s="1" t="str">
        <f t="shared" si="463"/>
        <v>قير  PG58-22</v>
      </c>
      <c r="L1748" s="1">
        <v>100</v>
      </c>
      <c r="M1748" s="1" t="str">
        <f t="shared" si="464"/>
        <v>مخازن قير اصفهان</v>
      </c>
      <c r="N1748" s="1">
        <v>11174</v>
      </c>
      <c r="O1748" s="1">
        <v>50031783</v>
      </c>
      <c r="P1748" s="1" t="str">
        <f>"  راه وساختمان وتاسيساتي سلدوزنقده"</f>
        <v xml:space="preserve">  راه وساختمان وتاسيساتي سلدوزنقده</v>
      </c>
      <c r="Q1748" s="1">
        <v>61</v>
      </c>
      <c r="R1748" s="1" t="str">
        <f>"فروش داخلي - وزارت راه - مسكن مهر"</f>
        <v>فروش داخلي - وزارت راه - مسكن مهر</v>
      </c>
      <c r="S1748" s="1" t="str">
        <f t="shared" si="460"/>
        <v>قرارداد فروش</v>
      </c>
      <c r="T1748" s="1" t="str">
        <f t="shared" si="461"/>
        <v>ندارد</v>
      </c>
      <c r="U1748" s="1" t="str">
        <f>"ميهن دوست عبداله(2842010)"</f>
        <v>ميهن دوست عبداله(2842010)</v>
      </c>
      <c r="V1748" s="1">
        <v>956100011</v>
      </c>
      <c r="W1748" s="1">
        <v>956100011</v>
      </c>
      <c r="X1748" s="1" t="str">
        <f>"1395428999"</f>
        <v>1395428999</v>
      </c>
      <c r="Y1748" s="1" t="str">
        <f>"95/06/15"</f>
        <v>95/06/15</v>
      </c>
      <c r="Z1748" s="1" t="str">
        <f>"27343/510"</f>
        <v>27343/510</v>
      </c>
      <c r="AA1748" s="1" t="str">
        <f>"مسكن مهر-وزارت راه"</f>
        <v>مسكن مهر-وزارت راه</v>
      </c>
      <c r="AB1748" s="1" t="str">
        <f>"95/06/10"</f>
        <v>95/06/10</v>
      </c>
      <c r="AC1748" s="1" t="str">
        <f t="shared" si="465"/>
        <v>استان كردستان</v>
      </c>
      <c r="AD1748" s="1" t="str">
        <f>"95/06/14"</f>
        <v>95/06/14</v>
      </c>
      <c r="AE1748" s="1" t="str">
        <f t="shared" si="454"/>
        <v>اختتام</v>
      </c>
      <c r="AF1748" s="1" t="str">
        <f>""</f>
        <v/>
      </c>
      <c r="AG1748" s="1" t="str">
        <f>""</f>
        <v/>
      </c>
      <c r="AH1748" s="1" t="str">
        <f>""</f>
        <v/>
      </c>
      <c r="AI1748" s="1" t="str">
        <f>""</f>
        <v/>
      </c>
      <c r="AJ1748" s="1" t="str">
        <f>""</f>
        <v/>
      </c>
      <c r="AK1748" s="1" t="str">
        <f>""</f>
        <v/>
      </c>
    </row>
    <row r="1749" spans="1:37" x14ac:dyDescent="0.2">
      <c r="A1749" s="1">
        <v>575000</v>
      </c>
      <c r="B1749" s="1">
        <v>956200236</v>
      </c>
      <c r="C1749" s="1" t="str">
        <f>"تخليه - آذربايجان غربي - اروميه - کيلومتر 17 جاده نازلو-شهرک اسفالت -کارخانه آسفالت بابائي"</f>
        <v>تخليه - آذربايجان غربي - اروميه - کيلومتر 17 جاده نازلو-شهرک اسفالت -کارخانه آسفالت بابائي</v>
      </c>
      <c r="D1749" s="1">
        <v>9511</v>
      </c>
      <c r="E1749" s="1">
        <v>572580</v>
      </c>
      <c r="F1749" s="1">
        <v>95</v>
      </c>
      <c r="G1749" s="1">
        <v>2420</v>
      </c>
      <c r="H1749" s="1" t="str">
        <f>"95/11/25"</f>
        <v>95/11/25</v>
      </c>
      <c r="I1749" s="1" t="str">
        <f t="shared" si="459"/>
        <v>كيلوگرم</v>
      </c>
      <c r="J1749" s="1" t="str">
        <f t="shared" si="462"/>
        <v>0000000088</v>
      </c>
      <c r="K1749" s="1" t="str">
        <f t="shared" si="463"/>
        <v>قير  PG58-22</v>
      </c>
      <c r="L1749" s="1">
        <v>100</v>
      </c>
      <c r="M1749" s="1" t="str">
        <f t="shared" si="464"/>
        <v>مخازن قير اصفهان</v>
      </c>
      <c r="N1749" s="1">
        <v>11257</v>
      </c>
      <c r="O1749" s="1">
        <v>50033746</v>
      </c>
      <c r="P1749" s="1" t="str">
        <f>"  قره يول نازلو چاي"</f>
        <v xml:space="preserve">  قره يول نازلو چاي</v>
      </c>
      <c r="Q1749" s="1">
        <v>62</v>
      </c>
      <c r="R1749" s="1" t="str">
        <f>"فروش داخلي - سازمان بنيادمسكن انقلاب اسلامي"</f>
        <v>فروش داخلي - سازمان بنيادمسكن انقلاب اسلامي</v>
      </c>
      <c r="S1749" s="1" t="str">
        <f t="shared" si="460"/>
        <v>قرارداد فروش</v>
      </c>
      <c r="T1749" s="1" t="str">
        <f t="shared" si="461"/>
        <v>ندارد</v>
      </c>
      <c r="U1749" s="1" t="str">
        <f>"فتاح زاده سيداحمد(3843011)"</f>
        <v>فتاح زاده سيداحمد(3843011)</v>
      </c>
      <c r="V1749" s="1">
        <v>956200236</v>
      </c>
      <c r="W1749" s="1">
        <v>956200236</v>
      </c>
      <c r="X1749" s="1" t="str">
        <f>"1395464673"</f>
        <v>1395464673</v>
      </c>
      <c r="Y1749" s="1" t="str">
        <f>"95/11/25"</f>
        <v>95/11/25</v>
      </c>
      <c r="Z1749" s="1" t="str">
        <f>"51017/د"</f>
        <v>51017/د</v>
      </c>
      <c r="AA1749" s="1" t="str">
        <f>"بنيادمسكن انقلاب اسلامي"</f>
        <v>بنيادمسكن انقلاب اسلامي</v>
      </c>
      <c r="AB1749" s="1" t="str">
        <f>"95/11/24"</f>
        <v>95/11/24</v>
      </c>
      <c r="AC1749" s="1" t="str">
        <f>"استان آذربايجان غربي"</f>
        <v>استان آذربايجان غربي</v>
      </c>
      <c r="AD1749" s="1" t="str">
        <f>"95/11/25"</f>
        <v>95/11/25</v>
      </c>
      <c r="AE1749" s="1" t="str">
        <f t="shared" si="454"/>
        <v>اختتام</v>
      </c>
      <c r="AF1749" s="1" t="str">
        <f>""</f>
        <v/>
      </c>
      <c r="AG1749" s="1" t="str">
        <f>""</f>
        <v/>
      </c>
      <c r="AH1749" s="1" t="str">
        <f>""</f>
        <v/>
      </c>
      <c r="AI1749" s="1" t="str">
        <f>""</f>
        <v/>
      </c>
      <c r="AJ1749" s="1" t="str">
        <f>""</f>
        <v/>
      </c>
      <c r="AK1749" s="1" t="str">
        <f>""</f>
        <v/>
      </c>
    </row>
    <row r="1750" spans="1:37" x14ac:dyDescent="0.2">
      <c r="A1750" s="1">
        <v>300000</v>
      </c>
      <c r="B1750" s="1">
        <v>951900099</v>
      </c>
      <c r="C1750" s="1" t="str">
        <f>"تخليه -چهارمحال وبختياري -شهرستان اردل -ناحيه صنعتي -كارخانه آسفالت دشتاونددزپارت"</f>
        <v>تخليه -چهارمحال وبختياري -شهرستان اردل -ناحيه صنعتي -كارخانه آسفالت دشتاونددزپارت</v>
      </c>
      <c r="D1750" s="1">
        <v>6726</v>
      </c>
      <c r="E1750" s="1">
        <v>298900</v>
      </c>
      <c r="F1750" s="1">
        <v>95</v>
      </c>
      <c r="G1750" s="1">
        <v>1100</v>
      </c>
      <c r="H1750" s="1" t="str">
        <f>"95/05/18"</f>
        <v>95/05/18</v>
      </c>
      <c r="I1750" s="1" t="str">
        <f t="shared" si="459"/>
        <v>كيلوگرم</v>
      </c>
      <c r="J1750" s="1" t="str">
        <f>"0000000089"</f>
        <v>0000000089</v>
      </c>
      <c r="K1750" s="1" t="str">
        <f>"قير  PG58-16"</f>
        <v>قير  PG58-16</v>
      </c>
      <c r="L1750" s="1">
        <v>100</v>
      </c>
      <c r="M1750" s="1" t="str">
        <f t="shared" si="464"/>
        <v>مخازن قير اصفهان</v>
      </c>
      <c r="N1750" s="1">
        <v>9310</v>
      </c>
      <c r="O1750" s="1">
        <v>50031460</v>
      </c>
      <c r="P1750" s="1" t="str">
        <f>"  دشتاونددزپارت"</f>
        <v xml:space="preserve">  دشتاونددزپارت</v>
      </c>
      <c r="Q1750" s="1">
        <v>19</v>
      </c>
      <c r="R17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0" s="1" t="str">
        <f t="shared" si="460"/>
        <v>قرارداد فروش</v>
      </c>
      <c r="T1750" s="1" t="str">
        <f t="shared" si="461"/>
        <v>ندارد</v>
      </c>
      <c r="U1750" s="1" t="str">
        <f>"قره باغي مجيد(1871065)"</f>
        <v>قره باغي مجيد(1871065)</v>
      </c>
      <c r="V1750" s="1">
        <v>951900099</v>
      </c>
      <c r="W1750" s="1">
        <v>951900099</v>
      </c>
      <c r="X1750" s="1" t="str">
        <f>"1395421756"</f>
        <v>1395421756</v>
      </c>
      <c r="Y1750" s="1" t="str">
        <f>"95/05/18"</f>
        <v>95/05/18</v>
      </c>
      <c r="Z1750" s="1" t="str">
        <f>"21002/510"</f>
        <v>21002/510</v>
      </c>
      <c r="AA1750" s="1" t="str">
        <f>"سازمان راهداري وحمل نقل جاده اي"</f>
        <v>سازمان راهداري وحمل نقل جاده اي</v>
      </c>
      <c r="AB1750" s="1" t="str">
        <f>"95/05/11"</f>
        <v>95/05/11</v>
      </c>
      <c r="AC1750" s="1" t="str">
        <f>"استان چهارمحال بختياري"</f>
        <v>استان چهارمحال بختياري</v>
      </c>
      <c r="AD1750" s="1" t="str">
        <f>"95/05/17"</f>
        <v>95/05/17</v>
      </c>
      <c r="AE1750" s="1" t="str">
        <f t="shared" si="454"/>
        <v>اختتام</v>
      </c>
      <c r="AF1750" s="1" t="str">
        <f>""</f>
        <v/>
      </c>
      <c r="AG1750" s="1" t="str">
        <f>""</f>
        <v/>
      </c>
      <c r="AH1750" s="1" t="str">
        <f>""</f>
        <v/>
      </c>
      <c r="AI1750" s="1" t="str">
        <f>""</f>
        <v/>
      </c>
      <c r="AJ1750" s="1" t="str">
        <f>""</f>
        <v/>
      </c>
      <c r="AK1750" s="1" t="str">
        <f>""</f>
        <v/>
      </c>
    </row>
    <row r="1751" spans="1:37" x14ac:dyDescent="0.2">
      <c r="A1751" s="1">
        <v>200000</v>
      </c>
      <c r="B1751" s="1">
        <v>951900197</v>
      </c>
      <c r="C1751" s="1" t="str">
        <f>"تخليه - اصفهان- کيلومتر 5 جاده نجف آباد به فولاد شهر-شرکت زرين سپاهان"</f>
        <v>تخليه - اصفهان- کيلومتر 5 جاده نجف آباد به فولاد شهر-شرکت زرين سپاهان</v>
      </c>
      <c r="D1751" s="1">
        <v>8323</v>
      </c>
      <c r="E1751" s="1">
        <v>196560</v>
      </c>
      <c r="F1751" s="1">
        <v>95</v>
      </c>
      <c r="G1751" s="1">
        <v>3440</v>
      </c>
      <c r="H1751" s="1" t="str">
        <f>"95/08/26"</f>
        <v>95/08/26</v>
      </c>
      <c r="I1751" s="1" t="str">
        <f t="shared" si="459"/>
        <v>كيلوگرم</v>
      </c>
      <c r="J1751" s="1" t="str">
        <f>"0000000089"</f>
        <v>0000000089</v>
      </c>
      <c r="K1751" s="1" t="str">
        <f>"قير  PG58-16"</f>
        <v>قير  PG58-16</v>
      </c>
      <c r="L1751" s="1">
        <v>100</v>
      </c>
      <c r="M1751" s="1" t="str">
        <f t="shared" si="464"/>
        <v>مخازن قير اصفهان</v>
      </c>
      <c r="N1751" s="1">
        <v>11214</v>
      </c>
      <c r="O1751" s="1">
        <v>50032621</v>
      </c>
      <c r="P1751" s="1" t="str">
        <f>"  آبادراهسازان لجورزاگرس"</f>
        <v xml:space="preserve">  آبادراهسازان لجورزاگرس</v>
      </c>
      <c r="Q1751" s="1">
        <v>19</v>
      </c>
      <c r="R17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1" s="1" t="str">
        <f t="shared" si="460"/>
        <v>قرارداد فروش</v>
      </c>
      <c r="T1751" s="1" t="str">
        <f t="shared" si="461"/>
        <v>ندارد</v>
      </c>
      <c r="U1751" s="1" t="str">
        <f>"قره باغي مجيد(1871065)"</f>
        <v>قره باغي مجيد(1871065)</v>
      </c>
      <c r="V1751" s="1">
        <v>951900197</v>
      </c>
      <c r="W1751" s="1">
        <v>951900197</v>
      </c>
      <c r="X1751" s="1" t="str">
        <f>"1395446087"</f>
        <v>1395446087</v>
      </c>
      <c r="Y1751" s="1" t="str">
        <f>"95/08/26"</f>
        <v>95/08/26</v>
      </c>
      <c r="Z1751" s="1" t="str">
        <f>"38482/710"</f>
        <v>38482/710</v>
      </c>
      <c r="AA1751" s="1" t="str">
        <f>"سازمان راهداري وحمل نقل جاده اي"</f>
        <v>سازمان راهداري وحمل نقل جاده اي</v>
      </c>
      <c r="AB1751" s="1" t="str">
        <f>"95/08/10"</f>
        <v>95/08/10</v>
      </c>
      <c r="AC1751" s="1" t="str">
        <f>"استان آذربايجان غربي"</f>
        <v>استان آذربايجان غربي</v>
      </c>
      <c r="AD1751" s="1" t="str">
        <f>"95/08/26"</f>
        <v>95/08/26</v>
      </c>
      <c r="AE1751" s="1" t="str">
        <f t="shared" si="454"/>
        <v>اختتام</v>
      </c>
      <c r="AF1751" s="1" t="str">
        <f>""</f>
        <v/>
      </c>
      <c r="AG1751" s="1" t="str">
        <f>""</f>
        <v/>
      </c>
      <c r="AH1751" s="1" t="str">
        <f>""</f>
        <v/>
      </c>
      <c r="AI1751" s="1" t="str">
        <f>""</f>
        <v/>
      </c>
      <c r="AJ1751" s="1" t="str">
        <f>""</f>
        <v/>
      </c>
      <c r="AK1751" s="1" t="str">
        <f>""</f>
        <v/>
      </c>
    </row>
    <row r="1752" spans="1:37" x14ac:dyDescent="0.2">
      <c r="A1752" s="1">
        <v>115000</v>
      </c>
      <c r="B1752" s="1">
        <v>952000220</v>
      </c>
      <c r="C1752" s="1" t="str">
        <f>"تخليه - چهارمحال و بختياري-شهرک صنعتي سامان -کارخانه نسيم سامان"</f>
        <v>تخليه - چهارمحال و بختياري-شهرک صنعتي سامان -کارخانه نسيم سامان</v>
      </c>
      <c r="D1752" s="1">
        <v>8023</v>
      </c>
      <c r="E1752" s="1">
        <v>113820</v>
      </c>
      <c r="F1752" s="1">
        <v>95</v>
      </c>
      <c r="G1752" s="1">
        <v>1180</v>
      </c>
      <c r="H1752" s="1" t="str">
        <f>"95/08/17"</f>
        <v>95/08/17</v>
      </c>
      <c r="I1752" s="1" t="str">
        <f t="shared" si="459"/>
        <v>كيلوگرم</v>
      </c>
      <c r="J1752" s="1" t="str">
        <f>"1000000002"</f>
        <v>1000000002</v>
      </c>
      <c r="K1752" s="1" t="str">
        <f>"قير 85/100 - فله"</f>
        <v>قير 85/100 - فله</v>
      </c>
      <c r="L1752" s="1">
        <v>100</v>
      </c>
      <c r="M1752" s="1" t="str">
        <f t="shared" si="464"/>
        <v>مخازن قير اصفهان</v>
      </c>
      <c r="N1752" s="1">
        <v>7187</v>
      </c>
      <c r="O1752" s="1">
        <v>50032547</v>
      </c>
      <c r="P1752" s="1" t="str">
        <f>"  شهرداري سامان"</f>
        <v xml:space="preserve">  شهرداري سامان</v>
      </c>
      <c r="Q1752" s="1">
        <v>20</v>
      </c>
      <c r="R1752" s="1" t="str">
        <f>"فروش داخلي - سازمان شهرداري ها و دهياري هاي كشور"</f>
        <v>فروش داخلي - سازمان شهرداري ها و دهياري هاي كشور</v>
      </c>
      <c r="S1752" s="1" t="str">
        <f t="shared" si="460"/>
        <v>قرارداد فروش</v>
      </c>
      <c r="T1752" s="1" t="str">
        <f t="shared" si="461"/>
        <v>ندارد</v>
      </c>
      <c r="U1752" s="1" t="str">
        <f>"قره باغي مجيد(1871065)"</f>
        <v>قره باغي مجيد(1871065)</v>
      </c>
      <c r="V1752" s="1">
        <v>952000220</v>
      </c>
      <c r="W1752" s="1">
        <v>952000220</v>
      </c>
      <c r="X1752" s="1" t="str">
        <f>"1395443388"</f>
        <v>1395443388</v>
      </c>
      <c r="Y1752" s="1" t="str">
        <f>"95/08/17"</f>
        <v>95/08/17</v>
      </c>
      <c r="Z1752" s="1" t="str">
        <f>"39731"</f>
        <v>39731</v>
      </c>
      <c r="AA1752" s="1" t="str">
        <f>"شهرداريها"</f>
        <v>شهرداريها</v>
      </c>
      <c r="AB1752" s="1" t="str">
        <f>"95/08/12"</f>
        <v>95/08/12</v>
      </c>
      <c r="AC1752" s="1" t="str">
        <f>"استان چهارمحال بختياري"</f>
        <v>استان چهارمحال بختياري</v>
      </c>
      <c r="AD1752" s="1" t="str">
        <f>"95/08/17"</f>
        <v>95/08/17</v>
      </c>
      <c r="AE1752" s="1" t="str">
        <f t="shared" si="454"/>
        <v>اختتام</v>
      </c>
      <c r="AF1752" s="1" t="str">
        <f>""</f>
        <v/>
      </c>
      <c r="AG1752" s="1" t="str">
        <f>""</f>
        <v/>
      </c>
      <c r="AH1752" s="1" t="str">
        <f>""</f>
        <v/>
      </c>
      <c r="AI1752" s="1" t="str">
        <f>""</f>
        <v/>
      </c>
      <c r="AJ1752" s="1" t="str">
        <f>""</f>
        <v/>
      </c>
      <c r="AK1752" s="1" t="str">
        <f>""</f>
        <v/>
      </c>
    </row>
    <row r="1753" spans="1:37" x14ac:dyDescent="0.2">
      <c r="A1753" s="1">
        <v>550240</v>
      </c>
      <c r="B1753" s="1">
        <v>951700295</v>
      </c>
      <c r="C1753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1753" s="1">
        <v>9061</v>
      </c>
      <c r="E1753" s="1">
        <v>256600</v>
      </c>
      <c r="F1753" s="1">
        <v>95</v>
      </c>
      <c r="G1753" s="1">
        <v>293640</v>
      </c>
      <c r="H1753" s="1" t="str">
        <f>"95/10/05"</f>
        <v>95/10/05</v>
      </c>
      <c r="I1753" s="1" t="str">
        <f t="shared" si="459"/>
        <v>كيلوگرم</v>
      </c>
      <c r="J1753" s="1" t="str">
        <f t="shared" ref="J1753:J1793" si="466">"0000000091"</f>
        <v>0000000091</v>
      </c>
      <c r="K1753" s="1" t="str">
        <f t="shared" ref="K1753:K1793" si="467">"قير  PG64-22"</f>
        <v>قير  PG64-22</v>
      </c>
      <c r="L1753" s="1">
        <v>100</v>
      </c>
      <c r="M1753" s="1" t="str">
        <f t="shared" si="464"/>
        <v>مخازن قير اصفهان</v>
      </c>
      <c r="N1753" s="1">
        <v>1602</v>
      </c>
      <c r="O1753" s="1">
        <v>50033140</v>
      </c>
      <c r="P1753" s="1" t="str">
        <f>"  اداره كل راه و شهرسازي يزد"</f>
        <v xml:space="preserve">  اداره كل راه و شهرسازي يزد</v>
      </c>
      <c r="Q1753" s="1">
        <v>17</v>
      </c>
      <c r="R1753" s="1" t="str">
        <f>"فروش داخلي تهران - وزارت راه - راه روستايي - روکش"</f>
        <v>فروش داخلي تهران - وزارت راه - راه روستايي - روکش</v>
      </c>
      <c r="S1753" s="1" t="str">
        <f t="shared" si="460"/>
        <v>قرارداد فروش</v>
      </c>
      <c r="T1753" s="1" t="str">
        <f t="shared" si="461"/>
        <v>ندارد</v>
      </c>
      <c r="U1753" s="1" t="str">
        <f>"قانعي محمدرضا(1011ج89)"</f>
        <v>قانعي محمدرضا(1011ج89)</v>
      </c>
      <c r="V1753" s="1">
        <v>951700295</v>
      </c>
      <c r="W1753" s="1">
        <v>951700295</v>
      </c>
      <c r="X1753" s="1" t="str">
        <f>"1395433636"</f>
        <v>1395433636</v>
      </c>
      <c r="Y1753" s="1" t="str">
        <f>"95/10/05"</f>
        <v>95/10/05</v>
      </c>
      <c r="Z1753" s="1" t="str">
        <f>"30515/510"</f>
        <v>30515/510</v>
      </c>
      <c r="AA1753" s="1" t="str">
        <f>"راه روستائي -روكش"</f>
        <v>راه روستائي -روكش</v>
      </c>
      <c r="AB1753" s="1" t="str">
        <f>"95/06/27"</f>
        <v>95/06/27</v>
      </c>
      <c r="AC1753" s="1" t="str">
        <f>"استان يزد"</f>
        <v>استان يزد</v>
      </c>
      <c r="AD1753" s="1" t="str">
        <f>"95/07/04"</f>
        <v>95/07/04</v>
      </c>
      <c r="AE1753" s="1" t="str">
        <f t="shared" si="454"/>
        <v>اختتام</v>
      </c>
      <c r="AF1753" s="1" t="str">
        <f>""</f>
        <v/>
      </c>
      <c r="AG1753" s="1" t="str">
        <f>""</f>
        <v/>
      </c>
      <c r="AH1753" s="1" t="str">
        <f>""</f>
        <v/>
      </c>
      <c r="AI1753" s="1" t="str">
        <f>""</f>
        <v/>
      </c>
      <c r="AJ1753" s="1" t="str">
        <f>""</f>
        <v/>
      </c>
      <c r="AK1753" s="1" t="str">
        <f>""</f>
        <v/>
      </c>
    </row>
    <row r="1754" spans="1:37" x14ac:dyDescent="0.2">
      <c r="A1754" s="1">
        <v>40760</v>
      </c>
      <c r="B1754" s="1">
        <v>951800133</v>
      </c>
      <c r="C1754" s="1" t="str">
        <f>"تخليه-خراسان جنوبي-آرين شهر 3کيلومتر بعداز آرين شهر به سمت بيرجند کارخانه آسفالت شرکت آب شن-راه توس"</f>
        <v>تخليه-خراسان جنوبي-آرين شهر 3کيلومتر بعداز آرين شهر به سمت بيرجند کارخانه آسفالت شرکت آب شن-راه توس</v>
      </c>
      <c r="D1754" s="1">
        <v>9354</v>
      </c>
      <c r="E1754" s="1">
        <v>40760</v>
      </c>
      <c r="F1754" s="1">
        <v>95</v>
      </c>
      <c r="G1754" s="1">
        <v>0</v>
      </c>
      <c r="H1754" s="1" t="str">
        <f>"95/11/03"</f>
        <v>95/11/03</v>
      </c>
      <c r="I1754" s="1" t="str">
        <f t="shared" si="459"/>
        <v>كيلوگرم</v>
      </c>
      <c r="J1754" s="1" t="str">
        <f t="shared" si="466"/>
        <v>0000000091</v>
      </c>
      <c r="K1754" s="1" t="str">
        <f t="shared" si="467"/>
        <v>قير  PG64-22</v>
      </c>
      <c r="L1754" s="1">
        <v>100</v>
      </c>
      <c r="M1754" s="1" t="str">
        <f t="shared" si="464"/>
        <v>مخازن قير اصفهان</v>
      </c>
      <c r="N1754" s="1">
        <v>1661</v>
      </c>
      <c r="O1754" s="1">
        <v>50033489</v>
      </c>
      <c r="P1754" s="1" t="str">
        <f>"  ساختماني او-يول"</f>
        <v xml:space="preserve">  ساختماني او-يول</v>
      </c>
      <c r="Q1754" s="1">
        <v>18</v>
      </c>
      <c r="R1754" s="1" t="str">
        <f>"فروش داخلي تهران - وزارت راه - شرکت ساخت و توسعه راهها"</f>
        <v>فروش داخلي تهران - وزارت راه - شرکت ساخت و توسعه راهها</v>
      </c>
      <c r="S1754" s="1" t="str">
        <f t="shared" si="460"/>
        <v>قرارداد فروش</v>
      </c>
      <c r="T1754" s="1" t="str">
        <f t="shared" si="461"/>
        <v>ندارد</v>
      </c>
      <c r="U1754" s="1" t="str">
        <f>"درودي رضا(1841030)"</f>
        <v>درودي رضا(1841030)</v>
      </c>
      <c r="V1754" s="1">
        <v>951800133</v>
      </c>
      <c r="W1754" s="1">
        <v>951800133</v>
      </c>
      <c r="X1754" s="1" t="str">
        <f>"1395423466"</f>
        <v>1395423466</v>
      </c>
      <c r="Y1754" s="1" t="str">
        <f>"95/11/03"</f>
        <v>95/11/03</v>
      </c>
      <c r="Z1754" s="1" t="str">
        <f>"21620/510"</f>
        <v>21620/510</v>
      </c>
      <c r="AA1754" s="1" t="str">
        <f>"شركت  ساخت وتوسعه راهها"</f>
        <v>شركت  ساخت وتوسعه راهها</v>
      </c>
      <c r="AB1754" s="1" t="str">
        <f>"95/05/16"</f>
        <v>95/05/16</v>
      </c>
      <c r="AC1754" s="1" t="str">
        <f>"خراسان جنوبي"</f>
        <v>خراسان جنوبي</v>
      </c>
      <c r="AD1754" s="1" t="str">
        <f>"95/05/23"</f>
        <v>95/05/23</v>
      </c>
      <c r="AE1754" s="1" t="str">
        <f t="shared" si="454"/>
        <v>اختتام</v>
      </c>
      <c r="AF1754" s="1" t="str">
        <f>""</f>
        <v/>
      </c>
      <c r="AG1754" s="1" t="str">
        <f>""</f>
        <v/>
      </c>
      <c r="AH1754" s="1" t="str">
        <f>""</f>
        <v/>
      </c>
      <c r="AI1754" s="1" t="str">
        <f>""</f>
        <v/>
      </c>
      <c r="AJ1754" s="1" t="str">
        <f>""</f>
        <v/>
      </c>
      <c r="AK1754" s="1" t="str">
        <f>""</f>
        <v/>
      </c>
    </row>
    <row r="1755" spans="1:37" x14ac:dyDescent="0.2">
      <c r="A1755" s="1">
        <v>400000</v>
      </c>
      <c r="B1755" s="1">
        <v>951900042</v>
      </c>
      <c r="C1755" s="1" t="str">
        <f>"تخليه يزد-بافق -جهادنصريزد"</f>
        <v>تخليه يزد-بافق -جهادنصريزد</v>
      </c>
      <c r="D1755" s="1">
        <v>6250</v>
      </c>
      <c r="E1755" s="1">
        <v>400000</v>
      </c>
      <c r="F1755" s="1">
        <v>95</v>
      </c>
      <c r="G1755" s="1">
        <v>0</v>
      </c>
      <c r="H1755" s="1" t="str">
        <f>"95/04/21"</f>
        <v>95/04/21</v>
      </c>
      <c r="I1755" s="1" t="str">
        <f t="shared" si="459"/>
        <v>كيلوگرم</v>
      </c>
      <c r="J1755" s="1" t="str">
        <f t="shared" si="466"/>
        <v>0000000091</v>
      </c>
      <c r="K1755" s="1" t="str">
        <f t="shared" si="467"/>
        <v>قير  PG64-22</v>
      </c>
      <c r="L1755" s="1">
        <v>100</v>
      </c>
      <c r="M1755" s="1" t="str">
        <f t="shared" si="464"/>
        <v>مخازن قير اصفهان</v>
      </c>
      <c r="N1755" s="1">
        <v>1665</v>
      </c>
      <c r="O1755" s="1">
        <v>50031258</v>
      </c>
      <c r="P1755" s="1" t="str">
        <f>"  جهاد نصر يزد"</f>
        <v xml:space="preserve">  جهاد نصر يزد</v>
      </c>
      <c r="Q1755" s="1">
        <v>19</v>
      </c>
      <c r="R175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5" s="1" t="str">
        <f t="shared" si="460"/>
        <v>قرارداد فروش</v>
      </c>
      <c r="T1755" s="1" t="str">
        <f t="shared" si="461"/>
        <v>ندارد</v>
      </c>
      <c r="U1755" s="1" t="str">
        <f>"غلام نجفي سيامك‌‌‌‌‌‌(1881082)"</f>
        <v>غلام نجفي سيامك‌‌‌‌‌‌(1881082)</v>
      </c>
      <c r="V1755" s="1">
        <v>951900042</v>
      </c>
      <c r="W1755" s="1">
        <v>951900042</v>
      </c>
      <c r="X1755" s="1" t="str">
        <f>"1395414106"</f>
        <v>1395414106</v>
      </c>
      <c r="Y1755" s="1" t="str">
        <f>"95/04/20"</f>
        <v>95/04/20</v>
      </c>
      <c r="Z1755" s="1" t="str">
        <f>"15747/510"</f>
        <v>15747/510</v>
      </c>
      <c r="AA1755" s="1" t="str">
        <f>"سازمان راهداري وحمل نقل جاده اي"</f>
        <v>سازمان راهداري وحمل نقل جاده اي</v>
      </c>
      <c r="AB1755" s="1" t="str">
        <f>"95/04/13"</f>
        <v>95/04/13</v>
      </c>
      <c r="AC1755" s="1" t="str">
        <f>"استان يزد"</f>
        <v>استان يزد</v>
      </c>
      <c r="AD1755" s="1" t="str">
        <f>"95/04/19"</f>
        <v>95/04/19</v>
      </c>
      <c r="AE1755" s="1" t="str">
        <f t="shared" si="454"/>
        <v>اختتام</v>
      </c>
      <c r="AF1755" s="1" t="str">
        <f>""</f>
        <v/>
      </c>
      <c r="AG1755" s="1" t="str">
        <f>""</f>
        <v/>
      </c>
      <c r="AH1755" s="1" t="str">
        <f>""</f>
        <v/>
      </c>
      <c r="AI1755" s="1" t="str">
        <f>""</f>
        <v/>
      </c>
      <c r="AJ1755" s="1" t="str">
        <f>""</f>
        <v/>
      </c>
      <c r="AK1755" s="1" t="str">
        <f>""</f>
        <v/>
      </c>
    </row>
    <row r="1756" spans="1:37" x14ac:dyDescent="0.2">
      <c r="A1756" s="1">
        <v>1000000</v>
      </c>
      <c r="B1756" s="1">
        <v>951900220</v>
      </c>
      <c r="C1756" s="1" t="str">
        <f>"تخليه -يزدجاده فهرج -كارخانه آسفالت گسترنصريزد"</f>
        <v>تخليه -يزدجاده فهرج -كارخانه آسفالت گسترنصريزد</v>
      </c>
      <c r="D1756" s="1">
        <v>9061</v>
      </c>
      <c r="E1756" s="1">
        <v>840900</v>
      </c>
      <c r="F1756" s="1">
        <v>95</v>
      </c>
      <c r="G1756" s="1">
        <v>159100</v>
      </c>
      <c r="H1756" s="1" t="str">
        <f>"95/10/02"</f>
        <v>95/10/02</v>
      </c>
      <c r="I1756" s="1" t="str">
        <f t="shared" si="459"/>
        <v>كيلوگرم</v>
      </c>
      <c r="J1756" s="1" t="str">
        <f t="shared" si="466"/>
        <v>0000000091</v>
      </c>
      <c r="K1756" s="1" t="str">
        <f t="shared" si="467"/>
        <v>قير  PG64-22</v>
      </c>
      <c r="L1756" s="1">
        <v>100</v>
      </c>
      <c r="M1756" s="1" t="str">
        <f t="shared" si="464"/>
        <v>مخازن قير اصفهان</v>
      </c>
      <c r="N1756" s="1">
        <v>1665</v>
      </c>
      <c r="O1756" s="1">
        <v>50033109</v>
      </c>
      <c r="P1756" s="1" t="str">
        <f>"  جهاد نصر يزد"</f>
        <v xml:space="preserve">  جهاد نصر يزد</v>
      </c>
      <c r="Q1756" s="1">
        <v>19</v>
      </c>
      <c r="R17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6" s="1" t="str">
        <f t="shared" si="460"/>
        <v>قرارداد فروش</v>
      </c>
      <c r="T1756" s="1" t="str">
        <f t="shared" si="461"/>
        <v>ندارد</v>
      </c>
      <c r="U1756" s="1" t="str">
        <f>"غلام نجفي سيامك‌‌‌‌‌‌(1881082)"</f>
        <v>غلام نجفي سيامك‌‌‌‌‌‌(1881082)</v>
      </c>
      <c r="V1756" s="1">
        <v>951900220</v>
      </c>
      <c r="W1756" s="1">
        <v>951900220</v>
      </c>
      <c r="X1756" s="1" t="str">
        <f>"1395447613"</f>
        <v>1395447613</v>
      </c>
      <c r="Y1756" s="1" t="str">
        <f>"95/10/02"</f>
        <v>95/10/02</v>
      </c>
      <c r="Z1756" s="1" t="str">
        <f>"42078/710"</f>
        <v>42078/710</v>
      </c>
      <c r="AA1756" s="1" t="str">
        <f>"سازمان راهداري وحمل نقل جاده اي"</f>
        <v>سازمان راهداري وحمل نقل جاده اي</v>
      </c>
      <c r="AB1756" s="1" t="str">
        <f>"95/08/29"</f>
        <v>95/08/29</v>
      </c>
      <c r="AC1756" s="1" t="str">
        <f>"استان يزد"</f>
        <v>استان يزد</v>
      </c>
      <c r="AD1756" s="1" t="str">
        <f>"95/09/06"</f>
        <v>95/09/06</v>
      </c>
      <c r="AE1756" s="1" t="str">
        <f t="shared" si="454"/>
        <v>اختتام</v>
      </c>
      <c r="AF1756" s="1" t="str">
        <f>""</f>
        <v/>
      </c>
      <c r="AG1756" s="1" t="str">
        <f>""</f>
        <v/>
      </c>
      <c r="AH1756" s="1" t="str">
        <f>""</f>
        <v/>
      </c>
      <c r="AI1756" s="1" t="str">
        <f>""</f>
        <v/>
      </c>
      <c r="AJ1756" s="1" t="str">
        <f>""</f>
        <v/>
      </c>
      <c r="AK1756" s="1" t="str">
        <f>""</f>
        <v/>
      </c>
    </row>
    <row r="1757" spans="1:37" x14ac:dyDescent="0.2">
      <c r="A1757" s="1">
        <v>3000000</v>
      </c>
      <c r="B1757" s="1">
        <v>951800138</v>
      </c>
      <c r="C1757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1757" s="1">
        <v>9354</v>
      </c>
      <c r="E1757" s="1">
        <v>3000000</v>
      </c>
      <c r="F1757" s="1">
        <v>95</v>
      </c>
      <c r="G1757" s="1">
        <v>0</v>
      </c>
      <c r="H1757" s="1" t="str">
        <f>"95/11/23"</f>
        <v>95/11/23</v>
      </c>
      <c r="I1757" s="1" t="str">
        <f t="shared" si="459"/>
        <v>كيلوگرم</v>
      </c>
      <c r="J1757" s="1" t="str">
        <f t="shared" si="466"/>
        <v>0000000091</v>
      </c>
      <c r="K1757" s="1" t="str">
        <f t="shared" si="467"/>
        <v>قير  PG64-22</v>
      </c>
      <c r="L1757" s="1">
        <v>100</v>
      </c>
      <c r="M1757" s="1" t="str">
        <f t="shared" si="464"/>
        <v>مخازن قير اصفهان</v>
      </c>
      <c r="N1757" s="1">
        <v>1726</v>
      </c>
      <c r="O1757" s="1">
        <v>50033662</v>
      </c>
      <c r="P1757" s="1" t="str">
        <f>"  راهسازي و عمران ايران"</f>
        <v xml:space="preserve">  راهسازي و عمران ايران</v>
      </c>
      <c r="Q1757" s="1">
        <v>18</v>
      </c>
      <c r="R1757" s="1" t="str">
        <f>"فروش داخلي تهران - وزارت راه - شرکت ساخت و توسعه راهها"</f>
        <v>فروش داخلي تهران - وزارت راه - شرکت ساخت و توسعه راهها</v>
      </c>
      <c r="S1757" s="1" t="str">
        <f t="shared" si="460"/>
        <v>قرارداد فروش</v>
      </c>
      <c r="T1757" s="1" t="str">
        <f t="shared" si="461"/>
        <v>ندارد</v>
      </c>
      <c r="U1757" s="1" t="str">
        <f>"عظيمي محمد(2842015)"</f>
        <v>عظيمي محمد(2842015)</v>
      </c>
      <c r="V1757" s="1">
        <v>951800138</v>
      </c>
      <c r="W1757" s="1">
        <v>951800138</v>
      </c>
      <c r="X1757" s="1" t="str">
        <f>"1395464406"</f>
        <v>1395464406</v>
      </c>
      <c r="Y1757" s="1" t="str">
        <f>"95/11/23"</f>
        <v>95/11/23</v>
      </c>
      <c r="Z1757" s="1" t="str">
        <f>"56586/710"</f>
        <v>56586/710</v>
      </c>
      <c r="AA1757" s="1" t="str">
        <f>"شركت  ساخت وتوسعه راهها"</f>
        <v>شركت  ساخت وتوسعه راهها</v>
      </c>
      <c r="AB1757" s="1" t="str">
        <f>"95/11/13"</f>
        <v>95/11/13</v>
      </c>
      <c r="AC1757" s="1" t="str">
        <f>"استان اصفهان"</f>
        <v>استان اصفهان</v>
      </c>
      <c r="AD1757" s="1" t="str">
        <f>"95/11/23"</f>
        <v>95/11/23</v>
      </c>
      <c r="AE1757" s="1" t="str">
        <f t="shared" si="454"/>
        <v>اختتام</v>
      </c>
      <c r="AF1757" s="1" t="str">
        <f>""</f>
        <v/>
      </c>
      <c r="AG1757" s="1" t="str">
        <f>""</f>
        <v/>
      </c>
      <c r="AH1757" s="1" t="str">
        <f>""</f>
        <v/>
      </c>
      <c r="AI1757" s="1" t="str">
        <f>""</f>
        <v/>
      </c>
      <c r="AJ1757" s="1" t="str">
        <f>""</f>
        <v/>
      </c>
      <c r="AK1757" s="1" t="str">
        <f>""</f>
        <v/>
      </c>
    </row>
    <row r="1758" spans="1:37" x14ac:dyDescent="0.2">
      <c r="A1758" s="1">
        <v>155000</v>
      </c>
      <c r="B1758" s="1">
        <v>951400031</v>
      </c>
      <c r="C1758" s="1" t="str">
        <f>"تخليه خراسان جنوبي شهرستان زيركوه كارخانه چندآشيان"</f>
        <v>تخليه خراسان جنوبي شهرستان زيركوه كارخانه چندآشيان</v>
      </c>
      <c r="D1758" s="1">
        <v>6250</v>
      </c>
      <c r="E1758" s="1">
        <v>143140</v>
      </c>
      <c r="F1758" s="1">
        <v>95</v>
      </c>
      <c r="G1758" s="1">
        <v>11860</v>
      </c>
      <c r="H1758" s="1" t="str">
        <f>"95/04/05"</f>
        <v>95/04/05</v>
      </c>
      <c r="I1758" s="1" t="str">
        <f t="shared" si="459"/>
        <v>كيلوگرم</v>
      </c>
      <c r="J1758" s="1" t="str">
        <f t="shared" si="466"/>
        <v>0000000091</v>
      </c>
      <c r="K1758" s="1" t="str">
        <f t="shared" si="467"/>
        <v>قير  PG64-22</v>
      </c>
      <c r="L1758" s="1">
        <v>100</v>
      </c>
      <c r="M1758" s="1" t="str">
        <f t="shared" si="464"/>
        <v>مخازن قير اصفهان</v>
      </c>
      <c r="N1758" s="1">
        <v>4012</v>
      </c>
      <c r="O1758" s="1">
        <v>50031112</v>
      </c>
      <c r="P1758" s="1" t="str">
        <f t="shared" ref="P1758:P1767" si="468">"  اداره كل راه و شهرسازي خراسان جنوبي"</f>
        <v xml:space="preserve">  اداره كل راه و شهرسازي خراسان جنوبي</v>
      </c>
      <c r="Q1758" s="1">
        <v>14</v>
      </c>
      <c r="R1758" s="1" t="str">
        <f>"فروش داخلي - وزارت راه - حوزه راه روستايي ساخت"</f>
        <v>فروش داخلي - وزارت راه - حوزه راه روستايي ساخت</v>
      </c>
      <c r="S1758" s="1" t="str">
        <f t="shared" si="460"/>
        <v>قرارداد فروش</v>
      </c>
      <c r="T1758" s="1" t="str">
        <f t="shared" si="461"/>
        <v>ندارد</v>
      </c>
      <c r="U1758" s="1" t="str">
        <f>"مظفري مرتضي(4844023)"</f>
        <v>مظفري مرتضي(4844023)</v>
      </c>
      <c r="V1758" s="1">
        <v>951400031</v>
      </c>
      <c r="W1758" s="1">
        <v>951400031</v>
      </c>
      <c r="X1758" s="1" t="str">
        <f>"1395411198"</f>
        <v>1395411198</v>
      </c>
      <c r="Y1758" s="1" t="str">
        <f>"95/04/05"</f>
        <v>95/04/05</v>
      </c>
      <c r="Z1758" s="1" t="str">
        <f>"13015/510"</f>
        <v>13015/510</v>
      </c>
      <c r="AA1758" s="1" t="str">
        <f>"راه وروستايي -ساخت"</f>
        <v>راه وروستايي -ساخت</v>
      </c>
      <c r="AB1758" s="1" t="str">
        <f>"95/03/29"</f>
        <v>95/03/29</v>
      </c>
      <c r="AC1758" s="1" t="str">
        <f t="shared" ref="AC1758:AC1767" si="469">"خراسان جنوبي"</f>
        <v>خراسان جنوبي</v>
      </c>
      <c r="AD1758" s="1" t="str">
        <f>"95/04/05"</f>
        <v>95/04/05</v>
      </c>
      <c r="AE1758" s="1" t="str">
        <f t="shared" si="454"/>
        <v>اختتام</v>
      </c>
      <c r="AF1758" s="1" t="str">
        <f>""</f>
        <v/>
      </c>
      <c r="AG1758" s="1" t="str">
        <f>""</f>
        <v/>
      </c>
      <c r="AH1758" s="1" t="str">
        <f>""</f>
        <v/>
      </c>
      <c r="AI1758" s="1" t="str">
        <f>""</f>
        <v/>
      </c>
      <c r="AJ1758" s="1" t="str">
        <f>""</f>
        <v/>
      </c>
      <c r="AK1758" s="1" t="str">
        <f>""</f>
        <v/>
      </c>
    </row>
    <row r="1759" spans="1:37" x14ac:dyDescent="0.2">
      <c r="A1759" s="1">
        <v>25200</v>
      </c>
      <c r="B1759" s="1">
        <v>951700100</v>
      </c>
      <c r="C1759" s="1" t="str">
        <f>"تخليه- خراسان جنوبي-سرايان-کارخانه شهرداري سرايان"</f>
        <v>تخليه- خراسان جنوبي-سرايان-کارخانه شهرداري سرايان</v>
      </c>
      <c r="D1759" s="1">
        <v>6250</v>
      </c>
      <c r="E1759" s="1">
        <v>24640</v>
      </c>
      <c r="F1759" s="1">
        <v>95</v>
      </c>
      <c r="G1759" s="1">
        <v>560</v>
      </c>
      <c r="H1759" s="1" t="str">
        <f>"95/04/19"</f>
        <v>95/04/19</v>
      </c>
      <c r="I1759" s="1" t="str">
        <f t="shared" si="459"/>
        <v>كيلوگرم</v>
      </c>
      <c r="J1759" s="1" t="str">
        <f t="shared" si="466"/>
        <v>0000000091</v>
      </c>
      <c r="K1759" s="1" t="str">
        <f t="shared" si="467"/>
        <v>قير  PG64-22</v>
      </c>
      <c r="L1759" s="1">
        <v>100</v>
      </c>
      <c r="M1759" s="1" t="str">
        <f t="shared" si="464"/>
        <v>مخازن قير اصفهان</v>
      </c>
      <c r="N1759" s="1">
        <v>4012</v>
      </c>
      <c r="O1759" s="1">
        <v>50031242</v>
      </c>
      <c r="P1759" s="1" t="str">
        <f t="shared" si="468"/>
        <v xml:space="preserve">  اداره كل راه و شهرسازي خراسان جنوبي</v>
      </c>
      <c r="Q1759" s="1">
        <v>17</v>
      </c>
      <c r="R1759" s="1" t="str">
        <f t="shared" ref="R1759:R1764" si="470">"فروش داخلي تهران - وزارت راه - راه روستايي - روکش"</f>
        <v>فروش داخلي تهران - وزارت راه - راه روستايي - روکش</v>
      </c>
      <c r="S1759" s="1" t="str">
        <f t="shared" si="460"/>
        <v>قرارداد فروش</v>
      </c>
      <c r="T1759" s="1" t="str">
        <f t="shared" si="461"/>
        <v>ندارد</v>
      </c>
      <c r="U1759" s="1" t="str">
        <f>"خادمي عبدالحميد(1015ج89)"</f>
        <v>خادمي عبدالحميد(1015ج89)</v>
      </c>
      <c r="V1759" s="1">
        <v>951700100</v>
      </c>
      <c r="W1759" s="1">
        <v>951700100</v>
      </c>
      <c r="X1759" s="1" t="str">
        <f>"1394392493"</f>
        <v>1394392493</v>
      </c>
      <c r="Y1759" s="1" t="str">
        <f>"95/04/19"</f>
        <v>95/04/19</v>
      </c>
      <c r="Z1759" s="1" t="str">
        <f>"65019/510"</f>
        <v>65019/510</v>
      </c>
      <c r="AA1759" s="1" t="str">
        <f t="shared" ref="AA1759:AA1764" si="471">"راه روستائي -روكش"</f>
        <v>راه روستائي -روكش</v>
      </c>
      <c r="AB1759" s="1" t="str">
        <f>"94/11/25"</f>
        <v>94/11/25</v>
      </c>
      <c r="AC1759" s="1" t="str">
        <f t="shared" si="469"/>
        <v>خراسان جنوبي</v>
      </c>
      <c r="AD1759" s="1" t="str">
        <f>"94/11/26"</f>
        <v>94/11/26</v>
      </c>
      <c r="AE1759" s="1" t="str">
        <f t="shared" si="454"/>
        <v>اختتام</v>
      </c>
      <c r="AF1759" s="1" t="str">
        <f>""</f>
        <v/>
      </c>
      <c r="AG1759" s="1" t="str">
        <f>""</f>
        <v/>
      </c>
      <c r="AH1759" s="1" t="str">
        <f>""</f>
        <v/>
      </c>
      <c r="AI1759" s="1" t="str">
        <f>""</f>
        <v/>
      </c>
      <c r="AJ1759" s="1" t="str">
        <f>""</f>
        <v/>
      </c>
      <c r="AK1759" s="1" t="str">
        <f>""</f>
        <v/>
      </c>
    </row>
    <row r="1760" spans="1:37" x14ac:dyDescent="0.2">
      <c r="A1760" s="1">
        <v>116000</v>
      </c>
      <c r="B1760" s="1">
        <v>951700136</v>
      </c>
      <c r="C1760" s="1" t="str">
        <f>"تخليه- خراسان جنوبي-کيلومتر5محور بيرجند-نهبندان-کارخانه آسفالت شرکت ارتقاء"</f>
        <v>تخليه- خراسان جنوبي-کيلومتر5محور بيرجند-نهبندان-کارخانه آسفالت شرکت ارتقاء</v>
      </c>
      <c r="D1760" s="1">
        <v>6726</v>
      </c>
      <c r="E1760" s="1">
        <v>115340</v>
      </c>
      <c r="F1760" s="1">
        <v>95</v>
      </c>
      <c r="G1760" s="1">
        <v>660</v>
      </c>
      <c r="H1760" s="1" t="str">
        <f>"95/05/13"</f>
        <v>95/05/13</v>
      </c>
      <c r="I1760" s="1" t="str">
        <f t="shared" si="459"/>
        <v>كيلوگرم</v>
      </c>
      <c r="J1760" s="1" t="str">
        <f t="shared" si="466"/>
        <v>0000000091</v>
      </c>
      <c r="K1760" s="1" t="str">
        <f t="shared" si="467"/>
        <v>قير  PG64-22</v>
      </c>
      <c r="L1760" s="1">
        <v>100</v>
      </c>
      <c r="M1760" s="1" t="str">
        <f t="shared" si="464"/>
        <v>مخازن قير اصفهان</v>
      </c>
      <c r="N1760" s="1">
        <v>4012</v>
      </c>
      <c r="O1760" s="1">
        <v>50031425</v>
      </c>
      <c r="P1760" s="1" t="str">
        <f t="shared" si="468"/>
        <v xml:space="preserve">  اداره كل راه و شهرسازي خراسان جنوبي</v>
      </c>
      <c r="Q1760" s="1">
        <v>17</v>
      </c>
      <c r="R1760" s="1" t="str">
        <f t="shared" si="470"/>
        <v>فروش داخلي تهران - وزارت راه - راه روستايي - روکش</v>
      </c>
      <c r="S1760" s="1" t="str">
        <f t="shared" si="460"/>
        <v>قرارداد فروش</v>
      </c>
      <c r="T1760" s="1" t="str">
        <f t="shared" si="461"/>
        <v>ندارد</v>
      </c>
      <c r="U1760" s="1" t="str">
        <f>"كاردان اسپادان راه مصطفي  (1911100)"</f>
        <v>كاردان اسپادان راه مصطفي  (1911100)</v>
      </c>
      <c r="V1760" s="1">
        <v>951700136</v>
      </c>
      <c r="W1760" s="1">
        <v>951700136</v>
      </c>
      <c r="X1760" s="1" t="str">
        <f>"1395421159"</f>
        <v>1395421159</v>
      </c>
      <c r="Y1760" s="1" t="str">
        <f>"95/05/13"</f>
        <v>95/05/13</v>
      </c>
      <c r="Z1760" s="1" t="str">
        <f>"20201/510"</f>
        <v>20201/510</v>
      </c>
      <c r="AA1760" s="1" t="str">
        <f t="shared" si="471"/>
        <v>راه روستائي -روكش</v>
      </c>
      <c r="AB1760" s="1" t="str">
        <f>"95/05/06"</f>
        <v>95/05/06</v>
      </c>
      <c r="AC1760" s="1" t="str">
        <f t="shared" si="469"/>
        <v>خراسان جنوبي</v>
      </c>
      <c r="AD1760" s="1" t="str">
        <f>"95/05/13"</f>
        <v>95/05/13</v>
      </c>
      <c r="AE1760" s="1" t="str">
        <f t="shared" si="454"/>
        <v>اختتام</v>
      </c>
      <c r="AF1760" s="1" t="str">
        <f>""</f>
        <v/>
      </c>
      <c r="AG1760" s="1" t="str">
        <f>""</f>
        <v/>
      </c>
      <c r="AH1760" s="1" t="str">
        <f>""</f>
        <v/>
      </c>
      <c r="AI1760" s="1" t="str">
        <f>""</f>
        <v/>
      </c>
      <c r="AJ1760" s="1" t="str">
        <f>""</f>
        <v/>
      </c>
      <c r="AK1760" s="1" t="str">
        <f>""</f>
        <v/>
      </c>
    </row>
    <row r="1761" spans="1:37" x14ac:dyDescent="0.2">
      <c r="A1761" s="1">
        <v>50000</v>
      </c>
      <c r="B1761" s="1">
        <v>951700148</v>
      </c>
      <c r="C1761" s="1" t="str">
        <f>"تخليه - خراسان جنوبي- بيرجند-شهرک صنعتي"</f>
        <v>تخليه - خراسان جنوبي- بيرجند-شهرک صنعتي</v>
      </c>
      <c r="D1761" s="1">
        <v>6726</v>
      </c>
      <c r="E1761" s="1">
        <v>47020</v>
      </c>
      <c r="F1761" s="1">
        <v>95</v>
      </c>
      <c r="G1761" s="1">
        <v>2980</v>
      </c>
      <c r="H1761" s="1" t="str">
        <f>"95/05/18"</f>
        <v>95/05/18</v>
      </c>
      <c r="I1761" s="1" t="str">
        <f t="shared" si="459"/>
        <v>كيلوگرم</v>
      </c>
      <c r="J1761" s="1" t="str">
        <f t="shared" si="466"/>
        <v>0000000091</v>
      </c>
      <c r="K1761" s="1" t="str">
        <f t="shared" si="467"/>
        <v>قير  PG64-22</v>
      </c>
      <c r="L1761" s="1">
        <v>100</v>
      </c>
      <c r="M1761" s="1" t="str">
        <f t="shared" si="464"/>
        <v>مخازن قير اصفهان</v>
      </c>
      <c r="N1761" s="1">
        <v>4012</v>
      </c>
      <c r="O1761" s="1">
        <v>50031463</v>
      </c>
      <c r="P1761" s="1" t="str">
        <f t="shared" si="468"/>
        <v xml:space="preserve">  اداره كل راه و شهرسازي خراسان جنوبي</v>
      </c>
      <c r="Q1761" s="1">
        <v>17</v>
      </c>
      <c r="R1761" s="1" t="str">
        <f t="shared" si="470"/>
        <v>فروش داخلي تهران - وزارت راه - راه روستايي - روکش</v>
      </c>
      <c r="S1761" s="1" t="str">
        <f t="shared" si="460"/>
        <v>قرارداد فروش</v>
      </c>
      <c r="T1761" s="1" t="str">
        <f t="shared" si="461"/>
        <v>ندارد</v>
      </c>
      <c r="U1761" s="1" t="str">
        <f>"بابامحمدي عنايت اله(4844000)"</f>
        <v>بابامحمدي عنايت اله(4844000)</v>
      </c>
      <c r="V1761" s="1">
        <v>951700148</v>
      </c>
      <c r="W1761" s="1">
        <v>951700148</v>
      </c>
      <c r="X1761" s="1" t="str">
        <f>"1395421750"</f>
        <v>1395421750</v>
      </c>
      <c r="Y1761" s="1" t="str">
        <f>"95/05/18"</f>
        <v>95/05/18</v>
      </c>
      <c r="Z1761" s="1" t="str">
        <f>"21223/510"</f>
        <v>21223/510</v>
      </c>
      <c r="AA1761" s="1" t="str">
        <f t="shared" si="471"/>
        <v>راه روستائي -روكش</v>
      </c>
      <c r="AB1761" s="1" t="str">
        <f>"95/05/12"</f>
        <v>95/05/12</v>
      </c>
      <c r="AC1761" s="1" t="str">
        <f t="shared" si="469"/>
        <v>خراسان جنوبي</v>
      </c>
      <c r="AD1761" s="1" t="str">
        <f>"95/05/17"</f>
        <v>95/05/17</v>
      </c>
      <c r="AE1761" s="1" t="str">
        <f t="shared" si="454"/>
        <v>اختتام</v>
      </c>
      <c r="AF1761" s="1" t="str">
        <f>""</f>
        <v/>
      </c>
      <c r="AG1761" s="1" t="str">
        <f>""</f>
        <v/>
      </c>
      <c r="AH1761" s="1" t="str">
        <f>""</f>
        <v/>
      </c>
      <c r="AI1761" s="1" t="str">
        <f>""</f>
        <v/>
      </c>
      <c r="AJ1761" s="1" t="str">
        <f>""</f>
        <v/>
      </c>
      <c r="AK1761" s="1" t="str">
        <f>""</f>
        <v/>
      </c>
    </row>
    <row r="1762" spans="1:37" x14ac:dyDescent="0.2">
      <c r="A1762" s="1">
        <v>155000</v>
      </c>
      <c r="B1762" s="1">
        <v>951700161</v>
      </c>
      <c r="C1762" s="1" t="str">
        <f>"تخليه خراسان جنوبي شهرستان زيركوه كارخانه چندآشيان"</f>
        <v>تخليه خراسان جنوبي شهرستان زيركوه كارخانه چندآشيان</v>
      </c>
      <c r="D1762" s="1">
        <v>6726</v>
      </c>
      <c r="E1762" s="1">
        <v>152680</v>
      </c>
      <c r="F1762" s="1">
        <v>95</v>
      </c>
      <c r="G1762" s="1">
        <v>2320</v>
      </c>
      <c r="H1762" s="1" t="str">
        <f>"95/05/26"</f>
        <v>95/05/26</v>
      </c>
      <c r="I1762" s="1" t="str">
        <f t="shared" si="459"/>
        <v>كيلوگرم</v>
      </c>
      <c r="J1762" s="1" t="str">
        <f t="shared" si="466"/>
        <v>0000000091</v>
      </c>
      <c r="K1762" s="1" t="str">
        <f t="shared" si="467"/>
        <v>قير  PG64-22</v>
      </c>
      <c r="L1762" s="1">
        <v>100</v>
      </c>
      <c r="M1762" s="1" t="str">
        <f t="shared" si="464"/>
        <v>مخازن قير اصفهان</v>
      </c>
      <c r="N1762" s="1">
        <v>4012</v>
      </c>
      <c r="O1762" s="1">
        <v>50031556</v>
      </c>
      <c r="P1762" s="1" t="str">
        <f t="shared" si="468"/>
        <v xml:space="preserve">  اداره كل راه و شهرسازي خراسان جنوبي</v>
      </c>
      <c r="Q1762" s="1">
        <v>17</v>
      </c>
      <c r="R1762" s="1" t="str">
        <f t="shared" si="470"/>
        <v>فروش داخلي تهران - وزارت راه - راه روستايي - روکش</v>
      </c>
      <c r="S1762" s="1" t="str">
        <f t="shared" si="460"/>
        <v>قرارداد فروش</v>
      </c>
      <c r="T1762" s="1" t="str">
        <f t="shared" si="461"/>
        <v>ندارد</v>
      </c>
      <c r="U1762" s="1" t="str">
        <f>"جلالي حميد(1901084)"</f>
        <v>جلالي حميد(1901084)</v>
      </c>
      <c r="V1762" s="1">
        <v>951700161</v>
      </c>
      <c r="W1762" s="1">
        <v>951700161</v>
      </c>
      <c r="X1762" s="1" t="str">
        <f>"1395423748"</f>
        <v>1395423748</v>
      </c>
      <c r="Y1762" s="1" t="str">
        <f>"95/05/26"</f>
        <v>95/05/26</v>
      </c>
      <c r="Z1762" s="1" t="str">
        <f>"23053/510"</f>
        <v>23053/510</v>
      </c>
      <c r="AA1762" s="1" t="str">
        <f t="shared" si="471"/>
        <v>راه روستائي -روكش</v>
      </c>
      <c r="AB1762" s="1" t="str">
        <f>"95/05/23"</f>
        <v>95/05/23</v>
      </c>
      <c r="AC1762" s="1" t="str">
        <f t="shared" si="469"/>
        <v>خراسان جنوبي</v>
      </c>
      <c r="AD1762" s="1" t="str">
        <f>"95/05/25"</f>
        <v>95/05/25</v>
      </c>
      <c r="AE1762" s="1" t="str">
        <f t="shared" si="454"/>
        <v>اختتام</v>
      </c>
      <c r="AF1762" s="1" t="str">
        <f>""</f>
        <v/>
      </c>
      <c r="AG1762" s="1" t="str">
        <f>""</f>
        <v/>
      </c>
      <c r="AH1762" s="1" t="str">
        <f>""</f>
        <v/>
      </c>
      <c r="AI1762" s="1" t="str">
        <f>""</f>
        <v/>
      </c>
      <c r="AJ1762" s="1" t="str">
        <f>""</f>
        <v/>
      </c>
      <c r="AK1762" s="1" t="str">
        <f>""</f>
        <v/>
      </c>
    </row>
    <row r="1763" spans="1:37" x14ac:dyDescent="0.2">
      <c r="A1763" s="1">
        <v>275000</v>
      </c>
      <c r="B1763" s="1">
        <v>951700199</v>
      </c>
      <c r="C1763" s="1" t="str">
        <f>"تخليه - خراسان جنوبي- اسديه - کارخانه آسفالت شهرداري"</f>
        <v>تخليه - خراسان جنوبي- اسديه - کارخانه آسفالت شهرداري</v>
      </c>
      <c r="D1763" s="1">
        <v>7176</v>
      </c>
      <c r="E1763" s="1">
        <v>272920</v>
      </c>
      <c r="F1763" s="1">
        <v>95</v>
      </c>
      <c r="G1763" s="1">
        <v>2080</v>
      </c>
      <c r="H1763" s="1" t="str">
        <f>"95/06/11"</f>
        <v>95/06/11</v>
      </c>
      <c r="I1763" s="1" t="str">
        <f t="shared" si="459"/>
        <v>كيلوگرم</v>
      </c>
      <c r="J1763" s="1" t="str">
        <f t="shared" si="466"/>
        <v>0000000091</v>
      </c>
      <c r="K1763" s="1" t="str">
        <f t="shared" si="467"/>
        <v>قير  PG64-22</v>
      </c>
      <c r="L1763" s="1">
        <v>100</v>
      </c>
      <c r="M1763" s="1" t="str">
        <f t="shared" si="464"/>
        <v>مخازن قير اصفهان</v>
      </c>
      <c r="N1763" s="1">
        <v>4012</v>
      </c>
      <c r="O1763" s="1">
        <v>50031746</v>
      </c>
      <c r="P1763" s="1" t="str">
        <f t="shared" si="468"/>
        <v xml:space="preserve">  اداره كل راه و شهرسازي خراسان جنوبي</v>
      </c>
      <c r="Q1763" s="1">
        <v>17</v>
      </c>
      <c r="R1763" s="1" t="str">
        <f t="shared" si="470"/>
        <v>فروش داخلي تهران - وزارت راه - راه روستايي - روکش</v>
      </c>
      <c r="S1763" s="1" t="str">
        <f t="shared" si="460"/>
        <v>قرارداد فروش</v>
      </c>
      <c r="T1763" s="1" t="str">
        <f t="shared" si="461"/>
        <v>ندارد</v>
      </c>
      <c r="U1763" s="1" t="str">
        <f>"آقا علي منوچهر(1016ج89)"</f>
        <v>آقا علي منوچهر(1016ج89)</v>
      </c>
      <c r="V1763" s="1">
        <v>951700199</v>
      </c>
      <c r="W1763" s="1">
        <v>951700199</v>
      </c>
      <c r="X1763" s="1" t="str">
        <f>"1395428490"</f>
        <v>1395428490</v>
      </c>
      <c r="Y1763" s="1" t="str">
        <f>"95/06/11"</f>
        <v>95/06/11</v>
      </c>
      <c r="Z1763" s="1" t="str">
        <f>"27026/510"</f>
        <v>27026/510</v>
      </c>
      <c r="AA1763" s="1" t="str">
        <f t="shared" si="471"/>
        <v>راه روستائي -روكش</v>
      </c>
      <c r="AB1763" s="1" t="str">
        <f>"95/06/09"</f>
        <v>95/06/09</v>
      </c>
      <c r="AC1763" s="1" t="str">
        <f t="shared" si="469"/>
        <v>خراسان جنوبي</v>
      </c>
      <c r="AD1763" s="1" t="str">
        <f>"95/06/10"</f>
        <v>95/06/10</v>
      </c>
      <c r="AE1763" s="1" t="str">
        <f t="shared" si="454"/>
        <v>اختتام</v>
      </c>
      <c r="AF1763" s="1" t="str">
        <f>""</f>
        <v/>
      </c>
      <c r="AG1763" s="1" t="str">
        <f>""</f>
        <v/>
      </c>
      <c r="AH1763" s="1" t="str">
        <f>""</f>
        <v/>
      </c>
      <c r="AI1763" s="1" t="str">
        <f>""</f>
        <v/>
      </c>
      <c r="AJ1763" s="1" t="str">
        <f>""</f>
        <v/>
      </c>
      <c r="AK1763" s="1" t="str">
        <f>""</f>
        <v/>
      </c>
    </row>
    <row r="1764" spans="1:37" x14ac:dyDescent="0.2">
      <c r="A1764" s="1">
        <v>20180</v>
      </c>
      <c r="B1764" s="1">
        <v>951700241</v>
      </c>
      <c r="C1764" s="1" t="str">
        <f>"تخليه -خراسان جنوبي -شهرستان طبس -اداره راه وشهرسازي طبس"</f>
        <v>تخليه -خراسان جنوبي -شهرستان طبس -اداره راه وشهرسازي طبس</v>
      </c>
      <c r="D1764" s="1">
        <v>8323</v>
      </c>
      <c r="E1764" s="1">
        <v>19100</v>
      </c>
      <c r="F1764" s="1">
        <v>95</v>
      </c>
      <c r="G1764" s="1">
        <v>1080</v>
      </c>
      <c r="H1764" s="1" t="str">
        <f>"95/08/05"</f>
        <v>95/08/05</v>
      </c>
      <c r="I1764" s="1" t="str">
        <f t="shared" si="459"/>
        <v>كيلوگرم</v>
      </c>
      <c r="J1764" s="1" t="str">
        <f t="shared" si="466"/>
        <v>0000000091</v>
      </c>
      <c r="K1764" s="1" t="str">
        <f t="shared" si="467"/>
        <v>قير  PG64-22</v>
      </c>
      <c r="L1764" s="1">
        <v>100</v>
      </c>
      <c r="M1764" s="1" t="str">
        <f t="shared" si="464"/>
        <v>مخازن قير اصفهان</v>
      </c>
      <c r="N1764" s="1">
        <v>4012</v>
      </c>
      <c r="O1764" s="1">
        <v>50032257</v>
      </c>
      <c r="P1764" s="1" t="str">
        <f t="shared" si="468"/>
        <v xml:space="preserve">  اداره كل راه و شهرسازي خراسان جنوبي</v>
      </c>
      <c r="Q1764" s="1">
        <v>17</v>
      </c>
      <c r="R1764" s="1" t="str">
        <f t="shared" si="470"/>
        <v>فروش داخلي تهران - وزارت راه - راه روستايي - روکش</v>
      </c>
      <c r="S1764" s="1" t="str">
        <f t="shared" si="460"/>
        <v>قرارداد فروش</v>
      </c>
      <c r="T1764" s="1" t="str">
        <f t="shared" si="461"/>
        <v>ندارد</v>
      </c>
      <c r="U1764" s="1" t="str">
        <f>"قانعي محمدرضا(1011ج89)"</f>
        <v>قانعي محمدرضا(1011ج89)</v>
      </c>
      <c r="V1764" s="1">
        <v>951700241</v>
      </c>
      <c r="W1764" s="1">
        <v>951700241</v>
      </c>
      <c r="X1764" s="1" t="str">
        <f>"1395411198"</f>
        <v>1395411198</v>
      </c>
      <c r="Y1764" s="1" t="str">
        <f>"95/08/05"</f>
        <v>95/08/05</v>
      </c>
      <c r="Z1764" s="1" t="str">
        <f>"13013/510"</f>
        <v>13013/510</v>
      </c>
      <c r="AA1764" s="1" t="str">
        <f t="shared" si="471"/>
        <v>راه روستائي -روكش</v>
      </c>
      <c r="AB1764" s="1" t="str">
        <f>"95/03/29"</f>
        <v>95/03/29</v>
      </c>
      <c r="AC1764" s="1" t="str">
        <f t="shared" si="469"/>
        <v>خراسان جنوبي</v>
      </c>
      <c r="AD1764" s="1" t="str">
        <f>"95/04/05"</f>
        <v>95/04/05</v>
      </c>
      <c r="AE1764" s="1" t="str">
        <f t="shared" si="454"/>
        <v>اختتام</v>
      </c>
      <c r="AF1764" s="1" t="str">
        <f>""</f>
        <v/>
      </c>
      <c r="AG1764" s="1" t="str">
        <f>""</f>
        <v/>
      </c>
      <c r="AH1764" s="1" t="str">
        <f>""</f>
        <v/>
      </c>
      <c r="AI1764" s="1" t="str">
        <f>""</f>
        <v/>
      </c>
      <c r="AJ1764" s="1" t="str">
        <f>""</f>
        <v/>
      </c>
      <c r="AK1764" s="1" t="str">
        <f>""</f>
        <v/>
      </c>
    </row>
    <row r="1765" spans="1:37" x14ac:dyDescent="0.2">
      <c r="A1765" s="1">
        <v>105000</v>
      </c>
      <c r="B1765" s="1">
        <v>951400135</v>
      </c>
      <c r="C1765" s="1" t="str">
        <f>"تخليه خراسان جنوبي پروژه بهسازي وآسفالت خاواز علي آبادشركت جهان راه"</f>
        <v>تخليه خراسان جنوبي پروژه بهسازي وآسفالت خاواز علي آبادشركت جهان راه</v>
      </c>
      <c r="D1765" s="1">
        <v>8998</v>
      </c>
      <c r="E1765" s="1">
        <v>103900</v>
      </c>
      <c r="F1765" s="1">
        <v>95</v>
      </c>
      <c r="G1765" s="1">
        <v>1100</v>
      </c>
      <c r="H1765" s="1" t="str">
        <f>"95/11/03"</f>
        <v>95/11/03</v>
      </c>
      <c r="I1765" s="1" t="str">
        <f t="shared" si="459"/>
        <v>كيلوگرم</v>
      </c>
      <c r="J1765" s="1" t="str">
        <f t="shared" si="466"/>
        <v>0000000091</v>
      </c>
      <c r="K1765" s="1" t="str">
        <f t="shared" si="467"/>
        <v>قير  PG64-22</v>
      </c>
      <c r="L1765" s="1">
        <v>100</v>
      </c>
      <c r="M1765" s="1" t="str">
        <f t="shared" si="464"/>
        <v>مخازن قير اصفهان</v>
      </c>
      <c r="N1765" s="1">
        <v>4012</v>
      </c>
      <c r="O1765" s="1">
        <v>50033479</v>
      </c>
      <c r="P1765" s="1" t="str">
        <f t="shared" si="468"/>
        <v xml:space="preserve">  اداره كل راه و شهرسازي خراسان جنوبي</v>
      </c>
      <c r="Q1765" s="1">
        <v>14</v>
      </c>
      <c r="R1765" s="1" t="str">
        <f>"فروش داخلي - وزارت راه - حوزه راه روستايي ساخت"</f>
        <v>فروش داخلي - وزارت راه - حوزه راه روستايي ساخت</v>
      </c>
      <c r="S1765" s="1" t="str">
        <f t="shared" si="460"/>
        <v>قرارداد فروش</v>
      </c>
      <c r="T1765" s="1" t="str">
        <f t="shared" si="461"/>
        <v>ندارد</v>
      </c>
      <c r="U1765" s="1" t="str">
        <f>"بابامحمدي عنايت اله(4844000)"</f>
        <v>بابامحمدي عنايت اله(4844000)</v>
      </c>
      <c r="V1765" s="1">
        <v>951400135</v>
      </c>
      <c r="W1765" s="1">
        <v>951400135</v>
      </c>
      <c r="X1765" s="1" t="str">
        <f>"1395456363"</f>
        <v>1395456363</v>
      </c>
      <c r="Y1765" s="1" t="str">
        <f>"95/11/03"</f>
        <v>95/11/03</v>
      </c>
      <c r="Z1765" s="1" t="str">
        <f>"49491/710"</f>
        <v>49491/710</v>
      </c>
      <c r="AA1765" s="1" t="str">
        <f>"راه وروستايي -ساخت"</f>
        <v>راه وروستايي -ساخت</v>
      </c>
      <c r="AB1765" s="1" t="str">
        <f>"95/10/08"</f>
        <v>95/10/08</v>
      </c>
      <c r="AC1765" s="1" t="str">
        <f t="shared" si="469"/>
        <v>خراسان جنوبي</v>
      </c>
      <c r="AD1765" s="1" t="str">
        <f>"95/10/13"</f>
        <v>95/10/13</v>
      </c>
      <c r="AE1765" s="1" t="str">
        <f t="shared" ref="AE1765:AE1828" si="472">"اختتام"</f>
        <v>اختتام</v>
      </c>
      <c r="AF1765" s="1" t="str">
        <f>""</f>
        <v/>
      </c>
      <c r="AG1765" s="1" t="str">
        <f>""</f>
        <v/>
      </c>
      <c r="AH1765" s="1" t="str">
        <f>""</f>
        <v/>
      </c>
      <c r="AI1765" s="1" t="str">
        <f>""</f>
        <v/>
      </c>
      <c r="AJ1765" s="1" t="str">
        <f>""</f>
        <v/>
      </c>
      <c r="AK1765" s="1" t="str">
        <f>""</f>
        <v/>
      </c>
    </row>
    <row r="1766" spans="1:37" x14ac:dyDescent="0.2">
      <c r="A1766" s="1">
        <v>33000</v>
      </c>
      <c r="B1766" s="1">
        <v>951400182</v>
      </c>
      <c r="C1766" s="1" t="str">
        <f>"تخليه خراسان جنوبي شهرستان حاجي آباد زيركوه كارخانه آسفالت شهرداري حاجي آباد"</f>
        <v>تخليه خراسان جنوبي شهرستان حاجي آباد زيركوه كارخانه آسفالت شهرداري حاجي آباد</v>
      </c>
      <c r="D1766" s="1">
        <v>9068</v>
      </c>
      <c r="E1766" s="1">
        <v>29320</v>
      </c>
      <c r="F1766" s="1">
        <v>95</v>
      </c>
      <c r="G1766" s="1">
        <v>3680</v>
      </c>
      <c r="H1766" s="1" t="str">
        <f>"95/12/24"</f>
        <v>95/12/24</v>
      </c>
      <c r="I1766" s="1" t="str">
        <f t="shared" si="459"/>
        <v>كيلوگرم</v>
      </c>
      <c r="J1766" s="1" t="str">
        <f t="shared" si="466"/>
        <v>0000000091</v>
      </c>
      <c r="K1766" s="1" t="str">
        <f t="shared" si="467"/>
        <v>قير  PG64-22</v>
      </c>
      <c r="L1766" s="1">
        <v>100</v>
      </c>
      <c r="M1766" s="1" t="str">
        <f t="shared" si="464"/>
        <v>مخازن قير اصفهان</v>
      </c>
      <c r="N1766" s="1">
        <v>4012</v>
      </c>
      <c r="O1766" s="1">
        <v>50034197</v>
      </c>
      <c r="P1766" s="1" t="str">
        <f t="shared" si="468"/>
        <v xml:space="preserve">  اداره كل راه و شهرسازي خراسان جنوبي</v>
      </c>
      <c r="Q1766" s="1">
        <v>14</v>
      </c>
      <c r="R1766" s="1" t="str">
        <f>"فروش داخلي - وزارت راه - حوزه راه روستايي ساخت"</f>
        <v>فروش داخلي - وزارت راه - حوزه راه روستايي ساخت</v>
      </c>
      <c r="S1766" s="1" t="str">
        <f t="shared" si="460"/>
        <v>قرارداد فروش</v>
      </c>
      <c r="T1766" s="1" t="str">
        <f t="shared" si="461"/>
        <v>ندارد</v>
      </c>
      <c r="U1766" s="1" t="str">
        <f>"بابامحمدي عنايت اله(4844000)"</f>
        <v>بابامحمدي عنايت اله(4844000)</v>
      </c>
      <c r="V1766" s="1">
        <v>951400182</v>
      </c>
      <c r="W1766" s="1">
        <v>951400182</v>
      </c>
      <c r="X1766" s="1" t="str">
        <f>"1395470430"</f>
        <v>1395470430</v>
      </c>
      <c r="Y1766" s="1" t="str">
        <f>"95/12/24"</f>
        <v>95/12/24</v>
      </c>
      <c r="Z1766" s="1" t="str">
        <f>"65431/710"</f>
        <v>65431/710</v>
      </c>
      <c r="AA1766" s="1" t="str">
        <f>"راه وروستايي -ساخت"</f>
        <v>راه وروستايي -ساخت</v>
      </c>
      <c r="AB1766" s="1" t="str">
        <f>"95/12/21"</f>
        <v>95/12/21</v>
      </c>
      <c r="AC1766" s="1" t="str">
        <f t="shared" si="469"/>
        <v>خراسان جنوبي</v>
      </c>
      <c r="AD1766" s="1" t="str">
        <f>"95/12/22"</f>
        <v>95/12/22</v>
      </c>
      <c r="AE1766" s="1" t="str">
        <f t="shared" si="472"/>
        <v>اختتام</v>
      </c>
      <c r="AF1766" s="1" t="str">
        <f>""</f>
        <v/>
      </c>
      <c r="AG1766" s="1" t="str">
        <f>""</f>
        <v/>
      </c>
      <c r="AH1766" s="1" t="str">
        <f>""</f>
        <v/>
      </c>
      <c r="AI1766" s="1" t="str">
        <f>""</f>
        <v/>
      </c>
      <c r="AJ1766" s="1" t="str">
        <f>""</f>
        <v/>
      </c>
      <c r="AK1766" s="1" t="str">
        <f>""</f>
        <v/>
      </c>
    </row>
    <row r="1767" spans="1:37" x14ac:dyDescent="0.2">
      <c r="A1767" s="1">
        <v>190000</v>
      </c>
      <c r="B1767" s="1">
        <v>951400185</v>
      </c>
      <c r="C1767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1767" s="1">
        <v>8854</v>
      </c>
      <c r="E1767" s="1">
        <v>189660</v>
      </c>
      <c r="F1767" s="1">
        <v>95</v>
      </c>
      <c r="G1767" s="1">
        <v>340</v>
      </c>
      <c r="H1767" s="1" t="str">
        <f>"95/12/24"</f>
        <v>95/12/24</v>
      </c>
      <c r="I1767" s="1" t="str">
        <f t="shared" si="459"/>
        <v>كيلوگرم</v>
      </c>
      <c r="J1767" s="1" t="str">
        <f t="shared" si="466"/>
        <v>0000000091</v>
      </c>
      <c r="K1767" s="1" t="str">
        <f t="shared" si="467"/>
        <v>قير  PG64-22</v>
      </c>
      <c r="L1767" s="1">
        <v>100</v>
      </c>
      <c r="M1767" s="1" t="str">
        <f t="shared" si="464"/>
        <v>مخازن قير اصفهان</v>
      </c>
      <c r="N1767" s="1">
        <v>4012</v>
      </c>
      <c r="O1767" s="1">
        <v>50034952</v>
      </c>
      <c r="P1767" s="1" t="str">
        <f t="shared" si="468"/>
        <v xml:space="preserve">  اداره كل راه و شهرسازي خراسان جنوبي</v>
      </c>
      <c r="Q1767" s="1">
        <v>14</v>
      </c>
      <c r="R1767" s="1" t="str">
        <f>"فروش داخلي - وزارت راه - حوزه راه روستايي ساخت"</f>
        <v>فروش داخلي - وزارت راه - حوزه راه روستايي ساخت</v>
      </c>
      <c r="S1767" s="1" t="str">
        <f t="shared" si="460"/>
        <v>قرارداد فروش</v>
      </c>
      <c r="T1767" s="1" t="str">
        <f t="shared" si="461"/>
        <v>ندارد</v>
      </c>
      <c r="U1767" s="1" t="str">
        <f>"شيخي خيراله (1841012)"</f>
        <v>شيخي خيراله (1841012)</v>
      </c>
      <c r="V1767" s="1">
        <v>951400185</v>
      </c>
      <c r="W1767" s="1">
        <v>951400185</v>
      </c>
      <c r="X1767" s="1" t="str">
        <f>"1395470430"</f>
        <v>1395470430</v>
      </c>
      <c r="Y1767" s="1" t="str">
        <f>"95/12/24"</f>
        <v>95/12/24</v>
      </c>
      <c r="Z1767" s="1" t="str">
        <f>"65436/710"</f>
        <v>65436/710</v>
      </c>
      <c r="AA1767" s="1" t="str">
        <f>"راه وروستايي -ساخت"</f>
        <v>راه وروستايي -ساخت</v>
      </c>
      <c r="AB1767" s="1" t="str">
        <f>"95/12/21"</f>
        <v>95/12/21</v>
      </c>
      <c r="AC1767" s="1" t="str">
        <f t="shared" si="469"/>
        <v>خراسان جنوبي</v>
      </c>
      <c r="AD1767" s="1" t="str">
        <f>"95/12/22"</f>
        <v>95/12/22</v>
      </c>
      <c r="AE1767" s="1" t="str">
        <f t="shared" si="472"/>
        <v>اختتام</v>
      </c>
      <c r="AF1767" s="1" t="str">
        <f>""</f>
        <v/>
      </c>
      <c r="AG1767" s="1" t="str">
        <f>""</f>
        <v/>
      </c>
      <c r="AH1767" s="1" t="str">
        <f>""</f>
        <v/>
      </c>
      <c r="AI1767" s="1" t="str">
        <f>""</f>
        <v/>
      </c>
      <c r="AJ1767" s="1" t="str">
        <f>""</f>
        <v/>
      </c>
      <c r="AK1767" s="1" t="str">
        <f>""</f>
        <v/>
      </c>
    </row>
    <row r="1768" spans="1:37" x14ac:dyDescent="0.2">
      <c r="A1768" s="1">
        <v>851000</v>
      </c>
      <c r="B1768" s="1">
        <v>951400013</v>
      </c>
      <c r="C1768" s="1" t="str">
        <f>"تخليه خراسان رضوي -بجستان اداره اراه وشهرسازي بجستان"</f>
        <v>تخليه خراسان رضوي -بجستان اداره اراه وشهرسازي بجستان</v>
      </c>
      <c r="D1768" s="1">
        <v>5650</v>
      </c>
      <c r="E1768" s="1">
        <v>849980</v>
      </c>
      <c r="F1768" s="1">
        <v>95</v>
      </c>
      <c r="G1768" s="1">
        <v>1020</v>
      </c>
      <c r="H1768" s="1" t="str">
        <f>"95/02/15"</f>
        <v>95/02/15</v>
      </c>
      <c r="I1768" s="1" t="str">
        <f t="shared" si="459"/>
        <v>كيلوگرم</v>
      </c>
      <c r="J1768" s="1" t="str">
        <f t="shared" si="466"/>
        <v>0000000091</v>
      </c>
      <c r="K1768" s="1" t="str">
        <f t="shared" si="467"/>
        <v>قير  PG64-22</v>
      </c>
      <c r="L1768" s="1">
        <v>100</v>
      </c>
      <c r="M1768" s="1" t="str">
        <f t="shared" si="464"/>
        <v>مخازن قير اصفهان</v>
      </c>
      <c r="N1768" s="1">
        <v>4026</v>
      </c>
      <c r="O1768" s="1">
        <v>50030753</v>
      </c>
      <c r="P1768" s="1" t="str">
        <f t="shared" ref="P1768:P1776" si="473">"  اداره كل راه و شهرسازي خراسان رضوي"</f>
        <v xml:space="preserve">  اداره كل راه و شهرسازي خراسان رضوي</v>
      </c>
      <c r="Q1768" s="1">
        <v>14</v>
      </c>
      <c r="R1768" s="1" t="str">
        <f>"فروش داخلي - وزارت راه - حوزه راه روستايي ساخت"</f>
        <v>فروش داخلي - وزارت راه - حوزه راه روستايي ساخت</v>
      </c>
      <c r="S1768" s="1" t="str">
        <f t="shared" si="460"/>
        <v>قرارداد فروش</v>
      </c>
      <c r="T1768" s="1" t="str">
        <f t="shared" si="461"/>
        <v>ندارد</v>
      </c>
      <c r="U1768" s="1" t="str">
        <f>"شيشه بر كريم(1841016)"</f>
        <v>شيشه بر كريم(1841016)</v>
      </c>
      <c r="V1768" s="1">
        <v>951400013</v>
      </c>
      <c r="W1768" s="1">
        <v>951400013</v>
      </c>
      <c r="X1768" s="1" t="str">
        <f>"1395401990"</f>
        <v>1395401990</v>
      </c>
      <c r="Y1768" s="1" t="str">
        <f>"95/02/15"</f>
        <v>95/02/15</v>
      </c>
      <c r="Z1768" s="1" t="str">
        <f>"67367/510"</f>
        <v>67367/510</v>
      </c>
      <c r="AA1768" s="1" t="str">
        <f>"راه وروستايي -ساخت"</f>
        <v>راه وروستايي -ساخت</v>
      </c>
      <c r="AB1768" s="1" t="str">
        <f>"94/12/09"</f>
        <v>94/12/09</v>
      </c>
      <c r="AC1768" s="1" t="str">
        <f t="shared" ref="AC1768:AC1776" si="474">"خراسان رضوي"</f>
        <v>خراسان رضوي</v>
      </c>
      <c r="AD1768" s="1" t="str">
        <f>"95/02/11"</f>
        <v>95/02/11</v>
      </c>
      <c r="AE1768" s="1" t="str">
        <f t="shared" si="472"/>
        <v>اختتام</v>
      </c>
      <c r="AF1768" s="1" t="str">
        <f>""</f>
        <v/>
      </c>
      <c r="AG1768" s="1" t="str">
        <f>""</f>
        <v/>
      </c>
      <c r="AH1768" s="1" t="str">
        <f>""</f>
        <v/>
      </c>
      <c r="AI1768" s="1" t="str">
        <f>""</f>
        <v/>
      </c>
      <c r="AJ1768" s="1" t="str">
        <f>""</f>
        <v/>
      </c>
      <c r="AK1768" s="1" t="str">
        <f>""</f>
        <v/>
      </c>
    </row>
    <row r="1769" spans="1:37" x14ac:dyDescent="0.2">
      <c r="A1769" s="1">
        <v>110000</v>
      </c>
      <c r="B1769" s="1">
        <v>951700016</v>
      </c>
      <c r="C1769" s="1" t="str">
        <f>"تخليه -سبزوار-كارخانه آسفالت ثامن الحجج"</f>
        <v>تخليه -سبزوار-كارخانه آسفالت ثامن الحجج</v>
      </c>
      <c r="D1769" s="1">
        <v>5650</v>
      </c>
      <c r="E1769" s="1">
        <v>108860</v>
      </c>
      <c r="F1769" s="1">
        <v>95</v>
      </c>
      <c r="G1769" s="1">
        <v>1140</v>
      </c>
      <c r="H1769" s="1" t="str">
        <f>"95/02/15"</f>
        <v>95/02/15</v>
      </c>
      <c r="I1769" s="1" t="str">
        <f t="shared" si="459"/>
        <v>كيلوگرم</v>
      </c>
      <c r="J1769" s="1" t="str">
        <f t="shared" si="466"/>
        <v>0000000091</v>
      </c>
      <c r="K1769" s="1" t="str">
        <f t="shared" si="467"/>
        <v>قير  PG64-22</v>
      </c>
      <c r="L1769" s="1">
        <v>100</v>
      </c>
      <c r="M1769" s="1" t="str">
        <f t="shared" si="464"/>
        <v>مخازن قير اصفهان</v>
      </c>
      <c r="N1769" s="1">
        <v>4026</v>
      </c>
      <c r="O1769" s="1">
        <v>50030765</v>
      </c>
      <c r="P1769" s="1" t="str">
        <f t="shared" si="473"/>
        <v xml:space="preserve">  اداره كل راه و شهرسازي خراسان رضوي</v>
      </c>
      <c r="Q1769" s="1">
        <v>17</v>
      </c>
      <c r="R1769" s="1" t="str">
        <f t="shared" ref="R1769:R1776" si="475">"فروش داخلي تهران - وزارت راه - راه روستايي - روکش"</f>
        <v>فروش داخلي تهران - وزارت راه - راه روستايي - روکش</v>
      </c>
      <c r="S1769" s="1" t="str">
        <f t="shared" si="460"/>
        <v>قرارداد فروش</v>
      </c>
      <c r="T1769" s="1" t="str">
        <f t="shared" si="461"/>
        <v>ندارد</v>
      </c>
      <c r="U1769" s="1" t="str">
        <f>"حسيني سيدجواد(1841076)"</f>
        <v>حسيني سيدجواد(1841076)</v>
      </c>
      <c r="V1769" s="1">
        <v>951700016</v>
      </c>
      <c r="W1769" s="1">
        <v>951700016</v>
      </c>
      <c r="X1769" s="1" t="str">
        <f>"1395401990"</f>
        <v>1395401990</v>
      </c>
      <c r="Y1769" s="1" t="str">
        <f>"95/02/15"</f>
        <v>95/02/15</v>
      </c>
      <c r="Z1769" s="1" t="str">
        <f>"67363/510"</f>
        <v>67363/510</v>
      </c>
      <c r="AA1769" s="1" t="str">
        <f>"راه روستائي -روكش"</f>
        <v>راه روستائي -روكش</v>
      </c>
      <c r="AB1769" s="1" t="str">
        <f>"94/12/09"</f>
        <v>94/12/09</v>
      </c>
      <c r="AC1769" s="1" t="str">
        <f t="shared" si="474"/>
        <v>خراسان رضوي</v>
      </c>
      <c r="AD1769" s="1" t="str">
        <f>"95/02/11"</f>
        <v>95/02/11</v>
      </c>
      <c r="AE1769" s="1" t="str">
        <f t="shared" si="472"/>
        <v>اختتام</v>
      </c>
      <c r="AF1769" s="1" t="str">
        <f>""</f>
        <v/>
      </c>
      <c r="AG1769" s="1" t="str">
        <f>""</f>
        <v/>
      </c>
      <c r="AH1769" s="1" t="str">
        <f>""</f>
        <v/>
      </c>
      <c r="AI1769" s="1" t="str">
        <f>""</f>
        <v/>
      </c>
      <c r="AJ1769" s="1" t="str">
        <f>""</f>
        <v/>
      </c>
      <c r="AK1769" s="1" t="str">
        <f>""</f>
        <v/>
      </c>
    </row>
    <row r="1770" spans="1:37" x14ac:dyDescent="0.2">
      <c r="A1770" s="1">
        <v>300000</v>
      </c>
      <c r="B1770" s="1">
        <v>951700018</v>
      </c>
      <c r="C1770" s="1" t="str">
        <f>"تخليه- کارخانه آسفالت شهرداري چناران"</f>
        <v>تخليه- کارخانه آسفالت شهرداري چناران</v>
      </c>
      <c r="D1770" s="1">
        <v>5650</v>
      </c>
      <c r="E1770" s="1">
        <v>298340</v>
      </c>
      <c r="F1770" s="1">
        <v>95</v>
      </c>
      <c r="G1770" s="1">
        <v>1660</v>
      </c>
      <c r="H1770" s="1" t="str">
        <f>"95/02/15"</f>
        <v>95/02/15</v>
      </c>
      <c r="I1770" s="1" t="str">
        <f t="shared" si="459"/>
        <v>كيلوگرم</v>
      </c>
      <c r="J1770" s="1" t="str">
        <f t="shared" si="466"/>
        <v>0000000091</v>
      </c>
      <c r="K1770" s="1" t="str">
        <f t="shared" si="467"/>
        <v>قير  PG64-22</v>
      </c>
      <c r="L1770" s="1">
        <v>100</v>
      </c>
      <c r="M1770" s="1" t="str">
        <f t="shared" si="464"/>
        <v>مخازن قير اصفهان</v>
      </c>
      <c r="N1770" s="1">
        <v>4026</v>
      </c>
      <c r="O1770" s="1">
        <v>50030767</v>
      </c>
      <c r="P1770" s="1" t="str">
        <f t="shared" si="473"/>
        <v xml:space="preserve">  اداره كل راه و شهرسازي خراسان رضوي</v>
      </c>
      <c r="Q1770" s="1">
        <v>17</v>
      </c>
      <c r="R1770" s="1" t="str">
        <f t="shared" si="475"/>
        <v>فروش داخلي تهران - وزارت راه - راه روستايي - روکش</v>
      </c>
      <c r="S1770" s="1" t="str">
        <f t="shared" si="460"/>
        <v>قرارداد فروش</v>
      </c>
      <c r="T1770" s="1" t="str">
        <f t="shared" si="461"/>
        <v>ندارد</v>
      </c>
      <c r="U1770" s="1" t="str">
        <f>"حسيني سيدجواد(1841076)"</f>
        <v>حسيني سيدجواد(1841076)</v>
      </c>
      <c r="V1770" s="1">
        <v>951700018</v>
      </c>
      <c r="W1770" s="1">
        <v>951700018</v>
      </c>
      <c r="X1770" s="1" t="str">
        <f>"1395401990"</f>
        <v>1395401990</v>
      </c>
      <c r="Y1770" s="1" t="str">
        <f>"95/02/15"</f>
        <v>95/02/15</v>
      </c>
      <c r="Z1770" s="1" t="str">
        <f>"66249/510"</f>
        <v>66249/510</v>
      </c>
      <c r="AA1770" s="1" t="str">
        <f>"راه روستائي -روكش"</f>
        <v>راه روستائي -روكش</v>
      </c>
      <c r="AB1770" s="1" t="str">
        <f>"94/12/02"</f>
        <v>94/12/02</v>
      </c>
      <c r="AC1770" s="1" t="str">
        <f t="shared" si="474"/>
        <v>خراسان رضوي</v>
      </c>
      <c r="AD1770" s="1" t="str">
        <f>"95/02/11"</f>
        <v>95/02/11</v>
      </c>
      <c r="AE1770" s="1" t="str">
        <f t="shared" si="472"/>
        <v>اختتام</v>
      </c>
      <c r="AF1770" s="1" t="str">
        <f>""</f>
        <v/>
      </c>
      <c r="AG1770" s="1" t="str">
        <f>""</f>
        <v/>
      </c>
      <c r="AH1770" s="1" t="str">
        <f>""</f>
        <v/>
      </c>
      <c r="AI1770" s="1" t="str">
        <f>""</f>
        <v/>
      </c>
      <c r="AJ1770" s="1" t="str">
        <f>""</f>
        <v/>
      </c>
      <c r="AK1770" s="1" t="str">
        <f>""</f>
        <v/>
      </c>
    </row>
    <row r="1771" spans="1:37" x14ac:dyDescent="0.2">
      <c r="A1771" s="1">
        <v>1050000</v>
      </c>
      <c r="B1771" s="1">
        <v>951700077</v>
      </c>
      <c r="C1771" s="1" t="str">
        <f>"تخليه-کاشمر-کارخانه آسفالت کيميا سروش پاسارگاد"</f>
        <v>تخليه-کاشمر-کارخانه آسفالت کيميا سروش پاسارگاد</v>
      </c>
      <c r="D1771" s="1">
        <v>6250</v>
      </c>
      <c r="E1771" s="1">
        <v>1050000</v>
      </c>
      <c r="F1771" s="1">
        <v>95</v>
      </c>
      <c r="G1771" s="1">
        <v>0</v>
      </c>
      <c r="H1771" s="1" t="str">
        <f>"95/04/08"</f>
        <v>95/04/08</v>
      </c>
      <c r="I1771" s="1" t="str">
        <f t="shared" si="459"/>
        <v>كيلوگرم</v>
      </c>
      <c r="J1771" s="1" t="str">
        <f t="shared" si="466"/>
        <v>0000000091</v>
      </c>
      <c r="K1771" s="1" t="str">
        <f t="shared" si="467"/>
        <v>قير  PG64-22</v>
      </c>
      <c r="L1771" s="1">
        <v>100</v>
      </c>
      <c r="M1771" s="1" t="str">
        <f t="shared" si="464"/>
        <v>مخازن قير اصفهان</v>
      </c>
      <c r="N1771" s="1">
        <v>4026</v>
      </c>
      <c r="O1771" s="1">
        <v>50031158</v>
      </c>
      <c r="P1771" s="1" t="str">
        <f t="shared" si="473"/>
        <v xml:space="preserve">  اداره كل راه و شهرسازي خراسان رضوي</v>
      </c>
      <c r="Q1771" s="1">
        <v>17</v>
      </c>
      <c r="R1771" s="1" t="str">
        <f t="shared" si="475"/>
        <v>فروش داخلي تهران - وزارت راه - راه روستايي - روکش</v>
      </c>
      <c r="S1771" s="1" t="str">
        <f t="shared" si="460"/>
        <v>قرارداد فروش</v>
      </c>
      <c r="T1771" s="1" t="str">
        <f t="shared" si="461"/>
        <v>ندارد</v>
      </c>
      <c r="U1771" s="1" t="str">
        <f>"ترك شاهسوندي مهدي(1022ج89)"</f>
        <v>ترك شاهسوندي مهدي(1022ج89)</v>
      </c>
      <c r="V1771" s="1">
        <v>951700077</v>
      </c>
      <c r="W1771" s="1">
        <v>951700077</v>
      </c>
      <c r="X1771" s="1" t="str">
        <f>"1395411402"</f>
        <v>1395411402</v>
      </c>
      <c r="Y1771" s="1" t="str">
        <f>"95/04/08"</f>
        <v>95/04/08</v>
      </c>
      <c r="Z1771" s="1" t="str">
        <f>"13655/510"</f>
        <v>13655/510</v>
      </c>
      <c r="AA1771" s="1" t="str">
        <f>"راه روستائي -روكش"</f>
        <v>راه روستائي -روكش</v>
      </c>
      <c r="AB1771" s="1" t="str">
        <f>"95/04/01"</f>
        <v>95/04/01</v>
      </c>
      <c r="AC1771" s="1" t="str">
        <f t="shared" si="474"/>
        <v>خراسان رضوي</v>
      </c>
      <c r="AD1771" s="1" t="str">
        <f>"95/04/06"</f>
        <v>95/04/06</v>
      </c>
      <c r="AE1771" s="1" t="str">
        <f t="shared" si="472"/>
        <v>اختتام</v>
      </c>
      <c r="AF1771" s="1" t="str">
        <f>""</f>
        <v/>
      </c>
      <c r="AG1771" s="1" t="str">
        <f>""</f>
        <v/>
      </c>
      <c r="AH1771" s="1" t="str">
        <f>""</f>
        <v/>
      </c>
      <c r="AI1771" s="1" t="str">
        <f>""</f>
        <v/>
      </c>
      <c r="AJ1771" s="1" t="str">
        <f>""</f>
        <v/>
      </c>
      <c r="AK1771" s="1" t="str">
        <f>""</f>
        <v/>
      </c>
    </row>
    <row r="1772" spans="1:37" x14ac:dyDescent="0.2">
      <c r="A1772" s="1">
        <v>100000</v>
      </c>
      <c r="B1772" s="1">
        <v>951700121</v>
      </c>
      <c r="C1772" s="1" t="str">
        <f>"تخليه-کاشمر-کارخانه آسفالت کيميا سروش پاسارگاد"</f>
        <v>تخليه-کاشمر-کارخانه آسفالت کيميا سروش پاسارگاد</v>
      </c>
      <c r="D1772" s="1">
        <v>6726</v>
      </c>
      <c r="E1772" s="1">
        <v>97520</v>
      </c>
      <c r="F1772" s="1">
        <v>95</v>
      </c>
      <c r="G1772" s="1">
        <v>2480</v>
      </c>
      <c r="H1772" s="1" t="str">
        <f>"95/05/06"</f>
        <v>95/05/06</v>
      </c>
      <c r="I1772" s="1" t="str">
        <f t="shared" si="459"/>
        <v>كيلوگرم</v>
      </c>
      <c r="J1772" s="1" t="str">
        <f t="shared" si="466"/>
        <v>0000000091</v>
      </c>
      <c r="K1772" s="1" t="str">
        <f t="shared" si="467"/>
        <v>قير  PG64-22</v>
      </c>
      <c r="L1772" s="1">
        <v>100</v>
      </c>
      <c r="M1772" s="1" t="str">
        <f t="shared" si="464"/>
        <v>مخازن قير اصفهان</v>
      </c>
      <c r="N1772" s="1">
        <v>4026</v>
      </c>
      <c r="O1772" s="1">
        <v>50031378</v>
      </c>
      <c r="P1772" s="1" t="str">
        <f t="shared" si="473"/>
        <v xml:space="preserve">  اداره كل راه و شهرسازي خراسان رضوي</v>
      </c>
      <c r="Q1772" s="1">
        <v>17</v>
      </c>
      <c r="R1772" s="1" t="str">
        <f t="shared" si="475"/>
        <v>فروش داخلي تهران - وزارت راه - راه روستايي - روکش</v>
      </c>
      <c r="S1772" s="1" t="str">
        <f t="shared" si="460"/>
        <v>قرارداد فروش</v>
      </c>
      <c r="T1772" s="1" t="str">
        <f t="shared" si="461"/>
        <v>ندارد</v>
      </c>
      <c r="U1772" s="1" t="str">
        <f>"ترك شاهسوندي مهدي(1022ج89)"</f>
        <v>ترك شاهسوندي مهدي(1022ج89)</v>
      </c>
      <c r="V1772" s="1">
        <v>951700121</v>
      </c>
      <c r="W1772" s="1">
        <v>951700121</v>
      </c>
      <c r="X1772" s="1" t="str">
        <f>"1395418062"</f>
        <v>1395418062</v>
      </c>
      <c r="Y1772" s="1" t="str">
        <f>"95/05/06"</f>
        <v>95/05/06</v>
      </c>
      <c r="Z1772" s="1" t="str">
        <f>"18189/510"</f>
        <v>18189/510</v>
      </c>
      <c r="AA1772" s="1" t="str">
        <f>"سازمان راهداري وحمل نقل جاده اي"</f>
        <v>سازمان راهداري وحمل نقل جاده اي</v>
      </c>
      <c r="AB1772" s="1" t="str">
        <f>"95/04/27"</f>
        <v>95/04/27</v>
      </c>
      <c r="AC1772" s="1" t="str">
        <f t="shared" si="474"/>
        <v>خراسان رضوي</v>
      </c>
      <c r="AD1772" s="1" t="str">
        <f>"95/05/05"</f>
        <v>95/05/05</v>
      </c>
      <c r="AE1772" s="1" t="str">
        <f t="shared" si="472"/>
        <v>اختتام</v>
      </c>
      <c r="AF1772" s="1" t="str">
        <f>""</f>
        <v/>
      </c>
      <c r="AG1772" s="1" t="str">
        <f>""</f>
        <v/>
      </c>
      <c r="AH1772" s="1" t="str">
        <f>""</f>
        <v/>
      </c>
      <c r="AI1772" s="1" t="str">
        <f>""</f>
        <v/>
      </c>
      <c r="AJ1772" s="1" t="str">
        <f>""</f>
        <v/>
      </c>
      <c r="AK1772" s="1" t="str">
        <f>""</f>
        <v/>
      </c>
    </row>
    <row r="1773" spans="1:37" x14ac:dyDescent="0.2">
      <c r="A1773" s="1">
        <v>115000</v>
      </c>
      <c r="B1773" s="1">
        <v>951700173</v>
      </c>
      <c r="C1773" s="1" t="str">
        <f>"تخليه -خراسان رضوي -تايباد-كارخانه آسفالت استحكام انديش"</f>
        <v>تخليه -خراسان رضوي -تايباد-كارخانه آسفالت استحكام انديش</v>
      </c>
      <c r="D1773" s="1">
        <v>7176</v>
      </c>
      <c r="E1773" s="1">
        <v>112800</v>
      </c>
      <c r="F1773" s="1">
        <v>95</v>
      </c>
      <c r="G1773" s="1">
        <v>2200</v>
      </c>
      <c r="H1773" s="1" t="str">
        <f>"95/06/06"</f>
        <v>95/06/06</v>
      </c>
      <c r="I1773" s="1" t="str">
        <f t="shared" si="459"/>
        <v>كيلوگرم</v>
      </c>
      <c r="J1773" s="1" t="str">
        <f t="shared" si="466"/>
        <v>0000000091</v>
      </c>
      <c r="K1773" s="1" t="str">
        <f t="shared" si="467"/>
        <v>قير  PG64-22</v>
      </c>
      <c r="L1773" s="1">
        <v>100</v>
      </c>
      <c r="M1773" s="1" t="str">
        <f t="shared" si="464"/>
        <v>مخازن قير اصفهان</v>
      </c>
      <c r="N1773" s="1">
        <v>4026</v>
      </c>
      <c r="O1773" s="1">
        <v>50031656</v>
      </c>
      <c r="P1773" s="1" t="str">
        <f t="shared" si="473"/>
        <v xml:space="preserve">  اداره كل راه و شهرسازي خراسان رضوي</v>
      </c>
      <c r="Q1773" s="1">
        <v>17</v>
      </c>
      <c r="R1773" s="1" t="str">
        <f t="shared" si="475"/>
        <v>فروش داخلي تهران - وزارت راه - راه روستايي - روکش</v>
      </c>
      <c r="S1773" s="1" t="str">
        <f t="shared" si="460"/>
        <v>قرارداد فروش</v>
      </c>
      <c r="T1773" s="1" t="str">
        <f t="shared" si="461"/>
        <v>ندارد</v>
      </c>
      <c r="U1773" s="1" t="str">
        <f>"ترك شاهسوندي مهدي(1022ج89)"</f>
        <v>ترك شاهسوندي مهدي(1022ج89)</v>
      </c>
      <c r="V1773" s="1">
        <v>951700173</v>
      </c>
      <c r="W1773" s="1">
        <v>951700173</v>
      </c>
      <c r="X1773" s="1" t="str">
        <f>"1395427009"</f>
        <v>1395427009</v>
      </c>
      <c r="Y1773" s="1" t="str">
        <f>"95/06/06"</f>
        <v>95/06/06</v>
      </c>
      <c r="Z1773" s="1" t="str">
        <f>"24059/510"</f>
        <v>24059/510</v>
      </c>
      <c r="AA1773" s="1" t="str">
        <f>"راه روستائي -روكش"</f>
        <v>راه روستائي -روكش</v>
      </c>
      <c r="AB1773" s="1" t="str">
        <f>"95/05/26"</f>
        <v>95/05/26</v>
      </c>
      <c r="AC1773" s="1" t="str">
        <f t="shared" si="474"/>
        <v>خراسان رضوي</v>
      </c>
      <c r="AD1773" s="1" t="str">
        <f>"95/06/06"</f>
        <v>95/06/06</v>
      </c>
      <c r="AE1773" s="1" t="str">
        <f t="shared" si="472"/>
        <v>اختتام</v>
      </c>
      <c r="AF1773" s="1" t="str">
        <f>""</f>
        <v/>
      </c>
      <c r="AG1773" s="1" t="str">
        <f>""</f>
        <v/>
      </c>
      <c r="AH1773" s="1" t="str">
        <f>""</f>
        <v/>
      </c>
      <c r="AI1773" s="1" t="str">
        <f>""</f>
        <v/>
      </c>
      <c r="AJ1773" s="1" t="str">
        <f>""</f>
        <v/>
      </c>
      <c r="AK1773" s="1" t="str">
        <f>""</f>
        <v/>
      </c>
    </row>
    <row r="1774" spans="1:37" x14ac:dyDescent="0.2">
      <c r="A1774" s="1">
        <v>437000</v>
      </c>
      <c r="B1774" s="1">
        <v>951700176</v>
      </c>
      <c r="C1774" s="1" t="str">
        <f>"تخليه - خراسان رضوي-قائنات زير کوه روبروي شهرآسودن کارخانه توس راديه"</f>
        <v>تخليه - خراسان رضوي-قائنات زير کوه روبروي شهرآسودن کارخانه توس راديه</v>
      </c>
      <c r="D1774" s="1">
        <v>7176</v>
      </c>
      <c r="E1774" s="1">
        <v>431720</v>
      </c>
      <c r="F1774" s="1">
        <v>95</v>
      </c>
      <c r="G1774" s="1">
        <v>5280</v>
      </c>
      <c r="H1774" s="1" t="str">
        <f>"95/06/06"</f>
        <v>95/06/06</v>
      </c>
      <c r="I1774" s="1" t="str">
        <f t="shared" si="459"/>
        <v>كيلوگرم</v>
      </c>
      <c r="J1774" s="1" t="str">
        <f t="shared" si="466"/>
        <v>0000000091</v>
      </c>
      <c r="K1774" s="1" t="str">
        <f t="shared" si="467"/>
        <v>قير  PG64-22</v>
      </c>
      <c r="L1774" s="1">
        <v>100</v>
      </c>
      <c r="M1774" s="1" t="str">
        <f t="shared" si="464"/>
        <v>مخازن قير اصفهان</v>
      </c>
      <c r="N1774" s="1">
        <v>4026</v>
      </c>
      <c r="O1774" s="1">
        <v>50031659</v>
      </c>
      <c r="P1774" s="1" t="str">
        <f t="shared" si="473"/>
        <v xml:space="preserve">  اداره كل راه و شهرسازي خراسان رضوي</v>
      </c>
      <c r="Q1774" s="1">
        <v>17</v>
      </c>
      <c r="R1774" s="1" t="str">
        <f t="shared" si="475"/>
        <v>فروش داخلي تهران - وزارت راه - راه روستايي - روکش</v>
      </c>
      <c r="S1774" s="1" t="str">
        <f t="shared" si="460"/>
        <v>قرارداد فروش</v>
      </c>
      <c r="T1774" s="1" t="str">
        <f t="shared" si="461"/>
        <v>ندارد</v>
      </c>
      <c r="U1774" s="1" t="str">
        <f>"بابامحمدي عنايت اله(4844000)"</f>
        <v>بابامحمدي عنايت اله(4844000)</v>
      </c>
      <c r="V1774" s="1">
        <v>951700176</v>
      </c>
      <c r="W1774" s="1">
        <v>951700176</v>
      </c>
      <c r="X1774" s="1" t="str">
        <f>"1395427009"</f>
        <v>1395427009</v>
      </c>
      <c r="Y1774" s="1" t="str">
        <f>"95/06/06"</f>
        <v>95/06/06</v>
      </c>
      <c r="Z1774" s="1" t="str">
        <f>"23387/510"</f>
        <v>23387/510</v>
      </c>
      <c r="AA1774" s="1" t="str">
        <f>"راه روستائي -روكش"</f>
        <v>راه روستائي -روكش</v>
      </c>
      <c r="AB1774" s="1" t="str">
        <f>"95/05/24"</f>
        <v>95/05/24</v>
      </c>
      <c r="AC1774" s="1" t="str">
        <f t="shared" si="474"/>
        <v>خراسان رضوي</v>
      </c>
      <c r="AD1774" s="1" t="str">
        <f>"95/06/06"</f>
        <v>95/06/06</v>
      </c>
      <c r="AE1774" s="1" t="str">
        <f t="shared" si="472"/>
        <v>اختتام</v>
      </c>
      <c r="AF1774" s="1" t="str">
        <f>""</f>
        <v/>
      </c>
      <c r="AG1774" s="1" t="str">
        <f>""</f>
        <v/>
      </c>
      <c r="AH1774" s="1" t="str">
        <f>""</f>
        <v/>
      </c>
      <c r="AI1774" s="1" t="str">
        <f>""</f>
        <v/>
      </c>
      <c r="AJ1774" s="1" t="str">
        <f>""</f>
        <v/>
      </c>
      <c r="AK1774" s="1" t="str">
        <f>""</f>
        <v/>
      </c>
    </row>
    <row r="1775" spans="1:37" x14ac:dyDescent="0.2">
      <c r="A1775" s="1">
        <v>380000</v>
      </c>
      <c r="B1775" s="1">
        <v>951700229</v>
      </c>
      <c r="C1775" s="1" t="str">
        <f>"تخليه خراسان رضوي ابتداي جاده سنگ بست مخازن شركت بيندربست"</f>
        <v>تخليه خراسان رضوي ابتداي جاده سنگ بست مخازن شركت بيندربست</v>
      </c>
      <c r="D1775" s="1">
        <v>7276</v>
      </c>
      <c r="E1775" s="1">
        <v>358020</v>
      </c>
      <c r="F1775" s="1">
        <v>95</v>
      </c>
      <c r="G1775" s="1">
        <v>21980</v>
      </c>
      <c r="H1775" s="1" t="str">
        <f>"95/07/06"</f>
        <v>95/07/06</v>
      </c>
      <c r="I1775" s="1" t="str">
        <f t="shared" si="459"/>
        <v>كيلوگرم</v>
      </c>
      <c r="J1775" s="1" t="str">
        <f t="shared" si="466"/>
        <v>0000000091</v>
      </c>
      <c r="K1775" s="1" t="str">
        <f t="shared" si="467"/>
        <v>قير  PG64-22</v>
      </c>
      <c r="L1775" s="1">
        <v>100</v>
      </c>
      <c r="M1775" s="1" t="str">
        <f t="shared" si="464"/>
        <v>مخازن قير اصفهان</v>
      </c>
      <c r="N1775" s="1">
        <v>4026</v>
      </c>
      <c r="O1775" s="1">
        <v>50032015</v>
      </c>
      <c r="P1775" s="1" t="str">
        <f t="shared" si="473"/>
        <v xml:space="preserve">  اداره كل راه و شهرسازي خراسان رضوي</v>
      </c>
      <c r="Q1775" s="1">
        <v>17</v>
      </c>
      <c r="R1775" s="1" t="str">
        <f t="shared" si="475"/>
        <v>فروش داخلي تهران - وزارت راه - راه روستايي - روکش</v>
      </c>
      <c r="S1775" s="1" t="str">
        <f t="shared" si="460"/>
        <v>قرارداد فروش</v>
      </c>
      <c r="T1775" s="1" t="str">
        <f t="shared" si="461"/>
        <v>ندارد</v>
      </c>
      <c r="U1775" s="1" t="str">
        <f>"حسيني سيدجواد(1841076)"</f>
        <v>حسيني سيدجواد(1841076)</v>
      </c>
      <c r="V1775" s="1">
        <v>951700229</v>
      </c>
      <c r="W1775" s="1">
        <v>951700229</v>
      </c>
      <c r="X1775" s="1" t="str">
        <f>"1395433834"</f>
        <v>1395433834</v>
      </c>
      <c r="Y1775" s="1" t="str">
        <f>"95/07/06"</f>
        <v>95/07/06</v>
      </c>
      <c r="Z1775" s="1" t="str">
        <f>"30701/510"</f>
        <v>30701/510</v>
      </c>
      <c r="AA1775" s="1" t="str">
        <f>"راه روستائي -روكش"</f>
        <v>راه روستائي -روكش</v>
      </c>
      <c r="AB1775" s="1" t="str">
        <f>"95/06/28"</f>
        <v>95/06/28</v>
      </c>
      <c r="AC1775" s="1" t="str">
        <f t="shared" si="474"/>
        <v>خراسان رضوي</v>
      </c>
      <c r="AD1775" s="1" t="str">
        <f>"95/07/05"</f>
        <v>95/07/05</v>
      </c>
      <c r="AE1775" s="1" t="str">
        <f t="shared" si="472"/>
        <v>اختتام</v>
      </c>
      <c r="AF1775" s="1" t="str">
        <f>""</f>
        <v/>
      </c>
      <c r="AG1775" s="1" t="str">
        <f>""</f>
        <v/>
      </c>
      <c r="AH1775" s="1" t="str">
        <f>""</f>
        <v/>
      </c>
      <c r="AI1775" s="1" t="str">
        <f>""</f>
        <v/>
      </c>
      <c r="AJ1775" s="1" t="str">
        <f>""</f>
        <v/>
      </c>
      <c r="AK1775" s="1" t="str">
        <f>""</f>
        <v/>
      </c>
    </row>
    <row r="1776" spans="1:37" x14ac:dyDescent="0.2">
      <c r="A1776" s="1">
        <v>116380</v>
      </c>
      <c r="B1776" s="1">
        <v>951700281</v>
      </c>
      <c r="C1776" s="1" t="str">
        <f>"تخليه- خراسان رضوي - بجستان-کارخانه آسفالت شرق گستر"</f>
        <v>تخليه- خراسان رضوي - بجستان-کارخانه آسفالت شرق گستر</v>
      </c>
      <c r="D1776" s="1">
        <v>8323</v>
      </c>
      <c r="E1776" s="1">
        <v>114940</v>
      </c>
      <c r="F1776" s="1">
        <v>95</v>
      </c>
      <c r="G1776" s="1">
        <v>1440</v>
      </c>
      <c r="H1776" s="1" t="str">
        <f>"95/08/09"</f>
        <v>95/08/09</v>
      </c>
      <c r="I1776" s="1" t="str">
        <f t="shared" si="459"/>
        <v>كيلوگرم</v>
      </c>
      <c r="J1776" s="1" t="str">
        <f t="shared" si="466"/>
        <v>0000000091</v>
      </c>
      <c r="K1776" s="1" t="str">
        <f t="shared" si="467"/>
        <v>قير  PG64-22</v>
      </c>
      <c r="L1776" s="1">
        <v>100</v>
      </c>
      <c r="M1776" s="1" t="str">
        <f t="shared" si="464"/>
        <v>مخازن قير اصفهان</v>
      </c>
      <c r="N1776" s="1">
        <v>4026</v>
      </c>
      <c r="O1776" s="1">
        <v>50032419</v>
      </c>
      <c r="P1776" s="1" t="str">
        <f t="shared" si="473"/>
        <v xml:space="preserve">  اداره كل راه و شهرسازي خراسان رضوي</v>
      </c>
      <c r="Q1776" s="1">
        <v>17</v>
      </c>
      <c r="R1776" s="1" t="str">
        <f t="shared" si="475"/>
        <v>فروش داخلي تهران - وزارت راه - راه روستايي - روکش</v>
      </c>
      <c r="S1776" s="1" t="str">
        <f t="shared" si="460"/>
        <v>قرارداد فروش</v>
      </c>
      <c r="T1776" s="1" t="str">
        <f t="shared" si="461"/>
        <v>ندارد</v>
      </c>
      <c r="U1776" s="1" t="str">
        <f>"حسيني سيدجواد(1841076)"</f>
        <v>حسيني سيدجواد(1841076)</v>
      </c>
      <c r="V1776" s="1">
        <v>951700281</v>
      </c>
      <c r="W1776" s="1">
        <v>951700281</v>
      </c>
      <c r="X1776" s="1" t="str">
        <f>"1395426941"</f>
        <v>1395426941</v>
      </c>
      <c r="Y1776" s="1" t="str">
        <f>"95/08/09"</f>
        <v>95/08/09</v>
      </c>
      <c r="Z1776" s="1" t="str">
        <f>"25075/510"</f>
        <v>25075/510</v>
      </c>
      <c r="AA1776" s="1" t="str">
        <f>"راه روستائي -روكش"</f>
        <v>راه روستائي -روكش</v>
      </c>
      <c r="AB1776" s="1" t="str">
        <f>"95/05/31"</f>
        <v>95/05/31</v>
      </c>
      <c r="AC1776" s="1" t="str">
        <f t="shared" si="474"/>
        <v>خراسان رضوي</v>
      </c>
      <c r="AD1776" s="1" t="str">
        <f>"95/06/06"</f>
        <v>95/06/06</v>
      </c>
      <c r="AE1776" s="1" t="str">
        <f t="shared" si="472"/>
        <v>اختتام</v>
      </c>
      <c r="AF1776" s="1" t="str">
        <f>""</f>
        <v/>
      </c>
      <c r="AG1776" s="1" t="str">
        <f>""</f>
        <v/>
      </c>
      <c r="AH1776" s="1" t="str">
        <f>""</f>
        <v/>
      </c>
      <c r="AI1776" s="1" t="str">
        <f>""</f>
        <v/>
      </c>
      <c r="AJ1776" s="1" t="str">
        <f>""</f>
        <v/>
      </c>
      <c r="AK1776" s="1" t="str">
        <f>""</f>
        <v/>
      </c>
    </row>
    <row r="1777" spans="1:37" x14ac:dyDescent="0.2">
      <c r="A1777" s="1">
        <v>500000</v>
      </c>
      <c r="B1777" s="1">
        <v>951100136</v>
      </c>
      <c r="C1777" s="1" t="str">
        <f>"تخليه -كرمانشاه -كمربندي شرقي جنب رودخانه قره سو-كارخانه آسفالت شركت جهادنصركرمانشاه"</f>
        <v>تخليه -كرمانشاه -كمربندي شرقي جنب رودخانه قره سو-كارخانه آسفالت شركت جهادنصركرمانشاه</v>
      </c>
      <c r="D1777" s="1">
        <v>9273</v>
      </c>
      <c r="E1777" s="1">
        <v>498820</v>
      </c>
      <c r="F1777" s="1">
        <v>95</v>
      </c>
      <c r="G1777" s="1">
        <v>1180</v>
      </c>
      <c r="H1777" s="1" t="str">
        <f>"95/08/12"</f>
        <v>95/08/12</v>
      </c>
      <c r="I1777" s="1" t="str">
        <f t="shared" si="459"/>
        <v>كيلوگرم</v>
      </c>
      <c r="J1777" s="1" t="str">
        <f t="shared" si="466"/>
        <v>0000000091</v>
      </c>
      <c r="K1777" s="1" t="str">
        <f t="shared" si="467"/>
        <v>قير  PG64-22</v>
      </c>
      <c r="L1777" s="1">
        <v>100</v>
      </c>
      <c r="M1777" s="1" t="str">
        <f t="shared" si="464"/>
        <v>مخازن قير اصفهان</v>
      </c>
      <c r="N1777" s="1">
        <v>4039</v>
      </c>
      <c r="O1777" s="1">
        <v>50032475</v>
      </c>
      <c r="P1777" s="1" t="str">
        <f>"  جهاد نصركرمانشاه(2912047)"</f>
        <v xml:space="preserve">  جهاد نصركرمانشاه(2912047)</v>
      </c>
      <c r="Q1777" s="1">
        <v>11</v>
      </c>
      <c r="R1777" s="1" t="str">
        <f>"فروش داخلي تهران - بورس"</f>
        <v>فروش داخلي تهران - بورس</v>
      </c>
      <c r="S1777" s="1" t="str">
        <f t="shared" si="460"/>
        <v>قرارداد فروش</v>
      </c>
      <c r="T1777" s="1" t="str">
        <f t="shared" si="461"/>
        <v>ندارد</v>
      </c>
      <c r="U1777" s="1" t="str">
        <f>"عظيمي محمد(2842015)"</f>
        <v>عظيمي محمد(2842015)</v>
      </c>
      <c r="V1777" s="1">
        <v>951100136</v>
      </c>
      <c r="W1777" s="1">
        <v>951100136</v>
      </c>
      <c r="X1777" s="1" t="str">
        <f>"1395441591"</f>
        <v>1395441591</v>
      </c>
      <c r="Y1777" s="1" t="str">
        <f>"95/08/11"</f>
        <v>95/08/11</v>
      </c>
      <c r="Z1777" s="1" t="str">
        <f>"95-34776"</f>
        <v>95-34776</v>
      </c>
      <c r="AA1777" s="1" t="str">
        <f>"راه سازي"</f>
        <v>راه سازي</v>
      </c>
      <c r="AB1777" s="1" t="str">
        <f>"95/08/11"</f>
        <v>95/08/11</v>
      </c>
      <c r="AC1777" s="1" t="str">
        <f>"استان كرمانشاه"</f>
        <v>استان كرمانشاه</v>
      </c>
      <c r="AD1777" s="1" t="str">
        <f>"95/08/10"</f>
        <v>95/08/10</v>
      </c>
      <c r="AE1777" s="1" t="str">
        <f t="shared" si="472"/>
        <v>اختتام</v>
      </c>
      <c r="AF1777" s="1" t="str">
        <f>""</f>
        <v/>
      </c>
      <c r="AG1777" s="1" t="str">
        <f>""</f>
        <v/>
      </c>
      <c r="AH1777" s="1" t="str">
        <f>""</f>
        <v/>
      </c>
      <c r="AI1777" s="1" t="str">
        <f>""</f>
        <v/>
      </c>
      <c r="AJ1777" s="1" t="str">
        <f>""</f>
        <v/>
      </c>
      <c r="AK1777" s="1" t="str">
        <f>""</f>
        <v/>
      </c>
    </row>
    <row r="1778" spans="1:37" x14ac:dyDescent="0.2">
      <c r="A1778" s="1">
        <v>1025000</v>
      </c>
      <c r="B1778" s="1">
        <v>951400029</v>
      </c>
      <c r="C1778" s="1" t="str">
        <f>"تخليه -سيستان وبلوچستان -زاهدان -شهرك كامبوزيا-كارخانه آسفالت مهام هيرمند"</f>
        <v>تخليه -سيستان وبلوچستان -زاهدان -شهرك كامبوزيا-كارخانه آسفالت مهام هيرمند</v>
      </c>
      <c r="D1778" s="1">
        <v>6250</v>
      </c>
      <c r="E1778" s="1">
        <v>44540</v>
      </c>
      <c r="F1778" s="1">
        <v>95</v>
      </c>
      <c r="G1778" s="1">
        <v>980460</v>
      </c>
      <c r="H1778" s="1" t="str">
        <f>"95/04/05"</f>
        <v>95/04/05</v>
      </c>
      <c r="I1778" s="1" t="str">
        <f t="shared" si="459"/>
        <v>كيلوگرم</v>
      </c>
      <c r="J1778" s="1" t="str">
        <f t="shared" si="466"/>
        <v>0000000091</v>
      </c>
      <c r="K1778" s="1" t="str">
        <f t="shared" si="467"/>
        <v>قير  PG64-22</v>
      </c>
      <c r="L1778" s="1">
        <v>100</v>
      </c>
      <c r="M1778" s="1" t="str">
        <f t="shared" si="464"/>
        <v>مخازن قير اصفهان</v>
      </c>
      <c r="N1778" s="1">
        <v>4095</v>
      </c>
      <c r="O1778" s="1">
        <v>50031110</v>
      </c>
      <c r="P1778" s="1" t="str">
        <f t="shared" ref="P1778:P1783" si="476">"  اداره كل راه وشهرسازي سيستان وبلوچستان"</f>
        <v xml:space="preserve">  اداره كل راه وشهرسازي سيستان وبلوچستان</v>
      </c>
      <c r="Q1778" s="1">
        <v>14</v>
      </c>
      <c r="R1778" s="1" t="str">
        <f>"فروش داخلي - وزارت راه - حوزه راه روستايي ساخت"</f>
        <v>فروش داخلي - وزارت راه - حوزه راه روستايي ساخت</v>
      </c>
      <c r="S1778" s="1" t="str">
        <f t="shared" si="460"/>
        <v>قرارداد فروش</v>
      </c>
      <c r="T1778" s="1" t="str">
        <f t="shared" si="461"/>
        <v>ندارد</v>
      </c>
      <c r="U1778" s="1" t="str">
        <f>"ميرحسيني چاپارحقيقت كرمان(4844008)"</f>
        <v>ميرحسيني چاپارحقيقت كرمان(4844008)</v>
      </c>
      <c r="V1778" s="1">
        <v>951400029</v>
      </c>
      <c r="W1778" s="1">
        <v>951400029</v>
      </c>
      <c r="X1778" s="1" t="str">
        <f>"1395411202"</f>
        <v>1395411202</v>
      </c>
      <c r="Y1778" s="1" t="str">
        <f>"95/04/05"</f>
        <v>95/04/05</v>
      </c>
      <c r="Z1778" s="1" t="str">
        <f>"12458/510"</f>
        <v>12458/510</v>
      </c>
      <c r="AA1778" s="1" t="str">
        <f>"راه وروستايي -ساخت"</f>
        <v>راه وروستايي -ساخت</v>
      </c>
      <c r="AB1778" s="1" t="str">
        <f>"95/03/26"</f>
        <v>95/03/26</v>
      </c>
      <c r="AC1778" s="1" t="str">
        <f t="shared" ref="AC1778:AC1783" si="477">"استان سيستان بلوچستان"</f>
        <v>استان سيستان بلوچستان</v>
      </c>
      <c r="AD1778" s="1" t="str">
        <f>"95/04/05"</f>
        <v>95/04/05</v>
      </c>
      <c r="AE1778" s="1" t="str">
        <f t="shared" si="472"/>
        <v>اختتام</v>
      </c>
      <c r="AF1778" s="1" t="str">
        <f>""</f>
        <v/>
      </c>
      <c r="AG1778" s="1" t="str">
        <f>""</f>
        <v/>
      </c>
      <c r="AH1778" s="1" t="str">
        <f>""</f>
        <v/>
      </c>
      <c r="AI1778" s="1" t="str">
        <f>""</f>
        <v/>
      </c>
      <c r="AJ1778" s="1" t="str">
        <f>""</f>
        <v/>
      </c>
      <c r="AK1778" s="1" t="str">
        <f>""</f>
        <v/>
      </c>
    </row>
    <row r="1779" spans="1:37" x14ac:dyDescent="0.2">
      <c r="A1779" s="1">
        <v>655140</v>
      </c>
      <c r="B1779" s="1">
        <v>951700081</v>
      </c>
      <c r="C1779" s="1" t="str">
        <f>"تخليه سيستان وبلوچستان -زابل كارخانه آسفالت شهرداري زابل"</f>
        <v>تخليه سيستان وبلوچستان -زابل كارخانه آسفالت شهرداري زابل</v>
      </c>
      <c r="D1779" s="1">
        <v>6250</v>
      </c>
      <c r="E1779" s="1">
        <v>139420</v>
      </c>
      <c r="F1779" s="1">
        <v>95</v>
      </c>
      <c r="G1779" s="1">
        <v>515720</v>
      </c>
      <c r="H1779" s="1" t="str">
        <f>"95/04/19"</f>
        <v>95/04/19</v>
      </c>
      <c r="I1779" s="1" t="str">
        <f t="shared" si="459"/>
        <v>كيلوگرم</v>
      </c>
      <c r="J1779" s="1" t="str">
        <f t="shared" si="466"/>
        <v>0000000091</v>
      </c>
      <c r="K1779" s="1" t="str">
        <f t="shared" si="467"/>
        <v>قير  PG64-22</v>
      </c>
      <c r="L1779" s="1">
        <v>100</v>
      </c>
      <c r="M1779" s="1" t="str">
        <f t="shared" si="464"/>
        <v>مخازن قير اصفهان</v>
      </c>
      <c r="N1779" s="1">
        <v>4095</v>
      </c>
      <c r="O1779" s="1">
        <v>50031217</v>
      </c>
      <c r="P1779" s="1" t="str">
        <f t="shared" si="476"/>
        <v xml:space="preserve">  اداره كل راه وشهرسازي سيستان وبلوچستان</v>
      </c>
      <c r="Q1779" s="1">
        <v>17</v>
      </c>
      <c r="R1779" s="1" t="str">
        <f>"فروش داخلي تهران - وزارت راه - راه روستايي - روکش"</f>
        <v>فروش داخلي تهران - وزارت راه - راه روستايي - روکش</v>
      </c>
      <c r="S1779" s="1" t="str">
        <f t="shared" si="460"/>
        <v>قرارداد فروش</v>
      </c>
      <c r="T1779" s="1" t="str">
        <f t="shared" si="461"/>
        <v>ندارد</v>
      </c>
      <c r="U1779" s="1" t="str">
        <f>"پورباقري حسين(4844001)"</f>
        <v>پورباقري حسين(4844001)</v>
      </c>
      <c r="V1779" s="1">
        <v>951700081</v>
      </c>
      <c r="W1779" s="1">
        <v>951700081</v>
      </c>
      <c r="X1779" s="1" t="str">
        <f>"1394389451"</f>
        <v>1394389451</v>
      </c>
      <c r="Y1779" s="1" t="str">
        <f>"95/04/19"</f>
        <v>95/04/19</v>
      </c>
      <c r="Z1779" s="1" t="str">
        <f>"60509/510"</f>
        <v>60509/510</v>
      </c>
      <c r="AA1779" s="1" t="str">
        <f>"راه روستائي -روكش"</f>
        <v>راه روستائي -روكش</v>
      </c>
      <c r="AB1779" s="1" t="str">
        <f>"94/11/04"</f>
        <v>94/11/04</v>
      </c>
      <c r="AC1779" s="1" t="str">
        <f t="shared" si="477"/>
        <v>استان سيستان بلوچستان</v>
      </c>
      <c r="AD1779" s="1" t="str">
        <f>"94/11/06"</f>
        <v>94/11/06</v>
      </c>
      <c r="AE1779" s="1" t="str">
        <f t="shared" si="472"/>
        <v>اختتام</v>
      </c>
      <c r="AF1779" s="1" t="str">
        <f>""</f>
        <v/>
      </c>
      <c r="AG1779" s="1" t="str">
        <f>""</f>
        <v/>
      </c>
      <c r="AH1779" s="1" t="str">
        <f>""</f>
        <v/>
      </c>
      <c r="AI1779" s="1" t="str">
        <f>""</f>
        <v/>
      </c>
      <c r="AJ1779" s="1" t="str">
        <f>""</f>
        <v/>
      </c>
      <c r="AK1779" s="1" t="str">
        <f>""</f>
        <v/>
      </c>
    </row>
    <row r="1780" spans="1:37" x14ac:dyDescent="0.2">
      <c r="A1780" s="1">
        <v>114340</v>
      </c>
      <c r="B1780" s="1">
        <v>951400098</v>
      </c>
      <c r="C1780" s="1" t="str">
        <f>"تخليه -سيستان وبلوچستان -زاهدان -شهرك كامبوزيا-كارخانه آسفالت مهام هيرمند"</f>
        <v>تخليه -سيستان وبلوچستان -زاهدان -شهرك كامبوزيا-كارخانه آسفالت مهام هيرمند</v>
      </c>
      <c r="D1780" s="1">
        <v>9061</v>
      </c>
      <c r="E1780" s="1">
        <v>103360</v>
      </c>
      <c r="F1780" s="1">
        <v>95</v>
      </c>
      <c r="G1780" s="1">
        <v>10980</v>
      </c>
      <c r="H1780" s="1" t="str">
        <f>"95/10/01"</f>
        <v>95/10/01</v>
      </c>
      <c r="I1780" s="1" t="str">
        <f t="shared" si="459"/>
        <v>كيلوگرم</v>
      </c>
      <c r="J1780" s="1" t="str">
        <f t="shared" si="466"/>
        <v>0000000091</v>
      </c>
      <c r="K1780" s="1" t="str">
        <f t="shared" si="467"/>
        <v>قير  PG64-22</v>
      </c>
      <c r="L1780" s="1">
        <v>100</v>
      </c>
      <c r="M1780" s="1" t="str">
        <f t="shared" si="464"/>
        <v>مخازن قير اصفهان</v>
      </c>
      <c r="N1780" s="1">
        <v>4095</v>
      </c>
      <c r="O1780" s="1">
        <v>50033104</v>
      </c>
      <c r="P1780" s="1" t="str">
        <f t="shared" si="476"/>
        <v xml:space="preserve">  اداره كل راه وشهرسازي سيستان وبلوچستان</v>
      </c>
      <c r="Q1780" s="1">
        <v>14</v>
      </c>
      <c r="R1780" s="1" t="str">
        <f>"فروش داخلي - وزارت راه - حوزه راه روستايي ساخت"</f>
        <v>فروش داخلي - وزارت راه - حوزه راه روستايي ساخت</v>
      </c>
      <c r="S1780" s="1" t="str">
        <f t="shared" si="460"/>
        <v>قرارداد فروش</v>
      </c>
      <c r="T1780" s="1" t="str">
        <f t="shared" si="461"/>
        <v>ندارد</v>
      </c>
      <c r="U1780" s="1" t="str">
        <f>"ميرحسيني چاپارحقيقت كرمان(4844008)"</f>
        <v>ميرحسيني چاپارحقيقت كرمان(4844008)</v>
      </c>
      <c r="V1780" s="1">
        <v>951400098</v>
      </c>
      <c r="W1780" s="1">
        <v>951400098</v>
      </c>
      <c r="X1780" s="1" t="str">
        <f>"1395411202"</f>
        <v>1395411202</v>
      </c>
      <c r="Y1780" s="1" t="str">
        <f>"95/10/01"</f>
        <v>95/10/01</v>
      </c>
      <c r="Z1780" s="1" t="str">
        <f>"12458/510"</f>
        <v>12458/510</v>
      </c>
      <c r="AA1780" s="1" t="str">
        <f>"راه وروستايي -ساخت"</f>
        <v>راه وروستايي -ساخت</v>
      </c>
      <c r="AB1780" s="1" t="str">
        <f>"95/03/26"</f>
        <v>95/03/26</v>
      </c>
      <c r="AC1780" s="1" t="str">
        <f t="shared" si="477"/>
        <v>استان سيستان بلوچستان</v>
      </c>
      <c r="AD1780" s="1" t="str">
        <f>"95/04/05"</f>
        <v>95/04/05</v>
      </c>
      <c r="AE1780" s="1" t="str">
        <f t="shared" si="472"/>
        <v>اختتام</v>
      </c>
      <c r="AF1780" s="1" t="str">
        <f>""</f>
        <v/>
      </c>
      <c r="AG1780" s="1" t="str">
        <f>""</f>
        <v/>
      </c>
      <c r="AH1780" s="1" t="str">
        <f>""</f>
        <v/>
      </c>
      <c r="AI1780" s="1" t="str">
        <f>""</f>
        <v/>
      </c>
      <c r="AJ1780" s="1" t="str">
        <f>""</f>
        <v/>
      </c>
      <c r="AK1780" s="1" t="str">
        <f>""</f>
        <v/>
      </c>
    </row>
    <row r="1781" spans="1:37" x14ac:dyDescent="0.2">
      <c r="A1781" s="1">
        <v>86000</v>
      </c>
      <c r="B1781" s="1">
        <v>951400158</v>
      </c>
      <c r="C1781" s="1" t="str">
        <f>"تخليه -سيستان وبلوچستان -زابل كارخانه آسفالت عطارديان"</f>
        <v>تخليه -سيستان وبلوچستان -زابل كارخانه آسفالت عطارديان</v>
      </c>
      <c r="D1781" s="1">
        <v>9354</v>
      </c>
      <c r="E1781" s="1">
        <v>86000</v>
      </c>
      <c r="F1781" s="1">
        <v>95</v>
      </c>
      <c r="G1781" s="1">
        <v>0</v>
      </c>
      <c r="H1781" s="1" t="str">
        <f>"95/11/27"</f>
        <v>95/11/27</v>
      </c>
      <c r="I1781" s="1" t="str">
        <f t="shared" si="459"/>
        <v>كيلوگرم</v>
      </c>
      <c r="J1781" s="1" t="str">
        <f t="shared" si="466"/>
        <v>0000000091</v>
      </c>
      <c r="K1781" s="1" t="str">
        <f t="shared" si="467"/>
        <v>قير  PG64-22</v>
      </c>
      <c r="L1781" s="1">
        <v>100</v>
      </c>
      <c r="M1781" s="1" t="str">
        <f t="shared" si="464"/>
        <v>مخازن قير اصفهان</v>
      </c>
      <c r="N1781" s="1">
        <v>4095</v>
      </c>
      <c r="O1781" s="1">
        <v>50034288</v>
      </c>
      <c r="P1781" s="1" t="str">
        <f t="shared" si="476"/>
        <v xml:space="preserve">  اداره كل راه وشهرسازي سيستان وبلوچستان</v>
      </c>
      <c r="Q1781" s="1">
        <v>14</v>
      </c>
      <c r="R1781" s="1" t="str">
        <f>"فروش داخلي - وزارت راه - حوزه راه روستايي ساخت"</f>
        <v>فروش داخلي - وزارت راه - حوزه راه روستايي ساخت</v>
      </c>
      <c r="S1781" s="1" t="str">
        <f t="shared" si="460"/>
        <v>قرارداد فروش</v>
      </c>
      <c r="T1781" s="1" t="str">
        <f t="shared" si="461"/>
        <v>ندارد</v>
      </c>
      <c r="U1781" s="1" t="str">
        <f>"ميرحسيني چاپارحقيقت كرمان(4844008)"</f>
        <v>ميرحسيني چاپارحقيقت كرمان(4844008)</v>
      </c>
      <c r="V1781" s="1">
        <v>951400158</v>
      </c>
      <c r="W1781" s="1">
        <v>951400158</v>
      </c>
      <c r="X1781" s="1" t="str">
        <f>"1395464668"</f>
        <v>1395464668</v>
      </c>
      <c r="Y1781" s="1" t="str">
        <f>"95/11/26"</f>
        <v>95/11/26</v>
      </c>
      <c r="Z1781" s="1" t="str">
        <f>"56331/710"</f>
        <v>56331/710</v>
      </c>
      <c r="AA1781" s="1" t="str">
        <f>"راه وروستايي -ساخت"</f>
        <v>راه وروستايي -ساخت</v>
      </c>
      <c r="AB1781" s="1" t="str">
        <f>"95/11/12"</f>
        <v>95/11/12</v>
      </c>
      <c r="AC1781" s="1" t="str">
        <f t="shared" si="477"/>
        <v>استان سيستان بلوچستان</v>
      </c>
      <c r="AD1781" s="1" t="str">
        <f>"95/11/25"</f>
        <v>95/11/25</v>
      </c>
      <c r="AE1781" s="1" t="str">
        <f t="shared" si="472"/>
        <v>اختتام</v>
      </c>
      <c r="AF1781" s="1" t="str">
        <f>""</f>
        <v/>
      </c>
      <c r="AG1781" s="1" t="str">
        <f>""</f>
        <v/>
      </c>
      <c r="AH1781" s="1" t="str">
        <f>""</f>
        <v/>
      </c>
      <c r="AI1781" s="1" t="str">
        <f>""</f>
        <v/>
      </c>
      <c r="AJ1781" s="1" t="str">
        <f>""</f>
        <v/>
      </c>
      <c r="AK1781" s="1" t="str">
        <f>""</f>
        <v/>
      </c>
    </row>
    <row r="1782" spans="1:37" x14ac:dyDescent="0.2">
      <c r="A1782" s="1">
        <v>258000</v>
      </c>
      <c r="B1782" s="1">
        <v>951400159</v>
      </c>
      <c r="C1782" s="1" t="str">
        <f>"تخليه -سيستان وبلوچستان -زابل كارخانه آسفالت عطارديان"</f>
        <v>تخليه -سيستان وبلوچستان -زابل كارخانه آسفالت عطارديان</v>
      </c>
      <c r="D1782" s="1">
        <v>9354</v>
      </c>
      <c r="E1782" s="1">
        <v>258000</v>
      </c>
      <c r="F1782" s="1">
        <v>95</v>
      </c>
      <c r="G1782" s="1">
        <v>0</v>
      </c>
      <c r="H1782" s="1" t="str">
        <f>"95/11/27"</f>
        <v>95/11/27</v>
      </c>
      <c r="I1782" s="1" t="str">
        <f t="shared" si="459"/>
        <v>كيلوگرم</v>
      </c>
      <c r="J1782" s="1" t="str">
        <f t="shared" si="466"/>
        <v>0000000091</v>
      </c>
      <c r="K1782" s="1" t="str">
        <f t="shared" si="467"/>
        <v>قير  PG64-22</v>
      </c>
      <c r="L1782" s="1">
        <v>100</v>
      </c>
      <c r="M1782" s="1" t="str">
        <f t="shared" si="464"/>
        <v>مخازن قير اصفهان</v>
      </c>
      <c r="N1782" s="1">
        <v>4095</v>
      </c>
      <c r="O1782" s="1">
        <v>50034289</v>
      </c>
      <c r="P1782" s="1" t="str">
        <f t="shared" si="476"/>
        <v xml:space="preserve">  اداره كل راه وشهرسازي سيستان وبلوچستان</v>
      </c>
      <c r="Q1782" s="1">
        <v>14</v>
      </c>
      <c r="R1782" s="1" t="str">
        <f>"فروش داخلي - وزارت راه - حوزه راه روستايي ساخت"</f>
        <v>فروش داخلي - وزارت راه - حوزه راه روستايي ساخت</v>
      </c>
      <c r="S1782" s="1" t="str">
        <f t="shared" si="460"/>
        <v>قرارداد فروش</v>
      </c>
      <c r="T1782" s="1" t="str">
        <f t="shared" si="461"/>
        <v>ندارد</v>
      </c>
      <c r="U1782" s="1" t="str">
        <f>"ميرحسيني چاپارحقيقت كرمان(4844008)"</f>
        <v>ميرحسيني چاپارحقيقت كرمان(4844008)</v>
      </c>
      <c r="V1782" s="1">
        <v>951400159</v>
      </c>
      <c r="W1782" s="1">
        <v>951400159</v>
      </c>
      <c r="X1782" s="1" t="str">
        <f>"1395464668"</f>
        <v>1395464668</v>
      </c>
      <c r="Y1782" s="1" t="str">
        <f>"95/11/26"</f>
        <v>95/11/26</v>
      </c>
      <c r="Z1782" s="1" t="str">
        <f>"56332/710"</f>
        <v>56332/710</v>
      </c>
      <c r="AA1782" s="1" t="str">
        <f>"راه وروستايي -ساخت"</f>
        <v>راه وروستايي -ساخت</v>
      </c>
      <c r="AB1782" s="1" t="str">
        <f>"95/11/12"</f>
        <v>95/11/12</v>
      </c>
      <c r="AC1782" s="1" t="str">
        <f t="shared" si="477"/>
        <v>استان سيستان بلوچستان</v>
      </c>
      <c r="AD1782" s="1" t="str">
        <f>"95/11/25"</f>
        <v>95/11/25</v>
      </c>
      <c r="AE1782" s="1" t="str">
        <f t="shared" si="472"/>
        <v>اختتام</v>
      </c>
      <c r="AF1782" s="1" t="str">
        <f>""</f>
        <v/>
      </c>
      <c r="AG1782" s="1" t="str">
        <f>""</f>
        <v/>
      </c>
      <c r="AH1782" s="1" t="str">
        <f>""</f>
        <v/>
      </c>
      <c r="AI1782" s="1" t="str">
        <f>""</f>
        <v/>
      </c>
      <c r="AJ1782" s="1" t="str">
        <f>""</f>
        <v/>
      </c>
      <c r="AK1782" s="1" t="str">
        <f>""</f>
        <v/>
      </c>
    </row>
    <row r="1783" spans="1:37" x14ac:dyDescent="0.2">
      <c r="A1783" s="1">
        <v>129000</v>
      </c>
      <c r="B1783" s="1">
        <v>951400166</v>
      </c>
      <c r="C1783" s="1" t="str">
        <f>"تخليه -سيستان وبلوچستان -زابل كارخانه آسفالت عطارديان"</f>
        <v>تخليه -سيستان وبلوچستان -زابل كارخانه آسفالت عطارديان</v>
      </c>
      <c r="D1783" s="1">
        <v>9354</v>
      </c>
      <c r="E1783" s="1">
        <v>127620</v>
      </c>
      <c r="F1783" s="1">
        <v>95</v>
      </c>
      <c r="G1783" s="1">
        <v>1380</v>
      </c>
      <c r="H1783" s="1" t="str">
        <f>"95/11/27"</f>
        <v>95/11/27</v>
      </c>
      <c r="I1783" s="1" t="str">
        <f t="shared" si="459"/>
        <v>كيلوگرم</v>
      </c>
      <c r="J1783" s="1" t="str">
        <f t="shared" si="466"/>
        <v>0000000091</v>
      </c>
      <c r="K1783" s="1" t="str">
        <f t="shared" si="467"/>
        <v>قير  PG64-22</v>
      </c>
      <c r="L1783" s="1">
        <v>100</v>
      </c>
      <c r="M1783" s="1" t="str">
        <f t="shared" si="464"/>
        <v>مخازن قير اصفهان</v>
      </c>
      <c r="N1783" s="1">
        <v>4095</v>
      </c>
      <c r="O1783" s="1">
        <v>50034297</v>
      </c>
      <c r="P1783" s="1" t="str">
        <f t="shared" si="476"/>
        <v xml:space="preserve">  اداره كل راه وشهرسازي سيستان وبلوچستان</v>
      </c>
      <c r="Q1783" s="1">
        <v>14</v>
      </c>
      <c r="R1783" s="1" t="str">
        <f>"فروش داخلي - وزارت راه - حوزه راه روستايي ساخت"</f>
        <v>فروش داخلي - وزارت راه - حوزه راه روستايي ساخت</v>
      </c>
      <c r="S1783" s="1" t="str">
        <f t="shared" si="460"/>
        <v>قرارداد فروش</v>
      </c>
      <c r="T1783" s="1" t="str">
        <f t="shared" si="461"/>
        <v>ندارد</v>
      </c>
      <c r="U1783" s="1" t="str">
        <f>"ميرحسيني چاپارحقيقت كرمان(4844008)"</f>
        <v>ميرحسيني چاپارحقيقت كرمان(4844008)</v>
      </c>
      <c r="V1783" s="1">
        <v>951400166</v>
      </c>
      <c r="W1783" s="1">
        <v>951400166</v>
      </c>
      <c r="X1783" s="1" t="str">
        <f>"1395464668"</f>
        <v>1395464668</v>
      </c>
      <c r="Y1783" s="1" t="str">
        <f>"95/11/26"</f>
        <v>95/11/26</v>
      </c>
      <c r="Z1783" s="1" t="str">
        <f>"56340/710"</f>
        <v>56340/710</v>
      </c>
      <c r="AA1783" s="1" t="str">
        <f>"راه وروستايي -ساخت"</f>
        <v>راه وروستايي -ساخت</v>
      </c>
      <c r="AB1783" s="1" t="str">
        <f>"95/11/12"</f>
        <v>95/11/12</v>
      </c>
      <c r="AC1783" s="1" t="str">
        <f t="shared" si="477"/>
        <v>استان سيستان بلوچستان</v>
      </c>
      <c r="AD1783" s="1" t="str">
        <f>"95/11/25"</f>
        <v>95/11/25</v>
      </c>
      <c r="AE1783" s="1" t="str">
        <f t="shared" si="472"/>
        <v>اختتام</v>
      </c>
      <c r="AF1783" s="1" t="str">
        <f>""</f>
        <v/>
      </c>
      <c r="AG1783" s="1" t="str">
        <f>""</f>
        <v/>
      </c>
      <c r="AH1783" s="1" t="str">
        <f>""</f>
        <v/>
      </c>
      <c r="AI1783" s="1" t="str">
        <f>""</f>
        <v/>
      </c>
      <c r="AJ1783" s="1" t="str">
        <f>""</f>
        <v/>
      </c>
      <c r="AK1783" s="1" t="str">
        <f>""</f>
        <v/>
      </c>
    </row>
    <row r="1784" spans="1:37" x14ac:dyDescent="0.2">
      <c r="A1784" s="1">
        <v>500000</v>
      </c>
      <c r="B1784" s="1">
        <v>951700117</v>
      </c>
      <c r="C1784" s="1" t="str">
        <f>"تخليه - کرمان- کيلومتر 18 محور ماهان کارخانه سازمان عمران شهرداري کرمان"</f>
        <v>تخليه - کرمان- کيلومتر 18 محور ماهان کارخانه سازمان عمران شهرداري کرمان</v>
      </c>
      <c r="D1784" s="1">
        <v>6726</v>
      </c>
      <c r="E1784" s="1">
        <v>498020</v>
      </c>
      <c r="F1784" s="1">
        <v>95</v>
      </c>
      <c r="G1784" s="1">
        <v>1980</v>
      </c>
      <c r="H1784" s="1" t="str">
        <f>"95/05/05"</f>
        <v>95/05/05</v>
      </c>
      <c r="I1784" s="1" t="str">
        <f t="shared" si="459"/>
        <v>كيلوگرم</v>
      </c>
      <c r="J1784" s="1" t="str">
        <f t="shared" si="466"/>
        <v>0000000091</v>
      </c>
      <c r="K1784" s="1" t="str">
        <f t="shared" si="467"/>
        <v>قير  PG64-22</v>
      </c>
      <c r="L1784" s="1">
        <v>100</v>
      </c>
      <c r="M1784" s="1" t="str">
        <f t="shared" si="464"/>
        <v>مخازن قير اصفهان</v>
      </c>
      <c r="N1784" s="1">
        <v>7034</v>
      </c>
      <c r="O1784" s="1">
        <v>50031367</v>
      </c>
      <c r="P1784" s="1" t="str">
        <f>"  اداره كل راه وشهرسازي كرمان"</f>
        <v xml:space="preserve">  اداره كل راه وشهرسازي كرمان</v>
      </c>
      <c r="Q1784" s="1">
        <v>17</v>
      </c>
      <c r="R1784" s="1" t="str">
        <f>"فروش داخلي تهران - وزارت راه - راه روستايي - روکش"</f>
        <v>فروش داخلي تهران - وزارت راه - راه روستايي - روکش</v>
      </c>
      <c r="S1784" s="1" t="str">
        <f t="shared" si="460"/>
        <v>قرارداد فروش</v>
      </c>
      <c r="T1784" s="1" t="str">
        <f t="shared" si="461"/>
        <v>ندارد</v>
      </c>
      <c r="U1784" s="1" t="str">
        <f>"پورباقري ترابر (4914036)"</f>
        <v>پورباقري ترابر (4914036)</v>
      </c>
      <c r="V1784" s="1">
        <v>951700117</v>
      </c>
      <c r="W1784" s="1">
        <v>951700117</v>
      </c>
      <c r="X1784" s="1" t="str">
        <f>"1395418064"</f>
        <v>1395418064</v>
      </c>
      <c r="Y1784" s="1" t="str">
        <f>"95/05/05"</f>
        <v>95/05/05</v>
      </c>
      <c r="Z1784" s="1" t="str">
        <f>"19417/510"</f>
        <v>19417/510</v>
      </c>
      <c r="AA1784" s="1" t="str">
        <f>"راه روستائي -روكش"</f>
        <v>راه روستائي -روكش</v>
      </c>
      <c r="AB1784" s="1" t="str">
        <f>"95/05/03"</f>
        <v>95/05/03</v>
      </c>
      <c r="AC1784" s="1" t="str">
        <f>"استان كرمان"</f>
        <v>استان كرمان</v>
      </c>
      <c r="AD1784" s="1" t="str">
        <f>"95/05/05"</f>
        <v>95/05/05</v>
      </c>
      <c r="AE1784" s="1" t="str">
        <f t="shared" si="472"/>
        <v>اختتام</v>
      </c>
      <c r="AF1784" s="1" t="str">
        <f>""</f>
        <v/>
      </c>
      <c r="AG1784" s="1" t="str">
        <f>""</f>
        <v/>
      </c>
      <c r="AH1784" s="1" t="str">
        <f>""</f>
        <v/>
      </c>
      <c r="AI1784" s="1" t="str">
        <f>""</f>
        <v/>
      </c>
      <c r="AJ1784" s="1" t="str">
        <f>""</f>
        <v/>
      </c>
      <c r="AK1784" s="1" t="str">
        <f>""</f>
        <v/>
      </c>
    </row>
    <row r="1785" spans="1:37" x14ac:dyDescent="0.2">
      <c r="A1785" s="1">
        <v>306520</v>
      </c>
      <c r="B1785" s="1">
        <v>951700258</v>
      </c>
      <c r="C1785" s="1" t="str">
        <f>"تخليه كرمان كيلومتر5جاده شهربابك -اناركارخانه شهرداري شهربابك"</f>
        <v>تخليه كرمان كيلومتر5جاده شهربابك -اناركارخانه شهرداري شهربابك</v>
      </c>
      <c r="D1785" s="1">
        <v>8323</v>
      </c>
      <c r="E1785" s="1">
        <v>291780</v>
      </c>
      <c r="F1785" s="1">
        <v>95</v>
      </c>
      <c r="G1785" s="1">
        <v>14740</v>
      </c>
      <c r="H1785" s="1" t="str">
        <f>"95/08/08"</f>
        <v>95/08/08</v>
      </c>
      <c r="I1785" s="1" t="str">
        <f t="shared" si="459"/>
        <v>كيلوگرم</v>
      </c>
      <c r="J1785" s="1" t="str">
        <f t="shared" si="466"/>
        <v>0000000091</v>
      </c>
      <c r="K1785" s="1" t="str">
        <f t="shared" si="467"/>
        <v>قير  PG64-22</v>
      </c>
      <c r="L1785" s="1">
        <v>100</v>
      </c>
      <c r="M1785" s="1" t="str">
        <f t="shared" si="464"/>
        <v>مخازن قير اصفهان</v>
      </c>
      <c r="N1785" s="1">
        <v>7034</v>
      </c>
      <c r="O1785" s="1">
        <v>50032377</v>
      </c>
      <c r="P1785" s="1" t="str">
        <f>"  اداره كل راه وشهرسازي كرمان"</f>
        <v xml:space="preserve">  اداره كل راه وشهرسازي كرمان</v>
      </c>
      <c r="Q1785" s="1">
        <v>17</v>
      </c>
      <c r="R1785" s="1" t="str">
        <f>"فروش داخلي تهران - وزارت راه - راه روستايي - روکش"</f>
        <v>فروش داخلي تهران - وزارت راه - راه روستايي - روکش</v>
      </c>
      <c r="S1785" s="1" t="str">
        <f t="shared" si="460"/>
        <v>قرارداد فروش</v>
      </c>
      <c r="T1785" s="1" t="str">
        <f t="shared" si="461"/>
        <v>ندارد</v>
      </c>
      <c r="U1785" s="1" t="str">
        <f>"بابامحمدي عنايت اله(4844000)"</f>
        <v>بابامحمدي عنايت اله(4844000)</v>
      </c>
      <c r="V1785" s="1">
        <v>951700258</v>
      </c>
      <c r="W1785" s="1">
        <v>951700258</v>
      </c>
      <c r="X1785" s="1" t="str">
        <f>"1395435600"</f>
        <v>1395435600</v>
      </c>
      <c r="Y1785" s="1" t="str">
        <f>"95/08/08"</f>
        <v>95/08/08</v>
      </c>
      <c r="Z1785" s="1" t="str">
        <f>"32935/510"</f>
        <v>32935/510</v>
      </c>
      <c r="AA1785" s="1" t="str">
        <f>"راه روستائي -روكش"</f>
        <v>راه روستائي -روكش</v>
      </c>
      <c r="AB1785" s="1" t="str">
        <f>"95/07/11"</f>
        <v>95/07/11</v>
      </c>
      <c r="AC1785" s="1" t="str">
        <f>"استان كرمان"</f>
        <v>استان كرمان</v>
      </c>
      <c r="AD1785" s="1" t="str">
        <f>"95/07/13"</f>
        <v>95/07/13</v>
      </c>
      <c r="AE1785" s="1" t="str">
        <f t="shared" si="472"/>
        <v>اختتام</v>
      </c>
      <c r="AF1785" s="1" t="str">
        <f>""</f>
        <v/>
      </c>
      <c r="AG1785" s="1" t="str">
        <f>""</f>
        <v/>
      </c>
      <c r="AH1785" s="1" t="str">
        <f>""</f>
        <v/>
      </c>
      <c r="AI1785" s="1" t="str">
        <f>""</f>
        <v/>
      </c>
      <c r="AJ1785" s="1" t="str">
        <f>""</f>
        <v/>
      </c>
      <c r="AK1785" s="1" t="str">
        <f>""</f>
        <v/>
      </c>
    </row>
    <row r="1786" spans="1:37" x14ac:dyDescent="0.2">
      <c r="A1786" s="1">
        <v>58000</v>
      </c>
      <c r="B1786" s="1">
        <v>951700284</v>
      </c>
      <c r="C1786" s="1" t="str">
        <f>"تخليه كرمان پروژه رباط -كيلومتر18جاده"</f>
        <v>تخليه كرمان پروژه رباط -كيلومتر18جاده</v>
      </c>
      <c r="D1786" s="1">
        <v>8323</v>
      </c>
      <c r="E1786" s="1">
        <v>55920</v>
      </c>
      <c r="F1786" s="1">
        <v>95</v>
      </c>
      <c r="G1786" s="1">
        <v>2080</v>
      </c>
      <c r="H1786" s="1" t="str">
        <f>"95/08/09"</f>
        <v>95/08/09</v>
      </c>
      <c r="I1786" s="1" t="str">
        <f t="shared" si="459"/>
        <v>كيلوگرم</v>
      </c>
      <c r="J1786" s="1" t="str">
        <f t="shared" si="466"/>
        <v>0000000091</v>
      </c>
      <c r="K1786" s="1" t="str">
        <f t="shared" si="467"/>
        <v>قير  PG64-22</v>
      </c>
      <c r="L1786" s="1">
        <v>100</v>
      </c>
      <c r="M1786" s="1" t="str">
        <f t="shared" si="464"/>
        <v>مخازن قير اصفهان</v>
      </c>
      <c r="N1786" s="1">
        <v>7034</v>
      </c>
      <c r="O1786" s="1">
        <v>50032426</v>
      </c>
      <c r="P1786" s="1" t="str">
        <f>"  اداره كل راه وشهرسازي كرمان"</f>
        <v xml:space="preserve">  اداره كل راه وشهرسازي كرمان</v>
      </c>
      <c r="Q1786" s="1">
        <v>17</v>
      </c>
      <c r="R1786" s="1" t="str">
        <f>"فروش داخلي تهران - وزارت راه - راه روستايي - روکش"</f>
        <v>فروش داخلي تهران - وزارت راه - راه روستايي - روکش</v>
      </c>
      <c r="S1786" s="1" t="str">
        <f t="shared" si="460"/>
        <v>قرارداد فروش</v>
      </c>
      <c r="T1786" s="1" t="str">
        <f t="shared" si="461"/>
        <v>ندارد</v>
      </c>
      <c r="U1786" s="1" t="str">
        <f>"خضرائي فريدون(4844003)"</f>
        <v>خضرائي فريدون(4844003)</v>
      </c>
      <c r="V1786" s="1">
        <v>951700284</v>
      </c>
      <c r="W1786" s="1">
        <v>951700284</v>
      </c>
      <c r="X1786" s="1" t="str">
        <f>"1395428995"</f>
        <v>1395428995</v>
      </c>
      <c r="Y1786" s="1" t="str">
        <f>"95/08/09"</f>
        <v>95/08/09</v>
      </c>
      <c r="Z1786" s="1" t="str">
        <f>"27493/510"</f>
        <v>27493/510</v>
      </c>
      <c r="AA1786" s="1" t="str">
        <f>"راه روستائي -روكش"</f>
        <v>راه روستائي -روكش</v>
      </c>
      <c r="AB1786" s="1" t="str">
        <f>"95/06/10"</f>
        <v>95/06/10</v>
      </c>
      <c r="AC1786" s="1" t="str">
        <f>"استان كرمان"</f>
        <v>استان كرمان</v>
      </c>
      <c r="AD1786" s="1" t="str">
        <f>"95/06/14"</f>
        <v>95/06/14</v>
      </c>
      <c r="AE1786" s="1" t="str">
        <f t="shared" si="472"/>
        <v>اختتام</v>
      </c>
      <c r="AF1786" s="1" t="str">
        <f>""</f>
        <v/>
      </c>
      <c r="AG1786" s="1" t="str">
        <f>""</f>
        <v/>
      </c>
      <c r="AH1786" s="1" t="str">
        <f>""</f>
        <v/>
      </c>
      <c r="AI1786" s="1" t="str">
        <f>""</f>
        <v/>
      </c>
      <c r="AJ1786" s="1" t="str">
        <f>""</f>
        <v/>
      </c>
      <c r="AK1786" s="1" t="str">
        <f>""</f>
        <v/>
      </c>
    </row>
    <row r="1787" spans="1:37" x14ac:dyDescent="0.2">
      <c r="A1787" s="1">
        <v>500000</v>
      </c>
      <c r="B1787" s="1">
        <v>951800074</v>
      </c>
      <c r="C1787" s="1" t="str">
        <f>"تخليه اصفهان -كارگاه بادرود"</f>
        <v>تخليه اصفهان -كارگاه بادرود</v>
      </c>
      <c r="D1787" s="1">
        <v>7276</v>
      </c>
      <c r="E1787" s="1">
        <v>157180</v>
      </c>
      <c r="F1787" s="1">
        <v>95</v>
      </c>
      <c r="G1787" s="1">
        <v>342820</v>
      </c>
      <c r="H1787" s="1" t="str">
        <f>"95/07/05"</f>
        <v>95/07/05</v>
      </c>
      <c r="I1787" s="1" t="str">
        <f t="shared" si="459"/>
        <v>كيلوگرم</v>
      </c>
      <c r="J1787" s="1" t="str">
        <f t="shared" si="466"/>
        <v>0000000091</v>
      </c>
      <c r="K1787" s="1" t="str">
        <f t="shared" si="467"/>
        <v>قير  PG64-22</v>
      </c>
      <c r="L1787" s="1">
        <v>100</v>
      </c>
      <c r="M1787" s="1" t="str">
        <f t="shared" si="464"/>
        <v>مخازن قير اصفهان</v>
      </c>
      <c r="N1787" s="1">
        <v>7122</v>
      </c>
      <c r="O1787" s="1">
        <v>50031955</v>
      </c>
      <c r="P1787" s="1" t="str">
        <f>"  وزين راه اصفهان"</f>
        <v xml:space="preserve">  وزين راه اصفهان</v>
      </c>
      <c r="Q1787" s="1">
        <v>18</v>
      </c>
      <c r="R1787" s="1" t="str">
        <f>"فروش داخلي تهران - وزارت راه - شرکت ساخت و توسعه راهها"</f>
        <v>فروش داخلي تهران - وزارت راه - شرکت ساخت و توسعه راهها</v>
      </c>
      <c r="S1787" s="1" t="str">
        <f t="shared" si="460"/>
        <v>قرارداد فروش</v>
      </c>
      <c r="T1787" s="1" t="str">
        <f t="shared" si="461"/>
        <v>ندارد</v>
      </c>
      <c r="U1787" s="1" t="str">
        <f>"قره باغي مجيد(1871065)"</f>
        <v>قره باغي مجيد(1871065)</v>
      </c>
      <c r="V1787" s="1">
        <v>951800074</v>
      </c>
      <c r="W1787" s="1">
        <v>951800074</v>
      </c>
      <c r="X1787" s="1" t="str">
        <f>"1395433831"</f>
        <v>1395433831</v>
      </c>
      <c r="Y1787" s="1" t="str">
        <f>"95/07/05"</f>
        <v>95/07/05</v>
      </c>
      <c r="Z1787" s="1" t="str">
        <f>"31718/510"</f>
        <v>31718/510</v>
      </c>
      <c r="AA1787" s="1" t="str">
        <f>"شركت  ساخت وتوسعه راهها"</f>
        <v>شركت  ساخت وتوسعه راهها</v>
      </c>
      <c r="AB1787" s="1" t="str">
        <f>"95/07/04"</f>
        <v>95/07/04</v>
      </c>
      <c r="AC1787" s="1" t="str">
        <f>"استان اصفهان"</f>
        <v>استان اصفهان</v>
      </c>
      <c r="AD1787" s="1" t="str">
        <f>"95/07/05"</f>
        <v>95/07/05</v>
      </c>
      <c r="AE1787" s="1" t="str">
        <f t="shared" si="472"/>
        <v>اختتام</v>
      </c>
      <c r="AF1787" s="1" t="str">
        <f>""</f>
        <v/>
      </c>
      <c r="AG1787" s="1" t="str">
        <f>""</f>
        <v/>
      </c>
      <c r="AH1787" s="1" t="str">
        <f>""</f>
        <v/>
      </c>
      <c r="AI1787" s="1" t="str">
        <f>""</f>
        <v/>
      </c>
      <c r="AJ1787" s="1" t="str">
        <f>""</f>
        <v/>
      </c>
      <c r="AK1787" s="1" t="str">
        <f>""</f>
        <v/>
      </c>
    </row>
    <row r="1788" spans="1:37" x14ac:dyDescent="0.2">
      <c r="A1788" s="1">
        <v>500000</v>
      </c>
      <c r="B1788" s="1">
        <v>951600013</v>
      </c>
      <c r="C1788" s="1" t="str">
        <f>"تخليه -جاده فريمان -كيلومتر12به سمت تربت جام سمت راست نرسيده به سه راهي قلندرآباد"</f>
        <v>تخليه -جاده فريمان -كيلومتر12به سمت تربت جام سمت راست نرسيده به سه راهي قلندرآباد</v>
      </c>
      <c r="D1788" s="1">
        <v>6726</v>
      </c>
      <c r="E1788" s="1">
        <v>499220</v>
      </c>
      <c r="F1788" s="1">
        <v>95</v>
      </c>
      <c r="G1788" s="1">
        <v>780</v>
      </c>
      <c r="H1788" s="1" t="str">
        <f>"95/05/13"</f>
        <v>95/05/13</v>
      </c>
      <c r="I1788" s="1" t="str">
        <f t="shared" si="459"/>
        <v>كيلوگرم</v>
      </c>
      <c r="J1788" s="1" t="str">
        <f t="shared" si="466"/>
        <v>0000000091</v>
      </c>
      <c r="K1788" s="1" t="str">
        <f t="shared" si="467"/>
        <v>قير  PG64-22</v>
      </c>
      <c r="L1788" s="1">
        <v>100</v>
      </c>
      <c r="M1788" s="1" t="str">
        <f t="shared" si="464"/>
        <v>مخازن قير اصفهان</v>
      </c>
      <c r="N1788" s="1">
        <v>8049</v>
      </c>
      <c r="O1788" s="1">
        <v>50031421</v>
      </c>
      <c r="P1788" s="1" t="str">
        <f>"  ساختماني آرادان"</f>
        <v xml:space="preserve">  ساختماني آرادان</v>
      </c>
      <c r="Q1788" s="1">
        <v>16</v>
      </c>
      <c r="R1788" s="1" t="str">
        <f>"فروش داخلي تهران - وزارت راه - معاونت اقتصاد"</f>
        <v>فروش داخلي تهران - وزارت راه - معاونت اقتصاد</v>
      </c>
      <c r="S1788" s="1" t="str">
        <f t="shared" si="460"/>
        <v>قرارداد فروش</v>
      </c>
      <c r="T1788" s="1" t="str">
        <f t="shared" si="461"/>
        <v>ندارد</v>
      </c>
      <c r="U1788" s="1" t="str">
        <f>"فتاح زاده سيداحمد(3843011)"</f>
        <v>فتاح زاده سيداحمد(3843011)</v>
      </c>
      <c r="V1788" s="1">
        <v>951600013</v>
      </c>
      <c r="W1788" s="1">
        <v>951600013</v>
      </c>
      <c r="X1788" s="1" t="str">
        <f>"1395421156"</f>
        <v>1395421156</v>
      </c>
      <c r="Y1788" s="1" t="str">
        <f>"95/05/13"</f>
        <v>95/05/13</v>
      </c>
      <c r="Z1788" s="1" t="str">
        <f>"20841/510"</f>
        <v>20841/510</v>
      </c>
      <c r="AA1788" s="1" t="str">
        <f>"معاونت اقتصادوزارت راه وشهرسازي"</f>
        <v>معاونت اقتصادوزارت راه وشهرسازي</v>
      </c>
      <c r="AB1788" s="1" t="str">
        <f>"95/05/11"</f>
        <v>95/05/11</v>
      </c>
      <c r="AC1788" s="1" t="str">
        <f>"خراسان رضوي"</f>
        <v>خراسان رضوي</v>
      </c>
      <c r="AD1788" s="1" t="str">
        <f>"95/05/13"</f>
        <v>95/05/13</v>
      </c>
      <c r="AE1788" s="1" t="str">
        <f t="shared" si="472"/>
        <v>اختتام</v>
      </c>
      <c r="AF1788" s="1" t="str">
        <f>""</f>
        <v/>
      </c>
      <c r="AG1788" s="1" t="str">
        <f>""</f>
        <v/>
      </c>
      <c r="AH1788" s="1" t="str">
        <f>""</f>
        <v/>
      </c>
      <c r="AI1788" s="1" t="str">
        <f>""</f>
        <v/>
      </c>
      <c r="AJ1788" s="1" t="str">
        <f>""</f>
        <v/>
      </c>
      <c r="AK1788" s="1" t="str">
        <f>""</f>
        <v/>
      </c>
    </row>
    <row r="1789" spans="1:37" x14ac:dyDescent="0.2">
      <c r="A1789" s="1">
        <v>400000</v>
      </c>
      <c r="B1789" s="1">
        <v>951600056</v>
      </c>
      <c r="C1789" s="1" t="str">
        <f>"خراسان رضوي پروژه احداث قطعه چهارم باند دوم تربت جام به فريمان"</f>
        <v>خراسان رضوي پروژه احداث قطعه چهارم باند دوم تربت جام به فريمان</v>
      </c>
      <c r="D1789" s="1">
        <v>7276</v>
      </c>
      <c r="E1789" s="1">
        <v>179520</v>
      </c>
      <c r="F1789" s="1">
        <v>95</v>
      </c>
      <c r="G1789" s="1">
        <v>220480</v>
      </c>
      <c r="H1789" s="1" t="str">
        <f>"95/09/14"</f>
        <v>95/09/14</v>
      </c>
      <c r="I1789" s="1" t="str">
        <f t="shared" si="459"/>
        <v>كيلوگرم</v>
      </c>
      <c r="J1789" s="1" t="str">
        <f t="shared" si="466"/>
        <v>0000000091</v>
      </c>
      <c r="K1789" s="1" t="str">
        <f t="shared" si="467"/>
        <v>قير  PG64-22</v>
      </c>
      <c r="L1789" s="1">
        <v>100</v>
      </c>
      <c r="M1789" s="1" t="str">
        <f t="shared" si="464"/>
        <v>مخازن قير اصفهان</v>
      </c>
      <c r="N1789" s="1">
        <v>8049</v>
      </c>
      <c r="O1789" s="1">
        <v>50032838</v>
      </c>
      <c r="P1789" s="1" t="str">
        <f>"  ساختماني آرادان"</f>
        <v xml:space="preserve">  ساختماني آرادان</v>
      </c>
      <c r="Q1789" s="1">
        <v>16</v>
      </c>
      <c r="R1789" s="1" t="str">
        <f>"فروش داخلي تهران - وزارت راه - معاونت اقتصاد"</f>
        <v>فروش داخلي تهران - وزارت راه - معاونت اقتصاد</v>
      </c>
      <c r="S1789" s="1" t="str">
        <f t="shared" si="460"/>
        <v>قرارداد فروش</v>
      </c>
      <c r="T1789" s="1" t="str">
        <f t="shared" si="461"/>
        <v>ندارد</v>
      </c>
      <c r="U1789" s="1" t="str">
        <f>"فتاح زاده سيداحمد(3843011)"</f>
        <v>فتاح زاده سيداحمد(3843011)</v>
      </c>
      <c r="V1789" s="1">
        <v>951600056</v>
      </c>
      <c r="W1789" s="1">
        <v>951600056</v>
      </c>
      <c r="X1789" s="1" t="str">
        <f>"1395449221"</f>
        <v>1395449221</v>
      </c>
      <c r="Y1789" s="1" t="str">
        <f>"95/09/14"</f>
        <v>95/09/14</v>
      </c>
      <c r="Z1789" s="1" t="str">
        <f>"43655/710"</f>
        <v>43655/710</v>
      </c>
      <c r="AA1789" s="1" t="str">
        <f>"معاونت اقتصادوزارت راه وشهرسازي"</f>
        <v>معاونت اقتصادوزارت راه وشهرسازي</v>
      </c>
      <c r="AB1789" s="1" t="str">
        <f>"95/09/07"</f>
        <v>95/09/07</v>
      </c>
      <c r="AC1789" s="1" t="str">
        <f>"خراسان رضوي"</f>
        <v>خراسان رضوي</v>
      </c>
      <c r="AD1789" s="1" t="str">
        <f>"95/09/14"</f>
        <v>95/09/14</v>
      </c>
      <c r="AE1789" s="1" t="str">
        <f t="shared" si="472"/>
        <v>اختتام</v>
      </c>
      <c r="AF1789" s="1" t="str">
        <f>""</f>
        <v/>
      </c>
      <c r="AG1789" s="1" t="str">
        <f>""</f>
        <v/>
      </c>
      <c r="AH1789" s="1" t="str">
        <f>""</f>
        <v/>
      </c>
      <c r="AI1789" s="1" t="str">
        <f>""</f>
        <v/>
      </c>
      <c r="AJ1789" s="1" t="str">
        <f>""</f>
        <v/>
      </c>
      <c r="AK1789" s="1" t="str">
        <f>""</f>
        <v/>
      </c>
    </row>
    <row r="1790" spans="1:37" x14ac:dyDescent="0.2">
      <c r="A1790" s="1">
        <v>31500</v>
      </c>
      <c r="B1790" s="1">
        <v>951600078</v>
      </c>
      <c r="C1790" s="1" t="str">
        <f>"خراسان رضوي پروژه احداث قطعه چهارم باند دوم تربت جام به فريمان"</f>
        <v>خراسان رضوي پروژه احداث قطعه چهارم باند دوم تربت جام به فريمان</v>
      </c>
      <c r="D1790" s="1">
        <v>8998</v>
      </c>
      <c r="E1790" s="1">
        <v>24400</v>
      </c>
      <c r="F1790" s="1">
        <v>95</v>
      </c>
      <c r="G1790" s="1">
        <v>7100</v>
      </c>
      <c r="H1790" s="1" t="str">
        <f>"95/11/03"</f>
        <v>95/11/03</v>
      </c>
      <c r="I1790" s="1" t="str">
        <f t="shared" si="459"/>
        <v>كيلوگرم</v>
      </c>
      <c r="J1790" s="1" t="str">
        <f t="shared" si="466"/>
        <v>0000000091</v>
      </c>
      <c r="K1790" s="1" t="str">
        <f t="shared" si="467"/>
        <v>قير  PG64-22</v>
      </c>
      <c r="L1790" s="1">
        <v>100</v>
      </c>
      <c r="M1790" s="1" t="str">
        <f t="shared" si="464"/>
        <v>مخازن قير اصفهان</v>
      </c>
      <c r="N1790" s="1">
        <v>8049</v>
      </c>
      <c r="O1790" s="1">
        <v>50033449</v>
      </c>
      <c r="P1790" s="1" t="str">
        <f>"  ساختماني آرادان"</f>
        <v xml:space="preserve">  ساختماني آرادان</v>
      </c>
      <c r="Q1790" s="1">
        <v>16</v>
      </c>
      <c r="R1790" s="1" t="str">
        <f>"فروش داخلي تهران - وزارت راه - معاونت اقتصاد"</f>
        <v>فروش داخلي تهران - وزارت راه - معاونت اقتصاد</v>
      </c>
      <c r="S1790" s="1" t="str">
        <f t="shared" si="460"/>
        <v>قرارداد فروش</v>
      </c>
      <c r="T1790" s="1" t="str">
        <f t="shared" si="461"/>
        <v>ندارد</v>
      </c>
      <c r="U1790" s="1" t="str">
        <f>"فتاح زاده سيداحمد(3843011)"</f>
        <v>فتاح زاده سيداحمد(3843011)</v>
      </c>
      <c r="V1790" s="1">
        <v>951600078</v>
      </c>
      <c r="W1790" s="1">
        <v>951600078</v>
      </c>
      <c r="X1790" s="1" t="str">
        <f>"1395449221"</f>
        <v>1395449221</v>
      </c>
      <c r="Y1790" s="1" t="str">
        <f>"95/11/03"</f>
        <v>95/11/03</v>
      </c>
      <c r="Z1790" s="1" t="str">
        <f>"43655/710"</f>
        <v>43655/710</v>
      </c>
      <c r="AA1790" s="1" t="str">
        <f>"معاونت اقتصادوزارت راه وشهرسازي"</f>
        <v>معاونت اقتصادوزارت راه وشهرسازي</v>
      </c>
      <c r="AB1790" s="1" t="str">
        <f>"95/09/07"</f>
        <v>95/09/07</v>
      </c>
      <c r="AC1790" s="1" t="str">
        <f>"خراسان رضوي"</f>
        <v>خراسان رضوي</v>
      </c>
      <c r="AD1790" s="1" t="str">
        <f>"95/09/14"</f>
        <v>95/09/14</v>
      </c>
      <c r="AE1790" s="1" t="str">
        <f t="shared" si="472"/>
        <v>اختتام</v>
      </c>
      <c r="AF1790" s="1" t="str">
        <f>""</f>
        <v/>
      </c>
      <c r="AG1790" s="1" t="str">
        <f>""</f>
        <v/>
      </c>
      <c r="AH1790" s="1" t="str">
        <f>""</f>
        <v/>
      </c>
      <c r="AI1790" s="1" t="str">
        <f>""</f>
        <v/>
      </c>
      <c r="AJ1790" s="1" t="str">
        <f>""</f>
        <v/>
      </c>
      <c r="AK1790" s="1" t="str">
        <f>""</f>
        <v/>
      </c>
    </row>
    <row r="1791" spans="1:37" x14ac:dyDescent="0.2">
      <c r="A1791" s="1">
        <v>1000000</v>
      </c>
      <c r="B1791" s="1">
        <v>951800073</v>
      </c>
      <c r="C1791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1791" s="1">
        <v>7276</v>
      </c>
      <c r="E1791" s="1">
        <v>842840</v>
      </c>
      <c r="F1791" s="1">
        <v>95</v>
      </c>
      <c r="G1791" s="1">
        <v>157160</v>
      </c>
      <c r="H1791" s="1" t="str">
        <f>"95/07/04"</f>
        <v>95/07/04</v>
      </c>
      <c r="I1791" s="1" t="str">
        <f t="shared" si="459"/>
        <v>كيلوگرم</v>
      </c>
      <c r="J1791" s="1" t="str">
        <f t="shared" si="466"/>
        <v>0000000091</v>
      </c>
      <c r="K1791" s="1" t="str">
        <f t="shared" si="467"/>
        <v>قير  PG64-22</v>
      </c>
      <c r="L1791" s="1">
        <v>100</v>
      </c>
      <c r="M1791" s="1" t="str">
        <f t="shared" si="464"/>
        <v>مخازن قير اصفهان</v>
      </c>
      <c r="N1791" s="1">
        <v>8072</v>
      </c>
      <c r="O1791" s="1">
        <v>50031938</v>
      </c>
      <c r="P1791" s="1" t="str">
        <f>"  بنادر"</f>
        <v xml:space="preserve">  بنادر</v>
      </c>
      <c r="Q1791" s="1">
        <v>18</v>
      </c>
      <c r="R1791" s="1" t="str">
        <f>"فروش داخلي تهران - وزارت راه - شرکت ساخت و توسعه راهها"</f>
        <v>فروش داخلي تهران - وزارت راه - شرکت ساخت و توسعه راهها</v>
      </c>
      <c r="S1791" s="1" t="str">
        <f t="shared" si="460"/>
        <v>قرارداد فروش</v>
      </c>
      <c r="T1791" s="1" t="str">
        <f t="shared" si="461"/>
        <v>ندارد</v>
      </c>
      <c r="U1791" s="1" t="str">
        <f>"عزيزي صفر(1006ج 89)"</f>
        <v>عزيزي صفر(1006ج 89)</v>
      </c>
      <c r="V1791" s="1">
        <v>951800073</v>
      </c>
      <c r="W1791" s="1">
        <v>951800073</v>
      </c>
      <c r="X1791" s="1" t="str">
        <f>"1395433642"</f>
        <v>1395433642</v>
      </c>
      <c r="Y1791" s="1" t="str">
        <f>"95/07/04"</f>
        <v>95/07/04</v>
      </c>
      <c r="Z1791" s="1" t="str">
        <f>"30737/510"</f>
        <v>30737/510</v>
      </c>
      <c r="AA1791" s="1" t="str">
        <f>"شركت  ساخت وتوسعه راهها"</f>
        <v>شركت  ساخت وتوسعه راهها</v>
      </c>
      <c r="AB1791" s="1" t="str">
        <f>"95/06/28"</f>
        <v>95/06/28</v>
      </c>
      <c r="AC1791" s="1" t="str">
        <f>"قزوين"</f>
        <v>قزوين</v>
      </c>
      <c r="AD1791" s="1" t="str">
        <f>"95/07/04"</f>
        <v>95/07/04</v>
      </c>
      <c r="AE1791" s="1" t="str">
        <f t="shared" si="472"/>
        <v>اختتام</v>
      </c>
      <c r="AF1791" s="1" t="str">
        <f>""</f>
        <v/>
      </c>
      <c r="AG1791" s="1" t="str">
        <f>""</f>
        <v/>
      </c>
      <c r="AH1791" s="1" t="str">
        <f>""</f>
        <v/>
      </c>
      <c r="AI1791" s="1" t="str">
        <f>""</f>
        <v/>
      </c>
      <c r="AJ1791" s="1" t="str">
        <f>""</f>
        <v/>
      </c>
      <c r="AK1791" s="1" t="str">
        <f>""</f>
        <v/>
      </c>
    </row>
    <row r="1792" spans="1:37" x14ac:dyDescent="0.2">
      <c r="A1792" s="1">
        <v>157160</v>
      </c>
      <c r="B1792" s="1">
        <v>951800092</v>
      </c>
      <c r="C1792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1792" s="1">
        <v>8323</v>
      </c>
      <c r="E1792" s="1">
        <v>156680</v>
      </c>
      <c r="F1792" s="1">
        <v>95</v>
      </c>
      <c r="G1792" s="1">
        <v>480</v>
      </c>
      <c r="H1792" s="1" t="str">
        <f>"95/08/08"</f>
        <v>95/08/08</v>
      </c>
      <c r="I1792" s="1" t="str">
        <f t="shared" si="459"/>
        <v>كيلوگرم</v>
      </c>
      <c r="J1792" s="1" t="str">
        <f t="shared" si="466"/>
        <v>0000000091</v>
      </c>
      <c r="K1792" s="1" t="str">
        <f t="shared" si="467"/>
        <v>قير  PG64-22</v>
      </c>
      <c r="L1792" s="1">
        <v>100</v>
      </c>
      <c r="M1792" s="1" t="str">
        <f t="shared" si="464"/>
        <v>مخازن قير اصفهان</v>
      </c>
      <c r="N1792" s="1">
        <v>8072</v>
      </c>
      <c r="O1792" s="1">
        <v>50032337</v>
      </c>
      <c r="P1792" s="1" t="str">
        <f>"  بنادر"</f>
        <v xml:space="preserve">  بنادر</v>
      </c>
      <c r="Q1792" s="1">
        <v>18</v>
      </c>
      <c r="R1792" s="1" t="str">
        <f>"فروش داخلي تهران - وزارت راه - شرکت ساخت و توسعه راهها"</f>
        <v>فروش داخلي تهران - وزارت راه - شرکت ساخت و توسعه راهها</v>
      </c>
      <c r="S1792" s="1" t="str">
        <f t="shared" si="460"/>
        <v>قرارداد فروش</v>
      </c>
      <c r="T1792" s="1" t="str">
        <f t="shared" si="461"/>
        <v>ندارد</v>
      </c>
      <c r="U1792" s="1" t="str">
        <f>"عزيزي صفر(1006ج 89)"</f>
        <v>عزيزي صفر(1006ج 89)</v>
      </c>
      <c r="V1792" s="1">
        <v>951800092</v>
      </c>
      <c r="W1792" s="1">
        <v>951800092</v>
      </c>
      <c r="X1792" s="1" t="str">
        <f>"1395433642"</f>
        <v>1395433642</v>
      </c>
      <c r="Y1792" s="1" t="str">
        <f>"95/08/08"</f>
        <v>95/08/08</v>
      </c>
      <c r="Z1792" s="1" t="str">
        <f>"30737/510"</f>
        <v>30737/510</v>
      </c>
      <c r="AA1792" s="1" t="str">
        <f>"شركت  ساخت وتوسعه راهها"</f>
        <v>شركت  ساخت وتوسعه راهها</v>
      </c>
      <c r="AB1792" s="1" t="str">
        <f>"95/06/28"</f>
        <v>95/06/28</v>
      </c>
      <c r="AC1792" s="1" t="str">
        <f>"قزوين"</f>
        <v>قزوين</v>
      </c>
      <c r="AD1792" s="1" t="str">
        <f>"95/07/04"</f>
        <v>95/07/04</v>
      </c>
      <c r="AE1792" s="1" t="str">
        <f t="shared" si="472"/>
        <v>اختتام</v>
      </c>
      <c r="AF1792" s="1" t="str">
        <f>""</f>
        <v/>
      </c>
      <c r="AG1792" s="1" t="str">
        <f>""</f>
        <v/>
      </c>
      <c r="AH1792" s="1" t="str">
        <f>""</f>
        <v/>
      </c>
      <c r="AI1792" s="1" t="str">
        <f>""</f>
        <v/>
      </c>
      <c r="AJ1792" s="1" t="str">
        <f>""</f>
        <v/>
      </c>
      <c r="AK1792" s="1" t="str">
        <f>""</f>
        <v/>
      </c>
    </row>
    <row r="1793" spans="1:37" x14ac:dyDescent="0.2">
      <c r="A1793" s="1">
        <v>500000</v>
      </c>
      <c r="B1793" s="1">
        <v>951900185</v>
      </c>
      <c r="C1793" s="1" t="str">
        <f>"تخليه خراسان جنوبي بهسازي روكش آسفالت محورخضري قاين بيرجندكارخانه آسفالت قاين شركت دنارهساز"</f>
        <v>تخليه خراسان جنوبي بهسازي روكش آسفالت محورخضري قاين بيرجندكارخانه آسفالت قاين شركت دنارهساز</v>
      </c>
      <c r="D1793" s="1">
        <v>8323</v>
      </c>
      <c r="E1793" s="1">
        <v>168240</v>
      </c>
      <c r="F1793" s="1">
        <v>95</v>
      </c>
      <c r="G1793" s="1">
        <v>331760</v>
      </c>
      <c r="H1793" s="1" t="str">
        <f>"95/08/15"</f>
        <v>95/08/15</v>
      </c>
      <c r="I1793" s="1" t="str">
        <f t="shared" si="459"/>
        <v>كيلوگرم</v>
      </c>
      <c r="J1793" s="1" t="str">
        <f t="shared" si="466"/>
        <v>0000000091</v>
      </c>
      <c r="K1793" s="1" t="str">
        <f t="shared" si="467"/>
        <v>قير  PG64-22</v>
      </c>
      <c r="L1793" s="1">
        <v>100</v>
      </c>
      <c r="M1793" s="1" t="str">
        <f t="shared" si="464"/>
        <v>مخازن قير اصفهان</v>
      </c>
      <c r="N1793" s="1">
        <v>8081</v>
      </c>
      <c r="O1793" s="1">
        <v>50032486</v>
      </c>
      <c r="P1793" s="1" t="str">
        <f>"  دنا رهساز"</f>
        <v xml:space="preserve">  دنا رهساز</v>
      </c>
      <c r="Q1793" s="1">
        <v>19</v>
      </c>
      <c r="R17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3" s="1" t="str">
        <f t="shared" si="460"/>
        <v>قرارداد فروش</v>
      </c>
      <c r="T1793" s="1" t="str">
        <f t="shared" si="461"/>
        <v>ندارد</v>
      </c>
      <c r="U1793" s="1" t="str">
        <f>"حاج صادقي باقر(1841027)"</f>
        <v>حاج صادقي باقر(1841027)</v>
      </c>
      <c r="V1793" s="1">
        <v>951900185</v>
      </c>
      <c r="W1793" s="1">
        <v>951900185</v>
      </c>
      <c r="X1793" s="1" t="str">
        <f>"1395443198"</f>
        <v>1395443198</v>
      </c>
      <c r="Y1793" s="1" t="str">
        <f>"95/08/15"</f>
        <v>95/08/15</v>
      </c>
      <c r="Z1793" s="1" t="str">
        <f>"39008/710"</f>
        <v>39008/710</v>
      </c>
      <c r="AA1793" s="1" t="str">
        <f>"سازمان راهداري وحمل نقل جاده اي"</f>
        <v>سازمان راهداري وحمل نقل جاده اي</v>
      </c>
      <c r="AB1793" s="1" t="str">
        <f>"95/08/11"</f>
        <v>95/08/11</v>
      </c>
      <c r="AC1793" s="1" t="str">
        <f>"خراسان جنوبي"</f>
        <v>خراسان جنوبي</v>
      </c>
      <c r="AD1793" s="1" t="str">
        <f>"95/08/15"</f>
        <v>95/08/15</v>
      </c>
      <c r="AE1793" s="1" t="str">
        <f t="shared" si="472"/>
        <v>اختتام</v>
      </c>
      <c r="AF1793" s="1" t="str">
        <f>""</f>
        <v/>
      </c>
      <c r="AG1793" s="1" t="str">
        <f>""</f>
        <v/>
      </c>
      <c r="AH1793" s="1" t="str">
        <f>""</f>
        <v/>
      </c>
      <c r="AI1793" s="1" t="str">
        <f>""</f>
        <v/>
      </c>
      <c r="AJ1793" s="1" t="str">
        <f>""</f>
        <v/>
      </c>
      <c r="AK1793" s="1" t="str">
        <f>""</f>
        <v/>
      </c>
    </row>
    <row r="1794" spans="1:37" x14ac:dyDescent="0.2">
      <c r="A1794" s="1">
        <v>150000</v>
      </c>
      <c r="B1794" s="1">
        <v>956200418</v>
      </c>
      <c r="C1794" s="1" t="str">
        <f>"تخليه -همدان -كيلومتر17محورهمدان به تهران-بعد از پليس راه-کارخانه آسقالت عايق ريل همدان"</f>
        <v>تخليه -همدان -كيلومتر17محورهمدان به تهران-بعد از پليس راه-کارخانه آسقالت عايق ريل همدان</v>
      </c>
      <c r="D1794" s="1">
        <v>8848</v>
      </c>
      <c r="E1794" s="1">
        <v>141240</v>
      </c>
      <c r="F1794" s="1">
        <v>95</v>
      </c>
      <c r="G1794" s="1">
        <v>8760</v>
      </c>
      <c r="H1794" s="1" t="str">
        <f>"95/12/28"</f>
        <v>95/12/28</v>
      </c>
      <c r="I1794" s="1" t="str">
        <f t="shared" ref="I1794:I1857" si="478">"كيلوگرم"</f>
        <v>كيلوگرم</v>
      </c>
      <c r="J1794" s="1" t="str">
        <f>"1000000002"</f>
        <v>1000000002</v>
      </c>
      <c r="K1794" s="1" t="str">
        <f>"قير 85/100 - فله"</f>
        <v>قير 85/100 - فله</v>
      </c>
      <c r="L1794" s="1">
        <v>100</v>
      </c>
      <c r="M1794" s="1" t="str">
        <f t="shared" si="464"/>
        <v>مخازن قير اصفهان</v>
      </c>
      <c r="N1794" s="1">
        <v>8632</v>
      </c>
      <c r="O1794" s="1">
        <v>50034306</v>
      </c>
      <c r="P1794" s="1" t="str">
        <f>"  عايق ريل همدان"</f>
        <v xml:space="preserve">  عايق ريل همدان</v>
      </c>
      <c r="Q1794" s="1">
        <v>62</v>
      </c>
      <c r="R1794" s="1" t="str">
        <f>"فروش داخلي - سازمان بنيادمسكن انقلاب اسلامي"</f>
        <v>فروش داخلي - سازمان بنيادمسكن انقلاب اسلامي</v>
      </c>
      <c r="S1794" s="1" t="str">
        <f t="shared" ref="S1794:S1857" si="479">"قرارداد فروش"</f>
        <v>قرارداد فروش</v>
      </c>
      <c r="T1794" s="1" t="str">
        <f t="shared" ref="T1794:T1857" si="480">"ندارد"</f>
        <v>ندارد</v>
      </c>
      <c r="U1794" s="1" t="str">
        <f>"حاجيلوئي علي اصغر(2842019)"</f>
        <v>حاجيلوئي علي اصغر(2842019)</v>
      </c>
      <c r="V1794" s="1">
        <v>956200418</v>
      </c>
      <c r="W1794" s="1">
        <v>956200418</v>
      </c>
      <c r="X1794" s="1" t="str">
        <f>"1395470953"</f>
        <v>1395470953</v>
      </c>
      <c r="Y1794" s="1" t="str">
        <f>"95/12/28"</f>
        <v>95/12/28</v>
      </c>
      <c r="Z1794" s="1" t="str">
        <f>"57172/د"</f>
        <v>57172/د</v>
      </c>
      <c r="AA1794" s="1" t="str">
        <f>"بنيادمسكن انقلاب اسلامي"</f>
        <v>بنيادمسكن انقلاب اسلامي</v>
      </c>
      <c r="AB1794" s="1" t="str">
        <f>"95/12/22"</f>
        <v>95/12/22</v>
      </c>
      <c r="AC1794" s="1" t="str">
        <f>"استان همدان"</f>
        <v>استان همدان</v>
      </c>
      <c r="AD1794" s="1" t="str">
        <f>"95/12/24"</f>
        <v>95/12/24</v>
      </c>
      <c r="AE1794" s="1" t="str">
        <f t="shared" si="472"/>
        <v>اختتام</v>
      </c>
      <c r="AF1794" s="1" t="str">
        <f>""</f>
        <v/>
      </c>
      <c r="AG1794" s="1" t="str">
        <f>""</f>
        <v/>
      </c>
      <c r="AH1794" s="1" t="str">
        <f>""</f>
        <v/>
      </c>
      <c r="AI1794" s="1" t="str">
        <f>""</f>
        <v/>
      </c>
      <c r="AJ1794" s="1" t="str">
        <f>""</f>
        <v/>
      </c>
      <c r="AK1794" s="1" t="str">
        <f>""</f>
        <v/>
      </c>
    </row>
    <row r="1795" spans="1:37" x14ac:dyDescent="0.2">
      <c r="A1795" s="1">
        <v>331760</v>
      </c>
      <c r="B1795" s="1">
        <v>951900228</v>
      </c>
      <c r="C1795" s="1" t="str">
        <f>"تخليه خراسان جنوبي بهسازي روكش آسفالت محورخضري قاين بيرجندكارخانه آسفالت قاين شركت دنارهساز"</f>
        <v>تخليه خراسان جنوبي بهسازي روكش آسفالت محورخضري قاين بيرجندكارخانه آسفالت قاين شركت دنارهساز</v>
      </c>
      <c r="D1795" s="1">
        <v>9061</v>
      </c>
      <c r="E1795" s="1">
        <v>69160</v>
      </c>
      <c r="F1795" s="1">
        <v>95</v>
      </c>
      <c r="G1795" s="1">
        <v>262600</v>
      </c>
      <c r="H1795" s="1" t="str">
        <f>"95/10/05"</f>
        <v>95/10/05</v>
      </c>
      <c r="I1795" s="1" t="str">
        <f t="shared" si="478"/>
        <v>كيلوگرم</v>
      </c>
      <c r="J1795" s="1" t="str">
        <f t="shared" ref="J1795:J1804" si="481">"0000000091"</f>
        <v>0000000091</v>
      </c>
      <c r="K1795" s="1" t="str">
        <f t="shared" ref="K1795:K1804" si="482">"قير  PG64-22"</f>
        <v>قير  PG64-22</v>
      </c>
      <c r="L1795" s="1">
        <v>100</v>
      </c>
      <c r="M1795" s="1" t="str">
        <f t="shared" si="464"/>
        <v>مخازن قير اصفهان</v>
      </c>
      <c r="N1795" s="1">
        <v>8081</v>
      </c>
      <c r="O1795" s="1">
        <v>50033152</v>
      </c>
      <c r="P1795" s="1" t="str">
        <f>"  دنا رهساز"</f>
        <v xml:space="preserve">  دنا رهساز</v>
      </c>
      <c r="Q1795" s="1">
        <v>19</v>
      </c>
      <c r="R179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5" s="1" t="str">
        <f t="shared" si="479"/>
        <v>قرارداد فروش</v>
      </c>
      <c r="T1795" s="1" t="str">
        <f t="shared" si="480"/>
        <v>ندارد</v>
      </c>
      <c r="U1795" s="1" t="str">
        <f>"حاج صادقي باقر(1841027)"</f>
        <v>حاج صادقي باقر(1841027)</v>
      </c>
      <c r="V1795" s="1">
        <v>951900228</v>
      </c>
      <c r="W1795" s="1">
        <v>951900228</v>
      </c>
      <c r="X1795" s="1" t="str">
        <f>"1395443198"</f>
        <v>1395443198</v>
      </c>
      <c r="Y1795" s="1" t="str">
        <f>"95/10/05"</f>
        <v>95/10/05</v>
      </c>
      <c r="Z1795" s="1" t="str">
        <f>"39008/710"</f>
        <v>39008/710</v>
      </c>
      <c r="AA1795" s="1" t="str">
        <f>"سازمان راهداري وحمل نقل جاده اي"</f>
        <v>سازمان راهداري وحمل نقل جاده اي</v>
      </c>
      <c r="AB1795" s="1" t="str">
        <f>"95/08/11"</f>
        <v>95/08/11</v>
      </c>
      <c r="AC1795" s="1" t="str">
        <f>"خراسان جنوبي"</f>
        <v>خراسان جنوبي</v>
      </c>
      <c r="AD1795" s="1" t="str">
        <f>"95/08/15"</f>
        <v>95/08/15</v>
      </c>
      <c r="AE1795" s="1" t="str">
        <f t="shared" si="472"/>
        <v>اختتام</v>
      </c>
      <c r="AF1795" s="1" t="str">
        <f>""</f>
        <v/>
      </c>
      <c r="AG1795" s="1" t="str">
        <f>""</f>
        <v/>
      </c>
      <c r="AH1795" s="1" t="str">
        <f>""</f>
        <v/>
      </c>
      <c r="AI1795" s="1" t="str">
        <f>""</f>
        <v/>
      </c>
      <c r="AJ1795" s="1" t="str">
        <f>""</f>
        <v/>
      </c>
      <c r="AK1795" s="1" t="str">
        <f>""</f>
        <v/>
      </c>
    </row>
    <row r="1796" spans="1:37" x14ac:dyDescent="0.2">
      <c r="A1796" s="1">
        <v>262600</v>
      </c>
      <c r="B1796" s="1">
        <v>951900250</v>
      </c>
      <c r="C1796" s="1" t="str">
        <f>"تخليه خراسان جنوبي بهسازي روكش آسفالت محورخضري قاين بيرجندكارخانه آسفالت قاين شركت دنارهساز"</f>
        <v>تخليه خراسان جنوبي بهسازي روكش آسفالت محورخضري قاين بيرجندكارخانه آسفالت قاين شركت دنارهساز</v>
      </c>
      <c r="D1796" s="1">
        <v>9511</v>
      </c>
      <c r="E1796" s="1">
        <v>259860</v>
      </c>
      <c r="F1796" s="1">
        <v>95</v>
      </c>
      <c r="G1796" s="1">
        <v>2740</v>
      </c>
      <c r="H1796" s="1" t="str">
        <f>"95/11/03"</f>
        <v>95/11/03</v>
      </c>
      <c r="I1796" s="1" t="str">
        <f t="shared" si="478"/>
        <v>كيلوگرم</v>
      </c>
      <c r="J1796" s="1" t="str">
        <f t="shared" si="481"/>
        <v>0000000091</v>
      </c>
      <c r="K1796" s="1" t="str">
        <f t="shared" si="482"/>
        <v>قير  PG64-22</v>
      </c>
      <c r="L1796" s="1">
        <v>100</v>
      </c>
      <c r="M1796" s="1" t="str">
        <f t="shared" si="464"/>
        <v>مخازن قير اصفهان</v>
      </c>
      <c r="N1796" s="1">
        <v>8081</v>
      </c>
      <c r="O1796" s="1">
        <v>50033464</v>
      </c>
      <c r="P1796" s="1" t="str">
        <f>"  دنا رهساز"</f>
        <v xml:space="preserve">  دنا رهساز</v>
      </c>
      <c r="Q1796" s="1">
        <v>19</v>
      </c>
      <c r="R179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6" s="1" t="str">
        <f t="shared" si="479"/>
        <v>قرارداد فروش</v>
      </c>
      <c r="T1796" s="1" t="str">
        <f t="shared" si="480"/>
        <v>ندارد</v>
      </c>
      <c r="U1796" s="1" t="str">
        <f>"حاج صادقي باقر(1841027)"</f>
        <v>حاج صادقي باقر(1841027)</v>
      </c>
      <c r="V1796" s="1">
        <v>951900250</v>
      </c>
      <c r="W1796" s="1">
        <v>951900250</v>
      </c>
      <c r="X1796" s="1" t="str">
        <f>"1395443198"</f>
        <v>1395443198</v>
      </c>
      <c r="Y1796" s="1" t="str">
        <f>"95/11/03"</f>
        <v>95/11/03</v>
      </c>
      <c r="Z1796" s="1" t="str">
        <f>"39008/710"</f>
        <v>39008/710</v>
      </c>
      <c r="AA1796" s="1" t="str">
        <f>"سازمان راهداري وحمل نقل جاده اي"</f>
        <v>سازمان راهداري وحمل نقل جاده اي</v>
      </c>
      <c r="AB1796" s="1" t="str">
        <f>"95/08/11"</f>
        <v>95/08/11</v>
      </c>
      <c r="AC1796" s="1" t="str">
        <f>"خراسان جنوبي"</f>
        <v>خراسان جنوبي</v>
      </c>
      <c r="AD1796" s="1" t="str">
        <f>"95/08/15"</f>
        <v>95/08/15</v>
      </c>
      <c r="AE1796" s="1" t="str">
        <f t="shared" si="472"/>
        <v>اختتام</v>
      </c>
      <c r="AF1796" s="1" t="str">
        <f>""</f>
        <v/>
      </c>
      <c r="AG1796" s="1" t="str">
        <f>""</f>
        <v/>
      </c>
      <c r="AH1796" s="1" t="str">
        <f>""</f>
        <v/>
      </c>
      <c r="AI1796" s="1" t="str">
        <f>""</f>
        <v/>
      </c>
      <c r="AJ1796" s="1" t="str">
        <f>""</f>
        <v/>
      </c>
      <c r="AK1796" s="1" t="str">
        <f>""</f>
        <v/>
      </c>
    </row>
    <row r="1797" spans="1:37" x14ac:dyDescent="0.2">
      <c r="A1797" s="1">
        <v>201360</v>
      </c>
      <c r="B1797" s="1">
        <v>951700270</v>
      </c>
      <c r="C1797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1797" s="1">
        <v>8323</v>
      </c>
      <c r="E1797" s="1">
        <v>201360</v>
      </c>
      <c r="F1797" s="1">
        <v>95</v>
      </c>
      <c r="G1797" s="1">
        <v>0</v>
      </c>
      <c r="H1797" s="1" t="str">
        <f>"95/08/09"</f>
        <v>95/08/09</v>
      </c>
      <c r="I1797" s="1" t="str">
        <f t="shared" si="478"/>
        <v>كيلوگرم</v>
      </c>
      <c r="J1797" s="1" t="str">
        <f t="shared" si="481"/>
        <v>0000000091</v>
      </c>
      <c r="K1797" s="1" t="str">
        <f t="shared" si="482"/>
        <v>قير  PG64-22</v>
      </c>
      <c r="L1797" s="1">
        <v>100</v>
      </c>
      <c r="M1797" s="1" t="str">
        <f t="shared" si="464"/>
        <v>مخازن قير اصفهان</v>
      </c>
      <c r="N1797" s="1">
        <v>8091</v>
      </c>
      <c r="O1797" s="1">
        <v>50032397</v>
      </c>
      <c r="P1797" s="1" t="str">
        <f>"  اداره كل راه وشهرسازي اصفهان"</f>
        <v xml:space="preserve">  اداره كل راه وشهرسازي اصفهان</v>
      </c>
      <c r="Q1797" s="1">
        <v>17</v>
      </c>
      <c r="R1797" s="1" t="str">
        <f>"فروش داخلي تهران - وزارت راه - راه روستايي - روکش"</f>
        <v>فروش داخلي تهران - وزارت راه - راه روستايي - روکش</v>
      </c>
      <c r="S1797" s="1" t="str">
        <f t="shared" si="479"/>
        <v>قرارداد فروش</v>
      </c>
      <c r="T1797" s="1" t="str">
        <f t="shared" si="480"/>
        <v>ندارد</v>
      </c>
      <c r="U1797" s="1" t="str">
        <f>"اسماعيلي پور امين (1013ج89)"</f>
        <v>اسماعيلي پور امين (1013ج89)</v>
      </c>
      <c r="V1797" s="1">
        <v>951700270</v>
      </c>
      <c r="W1797" s="1">
        <v>951700270</v>
      </c>
      <c r="X1797" s="1" t="str">
        <f>"1395433830"</f>
        <v>1395433830</v>
      </c>
      <c r="Y1797" s="1" t="str">
        <f>"95/08/09"</f>
        <v>95/08/09</v>
      </c>
      <c r="Z1797" s="1" t="str">
        <f>"31549/510"</f>
        <v>31549/510</v>
      </c>
      <c r="AA1797" s="1" t="str">
        <f>"راه روستائي -روكش"</f>
        <v>راه روستائي -روكش</v>
      </c>
      <c r="AB1797" s="1" t="str">
        <f>"95/07/03"</f>
        <v>95/07/03</v>
      </c>
      <c r="AC1797" s="1" t="str">
        <f>"استان اصفهان"</f>
        <v>استان اصفهان</v>
      </c>
      <c r="AD1797" s="1" t="str">
        <f>"95/07/05"</f>
        <v>95/07/05</v>
      </c>
      <c r="AE1797" s="1" t="str">
        <f t="shared" si="472"/>
        <v>اختتام</v>
      </c>
      <c r="AF1797" s="1" t="str">
        <f>""</f>
        <v/>
      </c>
      <c r="AG1797" s="1" t="str">
        <f>""</f>
        <v/>
      </c>
      <c r="AH1797" s="1" t="str">
        <f>""</f>
        <v/>
      </c>
      <c r="AI1797" s="1" t="str">
        <f>""</f>
        <v/>
      </c>
      <c r="AJ1797" s="1" t="str">
        <f>""</f>
        <v/>
      </c>
      <c r="AK1797" s="1" t="str">
        <f>""</f>
        <v/>
      </c>
    </row>
    <row r="1798" spans="1:37" x14ac:dyDescent="0.2">
      <c r="A1798" s="1">
        <v>500000</v>
      </c>
      <c r="B1798" s="1">
        <v>951600001</v>
      </c>
      <c r="C1798" s="1" t="str">
        <f>"تخليه كرمانشاه محوركرمانشاه -هرسين ازپليس راه كيلومتر9روبروي روستاي چهر"</f>
        <v>تخليه كرمانشاه محوركرمانشاه -هرسين ازپليس راه كيلومتر9روبروي روستاي چهر</v>
      </c>
      <c r="D1798" s="1">
        <v>5650</v>
      </c>
      <c r="E1798" s="1">
        <v>500000</v>
      </c>
      <c r="F1798" s="1">
        <v>95</v>
      </c>
      <c r="G1798" s="1">
        <v>0</v>
      </c>
      <c r="H1798" s="1" t="str">
        <f>"95/02/27"</f>
        <v>95/02/27</v>
      </c>
      <c r="I1798" s="1" t="str">
        <f t="shared" si="478"/>
        <v>كيلوگرم</v>
      </c>
      <c r="J1798" s="1" t="str">
        <f t="shared" si="481"/>
        <v>0000000091</v>
      </c>
      <c r="K1798" s="1" t="str">
        <f t="shared" si="482"/>
        <v>قير  PG64-22</v>
      </c>
      <c r="L1798" s="1">
        <v>100</v>
      </c>
      <c r="M1798" s="1" t="str">
        <f t="shared" si="464"/>
        <v>مخازن قير اصفهان</v>
      </c>
      <c r="N1798" s="1">
        <v>8120</v>
      </c>
      <c r="O1798" s="1">
        <v>50030844</v>
      </c>
      <c r="P1798" s="1" t="str">
        <f>"  مرزراه"</f>
        <v xml:space="preserve">  مرزراه</v>
      </c>
      <c r="Q1798" s="1">
        <v>16</v>
      </c>
      <c r="R1798" s="1" t="str">
        <f>"فروش داخلي تهران - وزارت راه - معاونت اقتصاد"</f>
        <v>فروش داخلي تهران - وزارت راه - معاونت اقتصاد</v>
      </c>
      <c r="S1798" s="1" t="str">
        <f t="shared" si="479"/>
        <v>قرارداد فروش</v>
      </c>
      <c r="T1798" s="1" t="str">
        <f t="shared" si="480"/>
        <v>ندارد</v>
      </c>
      <c r="U1798" s="1" t="str">
        <f>"شمسيان پور حبيب اله(2842034)"</f>
        <v>شمسيان پور حبيب اله(2842034)</v>
      </c>
      <c r="V1798" s="1">
        <v>951600001</v>
      </c>
      <c r="W1798" s="1">
        <v>951600001</v>
      </c>
      <c r="X1798" s="1" t="str">
        <f>"1395404242"</f>
        <v>1395404242</v>
      </c>
      <c r="Y1798" s="1" t="str">
        <f>"95/02/25"</f>
        <v>95/02/25</v>
      </c>
      <c r="Z1798" s="1" t="str">
        <f>"67886/510"</f>
        <v>67886/510</v>
      </c>
      <c r="AA1798" s="1" t="str">
        <f>"معاونت اقتصادوزارت راه وشهرسازي"</f>
        <v>معاونت اقتصادوزارت راه وشهرسازي</v>
      </c>
      <c r="AB1798" s="1" t="str">
        <f>"94/12/11"</f>
        <v>94/12/11</v>
      </c>
      <c r="AC1798" s="1" t="str">
        <f>"استان كرمانشاه"</f>
        <v>استان كرمانشاه</v>
      </c>
      <c r="AD1798" s="1" t="str">
        <f>"95/02/25"</f>
        <v>95/02/25</v>
      </c>
      <c r="AE1798" s="1" t="str">
        <f t="shared" si="472"/>
        <v>اختتام</v>
      </c>
      <c r="AF1798" s="1" t="str">
        <f>""</f>
        <v/>
      </c>
      <c r="AG1798" s="1" t="str">
        <f>""</f>
        <v/>
      </c>
      <c r="AH1798" s="1" t="str">
        <f>""</f>
        <v/>
      </c>
      <c r="AI1798" s="1" t="str">
        <f>""</f>
        <v/>
      </c>
      <c r="AJ1798" s="1" t="str">
        <f>""</f>
        <v/>
      </c>
      <c r="AK1798" s="1" t="str">
        <f>""</f>
        <v/>
      </c>
    </row>
    <row r="1799" spans="1:37" x14ac:dyDescent="0.2">
      <c r="A1799" s="1">
        <v>200000</v>
      </c>
      <c r="B1799" s="1">
        <v>951100074</v>
      </c>
      <c r="C1799" s="1" t="str">
        <f>"تخليه -كيلومتر5قبل ازكرندكارخانه آسفالت دالاهووكيلومتر7جاده هرسين روستاي پل چهر-كارخانه آسفالت مرزراه"</f>
        <v>تخليه -كيلومتر5قبل ازكرندكارخانه آسفالت دالاهووكيلومتر7جاده هرسين روستاي پل چهر-كارخانه آسفالت مرزراه</v>
      </c>
      <c r="D1799" s="1">
        <v>6050</v>
      </c>
      <c r="E1799" s="1">
        <v>200000</v>
      </c>
      <c r="F1799" s="1">
        <v>95</v>
      </c>
      <c r="G1799" s="1">
        <v>0</v>
      </c>
      <c r="H1799" s="1" t="str">
        <f>"95/03/31"</f>
        <v>95/03/31</v>
      </c>
      <c r="I1799" s="1" t="str">
        <f t="shared" si="478"/>
        <v>كيلوگرم</v>
      </c>
      <c r="J1799" s="1" t="str">
        <f t="shared" si="481"/>
        <v>0000000091</v>
      </c>
      <c r="K1799" s="1" t="str">
        <f t="shared" si="482"/>
        <v>قير  PG64-22</v>
      </c>
      <c r="L1799" s="1">
        <v>100</v>
      </c>
      <c r="M1799" s="1" t="str">
        <f t="shared" si="464"/>
        <v>مخازن قير اصفهان</v>
      </c>
      <c r="N1799" s="1">
        <v>8120</v>
      </c>
      <c r="O1799" s="1">
        <v>50031089</v>
      </c>
      <c r="P1799" s="1" t="str">
        <f>"  مرزراه"</f>
        <v xml:space="preserve">  مرزراه</v>
      </c>
      <c r="Q1799" s="1">
        <v>11</v>
      </c>
      <c r="R1799" s="1" t="str">
        <f>"فروش داخلي تهران - بورس"</f>
        <v>فروش داخلي تهران - بورس</v>
      </c>
      <c r="S1799" s="1" t="str">
        <f t="shared" si="479"/>
        <v>قرارداد فروش</v>
      </c>
      <c r="T1799" s="1" t="str">
        <f t="shared" si="480"/>
        <v>ندارد</v>
      </c>
      <c r="U1799" s="1" t="str">
        <f>"شمسيان پور حبيب اله(2842034)"</f>
        <v>شمسيان پور حبيب اله(2842034)</v>
      </c>
      <c r="V1799" s="1">
        <v>951100074</v>
      </c>
      <c r="W1799" s="1">
        <v>951100074</v>
      </c>
      <c r="X1799" s="1" t="str">
        <f>"1395410159"</f>
        <v>1395410159</v>
      </c>
      <c r="Y1799" s="1" t="str">
        <f>"95/03/31"</f>
        <v>95/03/31</v>
      </c>
      <c r="Z1799" s="1" t="str">
        <f>"95-34525"</f>
        <v>95-34525</v>
      </c>
      <c r="AA1799" s="1" t="str">
        <f>"آسفالت سازان"</f>
        <v>آسفالت سازان</v>
      </c>
      <c r="AB1799" s="1" t="str">
        <f>"95/03/31"</f>
        <v>95/03/31</v>
      </c>
      <c r="AC1799" s="1" t="str">
        <f>"استان كرمانشاه"</f>
        <v>استان كرمانشاه</v>
      </c>
      <c r="AD1799" s="1" t="str">
        <f>"95/03/30"</f>
        <v>95/03/30</v>
      </c>
      <c r="AE1799" s="1" t="str">
        <f t="shared" si="472"/>
        <v>اختتام</v>
      </c>
      <c r="AF1799" s="1" t="str">
        <f>""</f>
        <v/>
      </c>
      <c r="AG1799" s="1" t="str">
        <f>""</f>
        <v/>
      </c>
      <c r="AH1799" s="1" t="str">
        <f>""</f>
        <v/>
      </c>
      <c r="AI1799" s="1" t="str">
        <f>""</f>
        <v/>
      </c>
      <c r="AJ1799" s="1" t="str">
        <f>""</f>
        <v/>
      </c>
      <c r="AK1799" s="1" t="str">
        <f>""</f>
        <v/>
      </c>
    </row>
    <row r="1800" spans="1:37" x14ac:dyDescent="0.2">
      <c r="A1800" s="1">
        <v>400000</v>
      </c>
      <c r="B1800" s="1">
        <v>951600034</v>
      </c>
      <c r="C1800" s="1" t="str">
        <f>"تخليه -لرستان -فيروزآبادكيلومتريك جاده خرم آباد-كارخانه آسفالت سعادتي"</f>
        <v>تخليه -لرستان -فيروزآبادكيلومتريك جاده خرم آباد-كارخانه آسفالت سعادتي</v>
      </c>
      <c r="D1800" s="1">
        <v>7276</v>
      </c>
      <c r="E1800" s="1">
        <v>238880</v>
      </c>
      <c r="F1800" s="1">
        <v>95</v>
      </c>
      <c r="G1800" s="1">
        <v>161120</v>
      </c>
      <c r="H1800" s="1" t="str">
        <f>"95/07/07"</f>
        <v>95/07/07</v>
      </c>
      <c r="I1800" s="1" t="str">
        <f t="shared" si="478"/>
        <v>كيلوگرم</v>
      </c>
      <c r="J1800" s="1" t="str">
        <f t="shared" si="481"/>
        <v>0000000091</v>
      </c>
      <c r="K1800" s="1" t="str">
        <f t="shared" si="482"/>
        <v>قير  PG64-22</v>
      </c>
      <c r="L1800" s="1">
        <v>100</v>
      </c>
      <c r="M1800" s="1" t="str">
        <f t="shared" ref="M1800:M1863" si="483">"مخازن قير اصفهان"</f>
        <v>مخازن قير اصفهان</v>
      </c>
      <c r="N1800" s="1">
        <v>8147</v>
      </c>
      <c r="O1800" s="1">
        <v>50032020</v>
      </c>
      <c r="P1800" s="1" t="str">
        <f>"  زاگرس راه نصر"</f>
        <v xml:space="preserve">  زاگرس راه نصر</v>
      </c>
      <c r="Q1800" s="1">
        <v>16</v>
      </c>
      <c r="R1800" s="1" t="str">
        <f>"فروش داخلي تهران - وزارت راه - معاونت اقتصاد"</f>
        <v>فروش داخلي تهران - وزارت راه - معاونت اقتصاد</v>
      </c>
      <c r="S1800" s="1" t="str">
        <f t="shared" si="479"/>
        <v>قرارداد فروش</v>
      </c>
      <c r="T1800" s="1" t="str">
        <f t="shared" si="480"/>
        <v>ندارد</v>
      </c>
      <c r="U1800" s="1" t="str">
        <f>"عظيمي محمد(2842015)"</f>
        <v>عظيمي محمد(2842015)</v>
      </c>
      <c r="V1800" s="1">
        <v>951600034</v>
      </c>
      <c r="W1800" s="1">
        <v>951600034</v>
      </c>
      <c r="X1800" s="1" t="str">
        <f>"1395433836"</f>
        <v>1395433836</v>
      </c>
      <c r="Y1800" s="1" t="str">
        <f>"95/07/07"</f>
        <v>95/07/07</v>
      </c>
      <c r="Z1800" s="1" t="str">
        <f>"31546/510"</f>
        <v>31546/510</v>
      </c>
      <c r="AA1800" s="1" t="str">
        <f>"معاونت اقتصادوزارت راه وشهرسازي"</f>
        <v>معاونت اقتصادوزارت راه وشهرسازي</v>
      </c>
      <c r="AB1800" s="1" t="str">
        <f>"95/07/03"</f>
        <v>95/07/03</v>
      </c>
      <c r="AC1800" s="1" t="str">
        <f>"لرستان"</f>
        <v>لرستان</v>
      </c>
      <c r="AD1800" s="1" t="str">
        <f>"95/07/05"</f>
        <v>95/07/05</v>
      </c>
      <c r="AE1800" s="1" t="str">
        <f t="shared" si="472"/>
        <v>اختتام</v>
      </c>
      <c r="AF1800" s="1" t="str">
        <f>""</f>
        <v/>
      </c>
      <c r="AG1800" s="1" t="str">
        <f>""</f>
        <v/>
      </c>
      <c r="AH1800" s="1" t="str">
        <f>""</f>
        <v/>
      </c>
      <c r="AI1800" s="1" t="str">
        <f>""</f>
        <v/>
      </c>
      <c r="AJ1800" s="1" t="str">
        <f>""</f>
        <v/>
      </c>
      <c r="AK1800" s="1" t="str">
        <f>""</f>
        <v/>
      </c>
    </row>
    <row r="1801" spans="1:37" x14ac:dyDescent="0.2">
      <c r="A1801" s="1">
        <v>300000</v>
      </c>
      <c r="B1801" s="1">
        <v>951700105</v>
      </c>
      <c r="C1801" s="1" t="str">
        <f>"تخليه -قم جعفريه -كارخانه آسفالت مهرگازران"</f>
        <v>تخليه -قم جعفريه -كارخانه آسفالت مهرگازران</v>
      </c>
      <c r="D1801" s="1">
        <v>6250</v>
      </c>
      <c r="E1801" s="1">
        <v>298180</v>
      </c>
      <c r="F1801" s="1">
        <v>95</v>
      </c>
      <c r="G1801" s="1">
        <v>1820</v>
      </c>
      <c r="H1801" s="1" t="str">
        <f>"95/04/21"</f>
        <v>95/04/21</v>
      </c>
      <c r="I1801" s="1" t="str">
        <f t="shared" si="478"/>
        <v>كيلوگرم</v>
      </c>
      <c r="J1801" s="1" t="str">
        <f t="shared" si="481"/>
        <v>0000000091</v>
      </c>
      <c r="K1801" s="1" t="str">
        <f t="shared" si="482"/>
        <v>قير  PG64-22</v>
      </c>
      <c r="L1801" s="1">
        <v>100</v>
      </c>
      <c r="M1801" s="1" t="str">
        <f t="shared" si="483"/>
        <v>مخازن قير اصفهان</v>
      </c>
      <c r="N1801" s="1">
        <v>8270</v>
      </c>
      <c r="O1801" s="1">
        <v>50031254</v>
      </c>
      <c r="P1801" s="1" t="str">
        <f>"  اداره كل راه و شهرسازي  قم"</f>
        <v xml:space="preserve">  اداره كل راه و شهرسازي  قم</v>
      </c>
      <c r="Q1801" s="1">
        <v>17</v>
      </c>
      <c r="R1801" s="1" t="str">
        <f>"فروش داخلي تهران - وزارت راه - راه روستايي - روکش"</f>
        <v>فروش داخلي تهران - وزارت راه - راه روستايي - روکش</v>
      </c>
      <c r="S1801" s="1" t="str">
        <f t="shared" si="479"/>
        <v>قرارداد فروش</v>
      </c>
      <c r="T1801" s="1" t="str">
        <f t="shared" si="480"/>
        <v>ندارد</v>
      </c>
      <c r="U1801" s="1" t="str">
        <f>"اميري علي(2842011)"</f>
        <v>اميري علي(2842011)</v>
      </c>
      <c r="V1801" s="1">
        <v>951700105</v>
      </c>
      <c r="W1801" s="1">
        <v>951700105</v>
      </c>
      <c r="X1801" s="1" t="str">
        <f>"1395414114"</f>
        <v>1395414114</v>
      </c>
      <c r="Y1801" s="1" t="str">
        <f>"95/04/20"</f>
        <v>95/04/20</v>
      </c>
      <c r="Z1801" s="1" t="str">
        <f>"16000/510"</f>
        <v>16000/510</v>
      </c>
      <c r="AA1801" s="1" t="str">
        <f>"راه روستائي -روكش"</f>
        <v>راه روستائي -روكش</v>
      </c>
      <c r="AB1801" s="1" t="str">
        <f>"95/04/14"</f>
        <v>95/04/14</v>
      </c>
      <c r="AC1801" s="1" t="str">
        <f>"قم"</f>
        <v>قم</v>
      </c>
      <c r="AD1801" s="1" t="str">
        <f>"95/04/19"</f>
        <v>95/04/19</v>
      </c>
      <c r="AE1801" s="1" t="str">
        <f t="shared" si="472"/>
        <v>اختتام</v>
      </c>
      <c r="AF1801" s="1" t="str">
        <f>""</f>
        <v/>
      </c>
      <c r="AG1801" s="1" t="str">
        <f>""</f>
        <v/>
      </c>
      <c r="AH1801" s="1" t="str">
        <f>""</f>
        <v/>
      </c>
      <c r="AI1801" s="1" t="str">
        <f>""</f>
        <v/>
      </c>
      <c r="AJ1801" s="1" t="str">
        <f>""</f>
        <v/>
      </c>
      <c r="AK1801" s="1" t="str">
        <f>""</f>
        <v/>
      </c>
    </row>
    <row r="1802" spans="1:37" x14ac:dyDescent="0.2">
      <c r="A1802" s="1">
        <v>334720</v>
      </c>
      <c r="B1802" s="1">
        <v>951900233</v>
      </c>
      <c r="C1802" s="1" t="str">
        <f>"تخليه -لرستان -كيلومتر30جاده خرم آباد-بروجرد-روستاي ريگ سفيد-کارخانه آسفالت آفاق سپهرخرم"</f>
        <v>تخليه -لرستان -كيلومتر30جاده خرم آباد-بروجرد-روستاي ريگ سفيد-کارخانه آسفالت آفاق سپهرخرم</v>
      </c>
      <c r="D1802" s="1">
        <v>9061</v>
      </c>
      <c r="E1802" s="1">
        <v>133520</v>
      </c>
      <c r="F1802" s="1">
        <v>95</v>
      </c>
      <c r="G1802" s="1">
        <v>201200</v>
      </c>
      <c r="H1802" s="1" t="str">
        <f>"95/10/05"</f>
        <v>95/10/05</v>
      </c>
      <c r="I1802" s="1" t="str">
        <f t="shared" si="478"/>
        <v>كيلوگرم</v>
      </c>
      <c r="J1802" s="1" t="str">
        <f t="shared" si="481"/>
        <v>0000000091</v>
      </c>
      <c r="K1802" s="1" t="str">
        <f t="shared" si="482"/>
        <v>قير  PG64-22</v>
      </c>
      <c r="L1802" s="1">
        <v>100</v>
      </c>
      <c r="M1802" s="1" t="str">
        <f t="shared" si="483"/>
        <v>مخازن قير اصفهان</v>
      </c>
      <c r="N1802" s="1">
        <v>8561</v>
      </c>
      <c r="O1802" s="1">
        <v>50033157</v>
      </c>
      <c r="P1802" s="1" t="str">
        <f>"  آفاق سپهرخرم"</f>
        <v xml:space="preserve">  آفاق سپهرخرم</v>
      </c>
      <c r="Q1802" s="1">
        <v>19</v>
      </c>
      <c r="R180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02" s="1" t="str">
        <f t="shared" si="479"/>
        <v>قرارداد فروش</v>
      </c>
      <c r="T1802" s="1" t="str">
        <f t="shared" si="480"/>
        <v>ندارد</v>
      </c>
      <c r="U1802" s="1" t="str">
        <f>"ريسماني حسن(1007ج89)"</f>
        <v>ريسماني حسن(1007ج89)</v>
      </c>
      <c r="V1802" s="1">
        <v>951900233</v>
      </c>
      <c r="W1802" s="1">
        <v>951900233</v>
      </c>
      <c r="X1802" s="1" t="str">
        <f>"1395449862"</f>
        <v>1395449862</v>
      </c>
      <c r="Y1802" s="1" t="str">
        <f>"95/10/05"</f>
        <v>95/10/05</v>
      </c>
      <c r="Z1802" s="1" t="str">
        <f>"44546/710"</f>
        <v>44546/710</v>
      </c>
      <c r="AA1802" s="1" t="str">
        <f>"سازمان راهداري وحمل نقل جاده اي"</f>
        <v>سازمان راهداري وحمل نقل جاده اي</v>
      </c>
      <c r="AB1802" s="1" t="str">
        <f>"95/09/14"</f>
        <v>95/09/14</v>
      </c>
      <c r="AC1802" s="1" t="str">
        <f>"لرستان"</f>
        <v>لرستان</v>
      </c>
      <c r="AD1802" s="1" t="str">
        <f>"95/09/16"</f>
        <v>95/09/16</v>
      </c>
      <c r="AE1802" s="1" t="str">
        <f t="shared" si="472"/>
        <v>اختتام</v>
      </c>
      <c r="AF1802" s="1" t="str">
        <f>""</f>
        <v/>
      </c>
      <c r="AG1802" s="1" t="str">
        <f>""</f>
        <v/>
      </c>
      <c r="AH1802" s="1" t="str">
        <f>""</f>
        <v/>
      </c>
      <c r="AI1802" s="1" t="str">
        <f>""</f>
        <v/>
      </c>
      <c r="AJ1802" s="1" t="str">
        <f>""</f>
        <v/>
      </c>
      <c r="AK1802" s="1" t="str">
        <f>""</f>
        <v/>
      </c>
    </row>
    <row r="1803" spans="1:37" x14ac:dyDescent="0.2">
      <c r="A1803" s="1">
        <v>500000</v>
      </c>
      <c r="B1803" s="1">
        <v>951900157</v>
      </c>
      <c r="C1803" s="1" t="str">
        <f>"تخليه كرمانشاه كيلومتر5جاده كرندغرب به اسلام آبادمقابل روستاي لسم كارخانه همياردالاهو"</f>
        <v>تخليه كرمانشاه كيلومتر5جاده كرندغرب به اسلام آبادمقابل روستاي لسم كارخانه همياردالاهو</v>
      </c>
      <c r="D1803" s="1">
        <v>7276</v>
      </c>
      <c r="E1803" s="1">
        <v>479820</v>
      </c>
      <c r="F1803" s="1">
        <v>95</v>
      </c>
      <c r="G1803" s="1">
        <v>20180</v>
      </c>
      <c r="H1803" s="1" t="str">
        <f>"95/07/06"</f>
        <v>95/07/06</v>
      </c>
      <c r="I1803" s="1" t="str">
        <f t="shared" si="478"/>
        <v>كيلوگرم</v>
      </c>
      <c r="J1803" s="1" t="str">
        <f t="shared" si="481"/>
        <v>0000000091</v>
      </c>
      <c r="K1803" s="1" t="str">
        <f t="shared" si="482"/>
        <v>قير  PG64-22</v>
      </c>
      <c r="L1803" s="1">
        <v>100</v>
      </c>
      <c r="M1803" s="1" t="str">
        <f t="shared" si="483"/>
        <v>مخازن قير اصفهان</v>
      </c>
      <c r="N1803" s="1">
        <v>9382</v>
      </c>
      <c r="O1803" s="1">
        <v>50031994</v>
      </c>
      <c r="P1803" s="1" t="str">
        <f>"  مهندسين ساگارت سيوند"</f>
        <v xml:space="preserve">  مهندسين ساگارت سيوند</v>
      </c>
      <c r="Q1803" s="1">
        <v>19</v>
      </c>
      <c r="R180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03" s="1" t="str">
        <f t="shared" si="479"/>
        <v>قرارداد فروش</v>
      </c>
      <c r="T1803" s="1" t="str">
        <f t="shared" si="480"/>
        <v>ندارد</v>
      </c>
      <c r="U1803" s="1" t="str">
        <f>"شمسيان پور حبيب اله(2842034)"</f>
        <v>شمسيان پور حبيب اله(2842034)</v>
      </c>
      <c r="V1803" s="1">
        <v>951900157</v>
      </c>
      <c r="W1803" s="1">
        <v>951900157</v>
      </c>
      <c r="X1803" s="1" t="str">
        <f>"1395434116"</f>
        <v>1395434116</v>
      </c>
      <c r="Y1803" s="1" t="str">
        <f>"95/07/06"</f>
        <v>95/07/06</v>
      </c>
      <c r="Z1803" s="1" t="str">
        <f>"31850/510"</f>
        <v>31850/510</v>
      </c>
      <c r="AA1803" s="1" t="str">
        <f>"سازمان راهداري وحمل نقل جاده اي"</f>
        <v>سازمان راهداري وحمل نقل جاده اي</v>
      </c>
      <c r="AB1803" s="1" t="str">
        <f>"95/07/04"</f>
        <v>95/07/04</v>
      </c>
      <c r="AC1803" s="1" t="str">
        <f>"استان كرمانشاه"</f>
        <v>استان كرمانشاه</v>
      </c>
      <c r="AD1803" s="1" t="str">
        <f>"95/07/06"</f>
        <v>95/07/06</v>
      </c>
      <c r="AE1803" s="1" t="str">
        <f t="shared" si="472"/>
        <v>اختتام</v>
      </c>
      <c r="AF1803" s="1" t="str">
        <f>""</f>
        <v/>
      </c>
      <c r="AG1803" s="1" t="str">
        <f>""</f>
        <v/>
      </c>
      <c r="AH1803" s="1" t="str">
        <f>""</f>
        <v/>
      </c>
      <c r="AI1803" s="1" t="str">
        <f>""</f>
        <v/>
      </c>
      <c r="AJ1803" s="1" t="str">
        <f>""</f>
        <v/>
      </c>
      <c r="AK1803" s="1" t="str">
        <f>""</f>
        <v/>
      </c>
    </row>
    <row r="1804" spans="1:37" x14ac:dyDescent="0.2">
      <c r="A1804" s="1">
        <v>300000</v>
      </c>
      <c r="B1804" s="1">
        <v>951800042</v>
      </c>
      <c r="C1804" s="1" t="str">
        <f>"تخليه -كرمانشاه -گردنه مرصاد-جاده حسن آباد-دوراهي انجيرك كارخانه آسفالت شركت راكن"</f>
        <v>تخليه -كرمانشاه -گردنه مرصاد-جاده حسن آباد-دوراهي انجيرك كارخانه آسفالت شركت راكن</v>
      </c>
      <c r="D1804" s="1">
        <v>6726</v>
      </c>
      <c r="E1804" s="1">
        <v>299400</v>
      </c>
      <c r="F1804" s="1">
        <v>95</v>
      </c>
      <c r="G1804" s="1">
        <v>600</v>
      </c>
      <c r="H1804" s="1" t="str">
        <f>"95/05/16"</f>
        <v>95/05/16</v>
      </c>
      <c r="I1804" s="1" t="str">
        <f t="shared" si="478"/>
        <v>كيلوگرم</v>
      </c>
      <c r="J1804" s="1" t="str">
        <f t="shared" si="481"/>
        <v>0000000091</v>
      </c>
      <c r="K1804" s="1" t="str">
        <f t="shared" si="482"/>
        <v>قير  PG64-22</v>
      </c>
      <c r="L1804" s="1">
        <v>100</v>
      </c>
      <c r="M1804" s="1" t="str">
        <f t="shared" si="483"/>
        <v>مخازن قير اصفهان</v>
      </c>
      <c r="N1804" s="1">
        <v>9495</v>
      </c>
      <c r="O1804" s="1">
        <v>50031435</v>
      </c>
      <c r="P1804" s="1" t="str">
        <f>"  راه و ساختمان راكن"</f>
        <v xml:space="preserve">  راه و ساختمان راكن</v>
      </c>
      <c r="Q1804" s="1">
        <v>18</v>
      </c>
      <c r="R1804" s="1" t="str">
        <f>"فروش داخلي تهران - وزارت راه - شرکت ساخت و توسعه راهها"</f>
        <v>فروش داخلي تهران - وزارت راه - شرکت ساخت و توسعه راهها</v>
      </c>
      <c r="S1804" s="1" t="str">
        <f t="shared" si="479"/>
        <v>قرارداد فروش</v>
      </c>
      <c r="T1804" s="1" t="str">
        <f t="shared" si="480"/>
        <v>ندارد</v>
      </c>
      <c r="U1804" s="1" t="str">
        <f>"سليمي پارساعارف عماد(1901096)"</f>
        <v>سليمي پارساعارف عماد(1901096)</v>
      </c>
      <c r="V1804" s="1">
        <v>951800042</v>
      </c>
      <c r="W1804" s="1">
        <v>951800042</v>
      </c>
      <c r="X1804" s="1" t="str">
        <f>"1395421148"</f>
        <v>1395421148</v>
      </c>
      <c r="Y1804" s="1" t="str">
        <f>"95/05/16"</f>
        <v>95/05/16</v>
      </c>
      <c r="Z1804" s="1" t="str">
        <f>"20833/510"</f>
        <v>20833/510</v>
      </c>
      <c r="AA1804" s="1" t="str">
        <f>"شركت  ساخت وتوسعه راهها"</f>
        <v>شركت  ساخت وتوسعه راهها</v>
      </c>
      <c r="AB1804" s="1" t="str">
        <f>"95/05/11"</f>
        <v>95/05/11</v>
      </c>
      <c r="AC1804" s="1" t="str">
        <f>"جنوب کرمان"</f>
        <v>جنوب کرمان</v>
      </c>
      <c r="AD1804" s="1" t="str">
        <f>"95/05/13"</f>
        <v>95/05/13</v>
      </c>
      <c r="AE1804" s="1" t="str">
        <f t="shared" si="472"/>
        <v>اختتام</v>
      </c>
      <c r="AF1804" s="1" t="str">
        <f>""</f>
        <v/>
      </c>
      <c r="AG1804" s="1" t="str">
        <f>""</f>
        <v/>
      </c>
      <c r="AH1804" s="1" t="str">
        <f>""</f>
        <v/>
      </c>
      <c r="AI1804" s="1" t="str">
        <f>""</f>
        <v/>
      </c>
      <c r="AJ1804" s="1" t="str">
        <f>""</f>
        <v/>
      </c>
      <c r="AK1804" s="1" t="str">
        <f>""</f>
        <v/>
      </c>
    </row>
    <row r="1805" spans="1:37" x14ac:dyDescent="0.2">
      <c r="A1805" s="1">
        <v>72000</v>
      </c>
      <c r="B1805" s="1">
        <v>952000021</v>
      </c>
      <c r="C1805" s="1" t="str">
        <f>"تخليه-چهارمحال بختياري -شهركرد-چلگرد-سازمان همياري شهرداريهاي استان"</f>
        <v>تخليه-چهارمحال بختياري -شهركرد-چلگرد-سازمان همياري شهرداريهاي استان</v>
      </c>
      <c r="D1805" s="1">
        <v>6426</v>
      </c>
      <c r="E1805" s="1">
        <v>71440</v>
      </c>
      <c r="F1805" s="1">
        <v>95</v>
      </c>
      <c r="G1805" s="1">
        <v>560</v>
      </c>
      <c r="H1805" s="1" t="str">
        <f>"95/05/27"</f>
        <v>95/05/27</v>
      </c>
      <c r="I1805" s="1" t="str">
        <f t="shared" si="478"/>
        <v>كيلوگرم</v>
      </c>
      <c r="J1805" s="1" t="str">
        <f>"1000000002"</f>
        <v>1000000002</v>
      </c>
      <c r="K1805" s="1" t="str">
        <f>"قير 85/100 - فله"</f>
        <v>قير 85/100 - فله</v>
      </c>
      <c r="L1805" s="1">
        <v>100</v>
      </c>
      <c r="M1805" s="1" t="str">
        <f t="shared" si="483"/>
        <v>مخازن قير اصفهان</v>
      </c>
      <c r="N1805" s="1">
        <v>9364</v>
      </c>
      <c r="O1805" s="1">
        <v>50031568</v>
      </c>
      <c r="P1805" s="1" t="str">
        <f>"  شهرداري چلگرد"</f>
        <v xml:space="preserve">  شهرداري چلگرد</v>
      </c>
      <c r="Q1805" s="1">
        <v>20</v>
      </c>
      <c r="R1805" s="1" t="str">
        <f>"فروش داخلي - سازمان شهرداري ها و دهياري هاي كشور"</f>
        <v>فروش داخلي - سازمان شهرداري ها و دهياري هاي كشور</v>
      </c>
      <c r="S1805" s="1" t="str">
        <f t="shared" si="479"/>
        <v>قرارداد فروش</v>
      </c>
      <c r="T1805" s="1" t="str">
        <f t="shared" si="480"/>
        <v>ندارد</v>
      </c>
      <c r="U1805" s="1" t="str">
        <f>"قره باغي مجيد(1871065)"</f>
        <v>قره باغي مجيد(1871065)</v>
      </c>
      <c r="V1805" s="1">
        <v>952000021</v>
      </c>
      <c r="W1805" s="1">
        <v>952000021</v>
      </c>
      <c r="X1805" s="1" t="str">
        <f>"1395423681"</f>
        <v>1395423681</v>
      </c>
      <c r="Y1805" s="1" t="str">
        <f>"95/05/25"</f>
        <v>95/05/25</v>
      </c>
      <c r="Z1805" s="1" t="str">
        <f>"18826"</f>
        <v>18826</v>
      </c>
      <c r="AA1805" s="1" t="str">
        <f>"شهرداريها"</f>
        <v>شهرداريها</v>
      </c>
      <c r="AB1805" s="1" t="str">
        <f>"95/05/03"</f>
        <v>95/05/03</v>
      </c>
      <c r="AC1805" s="1" t="str">
        <f>"استان چهارمحال بختياري"</f>
        <v>استان چهارمحال بختياري</v>
      </c>
      <c r="AD1805" s="1" t="str">
        <f>"95/05/24"</f>
        <v>95/05/24</v>
      </c>
      <c r="AE1805" s="1" t="str">
        <f t="shared" si="472"/>
        <v>اختتام</v>
      </c>
      <c r="AF1805" s="1" t="str">
        <f>""</f>
        <v/>
      </c>
      <c r="AG1805" s="1" t="str">
        <f>""</f>
        <v/>
      </c>
      <c r="AH1805" s="1" t="str">
        <f>""</f>
        <v/>
      </c>
      <c r="AI1805" s="1" t="str">
        <f>""</f>
        <v/>
      </c>
      <c r="AJ1805" s="1" t="str">
        <f>""</f>
        <v/>
      </c>
      <c r="AK1805" s="1" t="str">
        <f>""</f>
        <v/>
      </c>
    </row>
    <row r="1806" spans="1:37" x14ac:dyDescent="0.2">
      <c r="A1806" s="1">
        <v>1000000</v>
      </c>
      <c r="B1806" s="1">
        <v>951600010</v>
      </c>
      <c r="C1806" s="1" t="str">
        <f>"تخليه -خراسان جنوبي محورديهوك راورقبل ازدوراهي نايبندان روبه روي يخسازي"</f>
        <v>تخليه -خراسان جنوبي محورديهوك راورقبل ازدوراهي نايبندان روبه روي يخسازي</v>
      </c>
      <c r="D1806" s="1">
        <v>6726</v>
      </c>
      <c r="E1806" s="1">
        <v>1000000</v>
      </c>
      <c r="F1806" s="1">
        <v>95</v>
      </c>
      <c r="G1806" s="1">
        <v>0</v>
      </c>
      <c r="H1806" s="1" t="str">
        <f>"95/05/05"</f>
        <v>95/05/05</v>
      </c>
      <c r="I1806" s="1" t="str">
        <f t="shared" si="478"/>
        <v>كيلوگرم</v>
      </c>
      <c r="J1806" s="1" t="str">
        <f>"0000000091"</f>
        <v>0000000091</v>
      </c>
      <c r="K1806" s="1" t="str">
        <f>"قير  PG64-22"</f>
        <v>قير  PG64-22</v>
      </c>
      <c r="L1806" s="1">
        <v>100</v>
      </c>
      <c r="M1806" s="1" t="str">
        <f t="shared" si="483"/>
        <v>مخازن قير اصفهان</v>
      </c>
      <c r="N1806" s="1">
        <v>10098</v>
      </c>
      <c r="O1806" s="1">
        <v>50031356</v>
      </c>
      <c r="P1806" s="1" t="str">
        <f>"  راه سازي کرمان فرا راه"</f>
        <v xml:space="preserve">  راه سازي کرمان فرا راه</v>
      </c>
      <c r="Q1806" s="1">
        <v>16</v>
      </c>
      <c r="R1806" s="1" t="str">
        <f>"فروش داخلي تهران - وزارت راه - معاونت اقتصاد"</f>
        <v>فروش داخلي تهران - وزارت راه - معاونت اقتصاد</v>
      </c>
      <c r="S1806" s="1" t="str">
        <f t="shared" si="479"/>
        <v>قرارداد فروش</v>
      </c>
      <c r="T1806" s="1" t="str">
        <f t="shared" si="480"/>
        <v>ندارد</v>
      </c>
      <c r="U1806" s="1" t="str">
        <f>"قانعي محمدرضا(1011ج89)"</f>
        <v>قانعي محمدرضا(1011ج89)</v>
      </c>
      <c r="V1806" s="1">
        <v>951600010</v>
      </c>
      <c r="W1806" s="1">
        <v>951600010</v>
      </c>
      <c r="X1806" s="1" t="str">
        <f>"1395418072"</f>
        <v>1395418072</v>
      </c>
      <c r="Y1806" s="1" t="str">
        <f>"95/05/05"</f>
        <v>95/05/05</v>
      </c>
      <c r="Z1806" s="1" t="str">
        <f>"18387/510"</f>
        <v>18387/510</v>
      </c>
      <c r="AA1806" s="1" t="str">
        <f>"معاونت اقتصادوزارت راه وشهرسازي"</f>
        <v>معاونت اقتصادوزارت راه وشهرسازي</v>
      </c>
      <c r="AB1806" s="1" t="str">
        <f>"95/04/28"</f>
        <v>95/04/28</v>
      </c>
      <c r="AC1806" s="1" t="str">
        <f>"خراسان جنوبي"</f>
        <v>خراسان جنوبي</v>
      </c>
      <c r="AD1806" s="1" t="str">
        <f>"95/05/05"</f>
        <v>95/05/05</v>
      </c>
      <c r="AE1806" s="1" t="str">
        <f t="shared" si="472"/>
        <v>اختتام</v>
      </c>
      <c r="AF1806" s="1" t="str">
        <f>""</f>
        <v/>
      </c>
      <c r="AG1806" s="1" t="str">
        <f>""</f>
        <v/>
      </c>
      <c r="AH1806" s="1" t="str">
        <f>""</f>
        <v/>
      </c>
      <c r="AI1806" s="1" t="str">
        <f>""</f>
        <v/>
      </c>
      <c r="AJ1806" s="1" t="str">
        <f>""</f>
        <v/>
      </c>
      <c r="AK1806" s="1" t="str">
        <f>""</f>
        <v/>
      </c>
    </row>
    <row r="1807" spans="1:37" x14ac:dyDescent="0.2">
      <c r="A1807" s="1">
        <v>200000</v>
      </c>
      <c r="B1807" s="1">
        <v>951900058</v>
      </c>
      <c r="C1807" s="1" t="str">
        <f>"تخليه -قزوين جاده تاكستان -همدان كيلومتريك جاده فرعي جهان آبادكارخانه آسفالت شركت نيك گسترش پايدارسازه"</f>
        <v>تخليه -قزوين جاده تاكستان -همدان كيلومتريك جاده فرعي جهان آبادكارخانه آسفالت شركت نيك گسترش پايدارسازه</v>
      </c>
      <c r="D1807" s="1">
        <v>6250</v>
      </c>
      <c r="E1807" s="1">
        <v>197680</v>
      </c>
      <c r="F1807" s="1">
        <v>95</v>
      </c>
      <c r="G1807" s="1">
        <v>2320</v>
      </c>
      <c r="H1807" s="1" t="str">
        <f>"95/04/28"</f>
        <v>95/04/28</v>
      </c>
      <c r="I1807" s="1" t="str">
        <f t="shared" si="478"/>
        <v>كيلوگرم</v>
      </c>
      <c r="J1807" s="1" t="str">
        <f>"0000000091"</f>
        <v>0000000091</v>
      </c>
      <c r="K1807" s="1" t="str">
        <f>"قير  PG64-22"</f>
        <v>قير  PG64-22</v>
      </c>
      <c r="L1807" s="1">
        <v>100</v>
      </c>
      <c r="M1807" s="1" t="str">
        <f t="shared" si="483"/>
        <v>مخازن قير اصفهان</v>
      </c>
      <c r="N1807" s="1">
        <v>10218</v>
      </c>
      <c r="O1807" s="1">
        <v>50031317</v>
      </c>
      <c r="P1807" s="1" t="str">
        <f>"  نيک گسترش پايدار سازه"</f>
        <v xml:space="preserve">  نيک گسترش پايدار سازه</v>
      </c>
      <c r="Q1807" s="1">
        <v>19</v>
      </c>
      <c r="R180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07" s="1" t="str">
        <f t="shared" si="479"/>
        <v>قرارداد فروش</v>
      </c>
      <c r="T1807" s="1" t="str">
        <f t="shared" si="480"/>
        <v>ندارد</v>
      </c>
      <c r="U1807" s="1" t="str">
        <f>"مختاري محمد(1841013)"</f>
        <v>مختاري محمد(1841013)</v>
      </c>
      <c r="V1807" s="1">
        <v>951900058</v>
      </c>
      <c r="W1807" s="1">
        <v>951900058</v>
      </c>
      <c r="X1807" s="1" t="str">
        <f>"1395416202"</f>
        <v>1395416202</v>
      </c>
      <c r="Y1807" s="1" t="str">
        <f>"95/04/28"</f>
        <v>95/04/28</v>
      </c>
      <c r="Z1807" s="1" t="str">
        <f>"17847/510"</f>
        <v>17847/510</v>
      </c>
      <c r="AA1807" s="1" t="str">
        <f>"سازمان راهداري وحمل نقل جاده اي"</f>
        <v>سازمان راهداري وحمل نقل جاده اي</v>
      </c>
      <c r="AB1807" s="1" t="str">
        <f>"95/04/26"</f>
        <v>95/04/26</v>
      </c>
      <c r="AC1807" s="1" t="str">
        <f>"قزوين"</f>
        <v>قزوين</v>
      </c>
      <c r="AD1807" s="1" t="str">
        <f>"95/04/28"</f>
        <v>95/04/28</v>
      </c>
      <c r="AE1807" s="1" t="str">
        <f t="shared" si="472"/>
        <v>اختتام</v>
      </c>
      <c r="AF1807" s="1" t="str">
        <f>""</f>
        <v/>
      </c>
      <c r="AG1807" s="1" t="str">
        <f>""</f>
        <v/>
      </c>
      <c r="AH1807" s="1" t="str">
        <f>""</f>
        <v/>
      </c>
      <c r="AI1807" s="1" t="str">
        <f>""</f>
        <v/>
      </c>
      <c r="AJ1807" s="1" t="str">
        <f>""</f>
        <v/>
      </c>
      <c r="AK1807" s="1" t="str">
        <f>""</f>
        <v/>
      </c>
    </row>
    <row r="1808" spans="1:37" x14ac:dyDescent="0.2">
      <c r="A1808" s="1">
        <v>443820</v>
      </c>
      <c r="B1808" s="1">
        <v>951600042</v>
      </c>
      <c r="C1808" s="1" t="str">
        <f>"تخليه -خراسان جنوبي -فردوس -شهرك هاشميه"</f>
        <v>تخليه -خراسان جنوبي -فردوس -شهرك هاشميه</v>
      </c>
      <c r="D1808" s="1">
        <v>8323</v>
      </c>
      <c r="E1808" s="1">
        <v>442460</v>
      </c>
      <c r="F1808" s="1">
        <v>95</v>
      </c>
      <c r="G1808" s="1">
        <v>1360</v>
      </c>
      <c r="H1808" s="1" t="str">
        <f>"95/08/08"</f>
        <v>95/08/08</v>
      </c>
      <c r="I1808" s="1" t="str">
        <f t="shared" si="478"/>
        <v>كيلوگرم</v>
      </c>
      <c r="J1808" s="1" t="str">
        <f>"0000000091"</f>
        <v>0000000091</v>
      </c>
      <c r="K1808" s="1" t="str">
        <f>"قير  PG64-22"</f>
        <v>قير  PG64-22</v>
      </c>
      <c r="L1808" s="1">
        <v>100</v>
      </c>
      <c r="M1808" s="1" t="str">
        <f t="shared" si="483"/>
        <v>مخازن قير اصفهان</v>
      </c>
      <c r="N1808" s="1">
        <v>10308</v>
      </c>
      <c r="O1808" s="1">
        <v>50032356</v>
      </c>
      <c r="P1808" s="1" t="str">
        <f>"  کوه پيما بيرجند"</f>
        <v xml:space="preserve">  کوه پيما بيرجند</v>
      </c>
      <c r="Q1808" s="1">
        <v>16</v>
      </c>
      <c r="R1808" s="1" t="str">
        <f>"فروش داخلي تهران - وزارت راه - معاونت اقتصاد"</f>
        <v>فروش داخلي تهران - وزارت راه - معاونت اقتصاد</v>
      </c>
      <c r="S1808" s="1" t="str">
        <f t="shared" si="479"/>
        <v>قرارداد فروش</v>
      </c>
      <c r="T1808" s="1" t="str">
        <f t="shared" si="480"/>
        <v>ندارد</v>
      </c>
      <c r="U1808" s="1" t="str">
        <f>"بابامحمدي عنايت اله(4844000)"</f>
        <v>بابامحمدي عنايت اله(4844000)</v>
      </c>
      <c r="V1808" s="1">
        <v>951600042</v>
      </c>
      <c r="W1808" s="1">
        <v>951600042</v>
      </c>
      <c r="X1808" s="1" t="str">
        <f>"1395430315"</f>
        <v>1395430315</v>
      </c>
      <c r="Y1808" s="1" t="str">
        <f>"95/08/08"</f>
        <v>95/08/08</v>
      </c>
      <c r="Z1808" s="1" t="str">
        <f>"28819/510"</f>
        <v>28819/510</v>
      </c>
      <c r="AA1808" s="1" t="str">
        <f>"معاونت اقتصادوزارت راه وشهرسازي"</f>
        <v>معاونت اقتصادوزارت راه وشهرسازي</v>
      </c>
      <c r="AB1808" s="1" t="str">
        <f>"95/06/16"</f>
        <v>95/06/16</v>
      </c>
      <c r="AC1808" s="1" t="str">
        <f>"خراسان جنوبي"</f>
        <v>خراسان جنوبي</v>
      </c>
      <c r="AD1808" s="1" t="str">
        <f>"95/06/17"</f>
        <v>95/06/17</v>
      </c>
      <c r="AE1808" s="1" t="str">
        <f t="shared" si="472"/>
        <v>اختتام</v>
      </c>
      <c r="AF1808" s="1" t="str">
        <f>""</f>
        <v/>
      </c>
      <c r="AG1808" s="1" t="str">
        <f>""</f>
        <v/>
      </c>
      <c r="AH1808" s="1" t="str">
        <f>""</f>
        <v/>
      </c>
      <c r="AI1808" s="1" t="str">
        <f>""</f>
        <v/>
      </c>
      <c r="AJ1808" s="1" t="str">
        <f>""</f>
        <v/>
      </c>
      <c r="AK1808" s="1" t="str">
        <f>""</f>
        <v/>
      </c>
    </row>
    <row r="1809" spans="1:37" x14ac:dyDescent="0.2">
      <c r="A1809" s="1">
        <v>49060</v>
      </c>
      <c r="B1809" s="1">
        <v>951600083</v>
      </c>
      <c r="C1809" s="1" t="str">
        <f>"تخليه خراسان جنوبي احداث محوردرح ماهيرودواريانت واحداث پل ماهيرودكارخانه فرازآب بيرجند"</f>
        <v>تخليه خراسان جنوبي احداث محوردرح ماهيرودواريانت واحداث پل ماهيرودكارخانه فرازآب بيرجند</v>
      </c>
      <c r="D1809" s="1">
        <v>9511</v>
      </c>
      <c r="E1809" s="1">
        <v>48140</v>
      </c>
      <c r="F1809" s="1">
        <v>95</v>
      </c>
      <c r="G1809" s="1">
        <v>920</v>
      </c>
      <c r="H1809" s="1" t="str">
        <f>"95/11/03"</f>
        <v>95/11/03</v>
      </c>
      <c r="I1809" s="1" t="str">
        <f t="shared" si="478"/>
        <v>كيلوگرم</v>
      </c>
      <c r="J1809" s="1" t="str">
        <f>"0000000091"</f>
        <v>0000000091</v>
      </c>
      <c r="K1809" s="1" t="str">
        <f>"قير  PG64-22"</f>
        <v>قير  PG64-22</v>
      </c>
      <c r="L1809" s="1">
        <v>100</v>
      </c>
      <c r="M1809" s="1" t="str">
        <f t="shared" si="483"/>
        <v>مخازن قير اصفهان</v>
      </c>
      <c r="N1809" s="1">
        <v>10531</v>
      </c>
      <c r="O1809" s="1">
        <v>50033455</v>
      </c>
      <c r="P1809" s="1" t="str">
        <f>"  اساس سازه شرق بيرجند"</f>
        <v xml:space="preserve">  اساس سازه شرق بيرجند</v>
      </c>
      <c r="Q1809" s="1">
        <v>16</v>
      </c>
      <c r="R1809" s="1" t="str">
        <f>"فروش داخلي تهران - وزارت راه - معاونت اقتصاد"</f>
        <v>فروش داخلي تهران - وزارت راه - معاونت اقتصاد</v>
      </c>
      <c r="S1809" s="1" t="str">
        <f t="shared" si="479"/>
        <v>قرارداد فروش</v>
      </c>
      <c r="T1809" s="1" t="str">
        <f t="shared" si="480"/>
        <v>ندارد</v>
      </c>
      <c r="U1809" s="1" t="str">
        <f>"عزيزي صفر(1006ج 89)"</f>
        <v>عزيزي صفر(1006ج 89)</v>
      </c>
      <c r="V1809" s="1">
        <v>951600083</v>
      </c>
      <c r="W1809" s="1">
        <v>951600083</v>
      </c>
      <c r="X1809" s="1" t="str">
        <f>"1395457634"</f>
        <v>1395457634</v>
      </c>
      <c r="Y1809" s="1" t="str">
        <f>"95/11/03"</f>
        <v>95/11/03</v>
      </c>
      <c r="Z1809" s="1" t="str">
        <f>"50881/710"</f>
        <v>50881/710</v>
      </c>
      <c r="AA1809" s="1" t="str">
        <f>"معاونت اقتصادوزارت راه وشهرسازي"</f>
        <v>معاونت اقتصادوزارت راه وشهرسازي</v>
      </c>
      <c r="AB1809" s="1" t="str">
        <f>"95/10/15"</f>
        <v>95/10/15</v>
      </c>
      <c r="AC1809" s="1" t="str">
        <f>"خراسان جنوبي"</f>
        <v>خراسان جنوبي</v>
      </c>
      <c r="AD1809" s="1" t="str">
        <f>"95/10/19"</f>
        <v>95/10/19</v>
      </c>
      <c r="AE1809" s="1" t="str">
        <f t="shared" si="472"/>
        <v>اختتام</v>
      </c>
      <c r="AF1809" s="1" t="str">
        <f>""</f>
        <v/>
      </c>
      <c r="AG1809" s="1" t="str">
        <f>""</f>
        <v/>
      </c>
      <c r="AH1809" s="1" t="str">
        <f>""</f>
        <v/>
      </c>
      <c r="AI1809" s="1" t="str">
        <f>""</f>
        <v/>
      </c>
      <c r="AJ1809" s="1" t="str">
        <f>""</f>
        <v/>
      </c>
      <c r="AK1809" s="1" t="str">
        <f>""</f>
        <v/>
      </c>
    </row>
    <row r="1810" spans="1:37" x14ac:dyDescent="0.2">
      <c r="A1810" s="1">
        <v>653000</v>
      </c>
      <c r="B1810" s="1">
        <v>956200073</v>
      </c>
      <c r="C1810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810" s="1">
        <v>6876</v>
      </c>
      <c r="E1810" s="1">
        <v>652120</v>
      </c>
      <c r="F1810" s="1">
        <v>95</v>
      </c>
      <c r="G1810" s="1">
        <v>880</v>
      </c>
      <c r="H1810" s="1" t="str">
        <f>"95/06/16"</f>
        <v>95/06/16</v>
      </c>
      <c r="I1810" s="1" t="str">
        <f t="shared" si="478"/>
        <v>كيلوگرم</v>
      </c>
      <c r="J1810" s="1" t="str">
        <f>"1000000002"</f>
        <v>1000000002</v>
      </c>
      <c r="K1810" s="1" t="str">
        <f>"قير 85/100 - فله"</f>
        <v>قير 85/100 - فله</v>
      </c>
      <c r="L1810" s="1">
        <v>100</v>
      </c>
      <c r="M1810" s="1" t="str">
        <f t="shared" si="483"/>
        <v>مخازن قير اصفهان</v>
      </c>
      <c r="N1810" s="1">
        <v>9777</v>
      </c>
      <c r="O1810" s="1">
        <v>50031813</v>
      </c>
      <c r="P1810" s="1" t="str">
        <f>"  كاويان سازان كوهستان"</f>
        <v xml:space="preserve">  كاويان سازان كوهستان</v>
      </c>
      <c r="Q1810" s="1">
        <v>62</v>
      </c>
      <c r="R1810" s="1" t="str">
        <f>"فروش داخلي - سازمان بنيادمسكن انقلاب اسلامي"</f>
        <v>فروش داخلي - سازمان بنيادمسكن انقلاب اسلامي</v>
      </c>
      <c r="S1810" s="1" t="str">
        <f t="shared" si="479"/>
        <v>قرارداد فروش</v>
      </c>
      <c r="T1810" s="1" t="str">
        <f t="shared" si="480"/>
        <v>ندارد</v>
      </c>
      <c r="U1810" s="1" t="str">
        <f>"قره باغي مجيد(1871065)"</f>
        <v>قره باغي مجيد(1871065)</v>
      </c>
      <c r="V1810" s="1">
        <v>956200073</v>
      </c>
      <c r="W1810" s="1">
        <v>956200073</v>
      </c>
      <c r="X1810" s="1" t="str">
        <f>"1395429278"</f>
        <v>1395429278</v>
      </c>
      <c r="Y1810" s="1" t="str">
        <f>"95/06/16"</f>
        <v>95/06/16</v>
      </c>
      <c r="Z1810" s="1" t="str">
        <f>"24919/د"</f>
        <v>24919/د</v>
      </c>
      <c r="AA1810" s="1" t="str">
        <f>"بنيادمسكن انقلاب اسلامي"</f>
        <v>بنيادمسكن انقلاب اسلامي</v>
      </c>
      <c r="AB1810" s="1" t="str">
        <f>"95/06/16"</f>
        <v>95/06/16</v>
      </c>
      <c r="AC1810" s="1" t="str">
        <f>"استان چهارمحال بختياري"</f>
        <v>استان چهارمحال بختياري</v>
      </c>
      <c r="AD1810" s="1" t="str">
        <f>"95/06/16"</f>
        <v>95/06/16</v>
      </c>
      <c r="AE1810" s="1" t="str">
        <f t="shared" si="472"/>
        <v>اختتام</v>
      </c>
      <c r="AF1810" s="1" t="str">
        <f>""</f>
        <v/>
      </c>
      <c r="AG1810" s="1" t="str">
        <f>""</f>
        <v/>
      </c>
      <c r="AH1810" s="1" t="str">
        <f>""</f>
        <v/>
      </c>
      <c r="AI1810" s="1" t="str">
        <f>""</f>
        <v/>
      </c>
      <c r="AJ1810" s="1" t="str">
        <f>""</f>
        <v/>
      </c>
      <c r="AK1810" s="1" t="str">
        <f>""</f>
        <v/>
      </c>
    </row>
    <row r="1811" spans="1:37" x14ac:dyDescent="0.2">
      <c r="A1811" s="1">
        <v>177640</v>
      </c>
      <c r="B1811" s="1">
        <v>951900249</v>
      </c>
      <c r="C1811" s="1" t="str">
        <f>"تخليه -كهگيلويه وبويراحمد-كارخانه آسفالت زارع ومظفرواقع درورودي دهدشت -خيرآباد"</f>
        <v>تخليه -كهگيلويه وبويراحمد-كارخانه آسفالت زارع ومظفرواقع درورودي دهدشت -خيرآباد</v>
      </c>
      <c r="D1811" s="1">
        <v>8998</v>
      </c>
      <c r="E1811" s="1">
        <v>177100</v>
      </c>
      <c r="F1811" s="1">
        <v>95</v>
      </c>
      <c r="G1811" s="1">
        <v>540</v>
      </c>
      <c r="H1811" s="1" t="str">
        <f>"95/11/03"</f>
        <v>95/11/03</v>
      </c>
      <c r="I1811" s="1" t="str">
        <f t="shared" si="478"/>
        <v>كيلوگرم</v>
      </c>
      <c r="J1811" s="1" t="str">
        <f>"0000000091"</f>
        <v>0000000091</v>
      </c>
      <c r="K1811" s="1" t="str">
        <f>"قير  PG64-22"</f>
        <v>قير  PG64-22</v>
      </c>
      <c r="L1811" s="1">
        <v>100</v>
      </c>
      <c r="M1811" s="1" t="str">
        <f t="shared" si="483"/>
        <v>مخازن قير اصفهان</v>
      </c>
      <c r="N1811" s="1">
        <v>10686</v>
      </c>
      <c r="O1811" s="1">
        <v>50033463</v>
      </c>
      <c r="P1811" s="1" t="str">
        <f>"  عمارت گسترآويشن"</f>
        <v xml:space="preserve">  عمارت گسترآويشن</v>
      </c>
      <c r="Q1811" s="1">
        <v>19</v>
      </c>
      <c r="R18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1" s="1" t="str">
        <f t="shared" si="479"/>
        <v>قرارداد فروش</v>
      </c>
      <c r="T1811" s="1" t="str">
        <f t="shared" si="480"/>
        <v>ندارد</v>
      </c>
      <c r="U1811" s="1" t="str">
        <f>"غلام نجفي سيامك‌‌‌‌‌‌(1881082)"</f>
        <v>غلام نجفي سيامك‌‌‌‌‌‌(1881082)</v>
      </c>
      <c r="V1811" s="1">
        <v>951900249</v>
      </c>
      <c r="W1811" s="1">
        <v>951900249</v>
      </c>
      <c r="X1811" s="1" t="str">
        <f>"1395414111"</f>
        <v>1395414111</v>
      </c>
      <c r="Y1811" s="1" t="str">
        <f>"95/11/03"</f>
        <v>95/11/03</v>
      </c>
      <c r="Z1811" s="1" t="str">
        <f>"15885/510"</f>
        <v>15885/510</v>
      </c>
      <c r="AA1811" s="1" t="str">
        <f>"سازمان راهداري وحمل نقل جاده اي"</f>
        <v>سازمان راهداري وحمل نقل جاده اي</v>
      </c>
      <c r="AB1811" s="1" t="str">
        <f>"95/04/13"</f>
        <v>95/04/13</v>
      </c>
      <c r="AC1811" s="1" t="str">
        <f>"كهكيلويه و بوير احمد"</f>
        <v>كهكيلويه و بوير احمد</v>
      </c>
      <c r="AD1811" s="1" t="str">
        <f>"95/04/19"</f>
        <v>95/04/19</v>
      </c>
      <c r="AE1811" s="1" t="str">
        <f t="shared" si="472"/>
        <v>اختتام</v>
      </c>
      <c r="AF1811" s="1" t="str">
        <f>""</f>
        <v/>
      </c>
      <c r="AG1811" s="1" t="str">
        <f>""</f>
        <v/>
      </c>
      <c r="AH1811" s="1" t="str">
        <f>""</f>
        <v/>
      </c>
      <c r="AI1811" s="1" t="str">
        <f>""</f>
        <v/>
      </c>
      <c r="AJ1811" s="1" t="str">
        <f>""</f>
        <v/>
      </c>
      <c r="AK1811" s="1" t="str">
        <f>""</f>
        <v/>
      </c>
    </row>
    <row r="1812" spans="1:37" x14ac:dyDescent="0.2">
      <c r="A1812" s="1">
        <v>500000</v>
      </c>
      <c r="B1812" s="1">
        <v>951900306</v>
      </c>
      <c r="C1812" s="1" t="str">
        <f>"تخليه كرمانشاه كيلومتر12جاده سراب نيلوفرسه راهي شاهيني كارخانه آسفالت سازه آفرين كردستان"</f>
        <v>تخليه كرمانشاه كيلومتر12جاده سراب نيلوفرسه راهي شاهيني كارخانه آسفالت سازه آفرين كردستان</v>
      </c>
      <c r="D1812" s="1">
        <v>8348</v>
      </c>
      <c r="E1812" s="1">
        <v>498300</v>
      </c>
      <c r="F1812" s="1">
        <v>95</v>
      </c>
      <c r="G1812" s="1">
        <v>1700</v>
      </c>
      <c r="H1812" s="1" t="str">
        <f>"95/12/23"</f>
        <v>95/12/23</v>
      </c>
      <c r="I1812" s="1" t="str">
        <f t="shared" si="478"/>
        <v>كيلوگرم</v>
      </c>
      <c r="J1812" s="1" t="str">
        <f>"0000000091"</f>
        <v>0000000091</v>
      </c>
      <c r="K1812" s="1" t="str">
        <f>"قير  PG64-22"</f>
        <v>قير  PG64-22</v>
      </c>
      <c r="L1812" s="1">
        <v>100</v>
      </c>
      <c r="M1812" s="1" t="str">
        <f t="shared" si="483"/>
        <v>مخازن قير اصفهان</v>
      </c>
      <c r="N1812" s="1">
        <v>10916</v>
      </c>
      <c r="O1812" s="1">
        <v>50034156</v>
      </c>
      <c r="P1812" s="1" t="str">
        <f>"  سازه آفرين كردستان"</f>
        <v xml:space="preserve">  سازه آفرين كردستان</v>
      </c>
      <c r="Q1812" s="1">
        <v>19</v>
      </c>
      <c r="R18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2" s="1" t="str">
        <f t="shared" si="479"/>
        <v>قرارداد فروش</v>
      </c>
      <c r="T1812" s="1" t="str">
        <f t="shared" si="480"/>
        <v>ندارد</v>
      </c>
      <c r="U1812" s="1" t="str">
        <f>"ميهن دوست عبداله(2842010)"</f>
        <v>ميهن دوست عبداله(2842010)</v>
      </c>
      <c r="V1812" s="1">
        <v>951900306</v>
      </c>
      <c r="W1812" s="1">
        <v>951900306</v>
      </c>
      <c r="X1812" s="1" t="str">
        <f>"1395470872"</f>
        <v>1395470872</v>
      </c>
      <c r="Y1812" s="1" t="str">
        <f>"95/12/23"</f>
        <v>95/12/23</v>
      </c>
      <c r="Z1812" s="1" t="str">
        <f>"65757/710"</f>
        <v>65757/710</v>
      </c>
      <c r="AA1812" s="1" t="str">
        <f>"سازمان راهداري وحمل نقل جاده اي"</f>
        <v>سازمان راهداري وحمل نقل جاده اي</v>
      </c>
      <c r="AB1812" s="1" t="str">
        <f>"95/12/22"</f>
        <v>95/12/22</v>
      </c>
      <c r="AC1812" s="1" t="str">
        <f>"استان كرمانشاه"</f>
        <v>استان كرمانشاه</v>
      </c>
      <c r="AD1812" s="1" t="str">
        <f>"95/12/23"</f>
        <v>95/12/23</v>
      </c>
      <c r="AE1812" s="1" t="str">
        <f t="shared" si="472"/>
        <v>اختتام</v>
      </c>
      <c r="AF1812" s="1" t="str">
        <f>""</f>
        <v/>
      </c>
      <c r="AG1812" s="1" t="str">
        <f>""</f>
        <v/>
      </c>
      <c r="AH1812" s="1" t="str">
        <f>""</f>
        <v/>
      </c>
      <c r="AI1812" s="1" t="str">
        <f>""</f>
        <v/>
      </c>
      <c r="AJ1812" s="1" t="str">
        <f>""</f>
        <v/>
      </c>
      <c r="AK1812" s="1" t="str">
        <f>""</f>
        <v/>
      </c>
    </row>
    <row r="1813" spans="1:37" x14ac:dyDescent="0.2">
      <c r="A1813" s="1">
        <v>119000</v>
      </c>
      <c r="B1813" s="1">
        <v>956200352</v>
      </c>
      <c r="C1813" s="1" t="str">
        <f>"تخليه -چهارمحال وبختياري -شهرستان كيارجاده ايذه -جنب تونل ناغان -كارخانه آسفالت اتحادناغان"</f>
        <v>تخليه -چهارمحال وبختياري -شهرستان كيارجاده ايذه -جنب تونل ناغان -كارخانه آسفالت اتحادناغان</v>
      </c>
      <c r="D1813" s="1">
        <v>8848</v>
      </c>
      <c r="E1813" s="1">
        <v>118940</v>
      </c>
      <c r="F1813" s="1">
        <v>95</v>
      </c>
      <c r="G1813" s="1">
        <v>60</v>
      </c>
      <c r="H1813" s="1" t="str">
        <f>"95/12/22"</f>
        <v>95/12/22</v>
      </c>
      <c r="I1813" s="1" t="str">
        <f t="shared" si="478"/>
        <v>كيلوگرم</v>
      </c>
      <c r="J1813" s="1" t="str">
        <f>"1000000002"</f>
        <v>1000000002</v>
      </c>
      <c r="K1813" s="1" t="str">
        <f>"قير 85/100 - فله"</f>
        <v>قير 85/100 - فله</v>
      </c>
      <c r="L1813" s="1">
        <v>100</v>
      </c>
      <c r="M1813" s="1" t="str">
        <f t="shared" si="483"/>
        <v>مخازن قير اصفهان</v>
      </c>
      <c r="N1813" s="1">
        <v>10203</v>
      </c>
      <c r="O1813" s="1">
        <v>50034134</v>
      </c>
      <c r="P1813" s="1" t="str">
        <f>"  پارساکوشان زاگرس"</f>
        <v xml:space="preserve">  پارساکوشان زاگرس</v>
      </c>
      <c r="Q1813" s="1">
        <v>62</v>
      </c>
      <c r="R1813" s="1" t="str">
        <f>"فروش داخلي - سازمان بنيادمسكن انقلاب اسلامي"</f>
        <v>فروش داخلي - سازمان بنيادمسكن انقلاب اسلامي</v>
      </c>
      <c r="S1813" s="1" t="str">
        <f t="shared" si="479"/>
        <v>قرارداد فروش</v>
      </c>
      <c r="T1813" s="1" t="str">
        <f t="shared" si="480"/>
        <v>ندارد</v>
      </c>
      <c r="U1813" s="1" t="str">
        <f>"قره باغي مجيد(1871065)"</f>
        <v>قره باغي مجيد(1871065)</v>
      </c>
      <c r="V1813" s="1">
        <v>956200352</v>
      </c>
      <c r="W1813" s="1">
        <v>956200352</v>
      </c>
      <c r="X1813" s="1" t="str">
        <f>"1395470441"</f>
        <v>1395470441</v>
      </c>
      <c r="Y1813" s="1" t="str">
        <f>"95/12/22"</f>
        <v>95/12/22</v>
      </c>
      <c r="Z1813" s="1" t="str">
        <f>"56764/د"</f>
        <v>56764/د</v>
      </c>
      <c r="AA1813" s="1" t="str">
        <f>"بنيادمسكن انقلاب اسلامي"</f>
        <v>بنيادمسكن انقلاب اسلامي</v>
      </c>
      <c r="AB1813" s="1" t="str">
        <f>"95/12/21"</f>
        <v>95/12/21</v>
      </c>
      <c r="AC1813" s="1" t="str">
        <f>"استان چهارمحال بختياري"</f>
        <v>استان چهارمحال بختياري</v>
      </c>
      <c r="AD1813" s="1" t="str">
        <f>"95/12/22"</f>
        <v>95/12/22</v>
      </c>
      <c r="AE1813" s="1" t="str">
        <f t="shared" si="472"/>
        <v>اختتام</v>
      </c>
      <c r="AF1813" s="1" t="str">
        <f>""</f>
        <v/>
      </c>
      <c r="AG1813" s="1" t="str">
        <f>""</f>
        <v/>
      </c>
      <c r="AH1813" s="1" t="str">
        <f>""</f>
        <v/>
      </c>
      <c r="AI1813" s="1" t="str">
        <f>""</f>
        <v/>
      </c>
      <c r="AJ1813" s="1" t="str">
        <f>""</f>
        <v/>
      </c>
      <c r="AK1813" s="1" t="str">
        <f>""</f>
        <v/>
      </c>
    </row>
    <row r="1814" spans="1:37" x14ac:dyDescent="0.2">
      <c r="A1814" s="1">
        <v>250000</v>
      </c>
      <c r="B1814" s="1">
        <v>951900052</v>
      </c>
      <c r="C1814" s="1" t="str">
        <f>"تخليه -كردستان كيلومتر30جاده سنندج -مريوان سه راهي تودار-كارخانه آسفالت وزيري"</f>
        <v>تخليه -كردستان كيلومتر30جاده سنندج -مريوان سه راهي تودار-كارخانه آسفالت وزيري</v>
      </c>
      <c r="D1814" s="1">
        <v>6250</v>
      </c>
      <c r="E1814" s="1">
        <v>249820</v>
      </c>
      <c r="F1814" s="1">
        <v>95</v>
      </c>
      <c r="G1814" s="1">
        <v>180</v>
      </c>
      <c r="H1814" s="1" t="str">
        <f>"95/04/27"</f>
        <v>95/04/27</v>
      </c>
      <c r="I1814" s="1" t="str">
        <f t="shared" si="478"/>
        <v>كيلوگرم</v>
      </c>
      <c r="J1814" s="1" t="str">
        <f t="shared" ref="J1814:J1820" si="484">"0000000091"</f>
        <v>0000000091</v>
      </c>
      <c r="K1814" s="1" t="str">
        <f t="shared" ref="K1814:K1820" si="485">"قير  PG64-22"</f>
        <v>قير  PG64-22</v>
      </c>
      <c r="L1814" s="1">
        <v>100</v>
      </c>
      <c r="M1814" s="1" t="str">
        <f t="shared" si="483"/>
        <v>مخازن قير اصفهان</v>
      </c>
      <c r="N1814" s="1">
        <v>10930</v>
      </c>
      <c r="O1814" s="1">
        <v>50031300</v>
      </c>
      <c r="P1814" s="1" t="str">
        <f>"  تعاوني 1296خدمات عمراني وتاسيسات برقي"</f>
        <v xml:space="preserve">  تعاوني 1296خدمات عمراني وتاسيسات برقي</v>
      </c>
      <c r="Q1814" s="1">
        <v>19</v>
      </c>
      <c r="R18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4" s="1" t="str">
        <f t="shared" si="479"/>
        <v>قرارداد فروش</v>
      </c>
      <c r="T1814" s="1" t="str">
        <f t="shared" si="480"/>
        <v>ندارد</v>
      </c>
      <c r="U1814" s="1" t="str">
        <f>"قنبري امين(2872037)"</f>
        <v>قنبري امين(2872037)</v>
      </c>
      <c r="V1814" s="1">
        <v>951900052</v>
      </c>
      <c r="W1814" s="1">
        <v>951900052</v>
      </c>
      <c r="X1814" s="1" t="str">
        <f>"1395416019"</f>
        <v>1395416019</v>
      </c>
      <c r="Y1814" s="1" t="str">
        <f>"95/04/27"</f>
        <v>95/04/27</v>
      </c>
      <c r="Z1814" s="1" t="str">
        <f>"17123/510"</f>
        <v>17123/510</v>
      </c>
      <c r="AA1814" s="1" t="str">
        <f>"سازمان راهداري وحمل نقل جاده اي"</f>
        <v>سازمان راهداري وحمل نقل جاده اي</v>
      </c>
      <c r="AB1814" s="1" t="str">
        <f>"95/04/21"</f>
        <v>95/04/21</v>
      </c>
      <c r="AC1814" s="1" t="str">
        <f>"استان كردستان"</f>
        <v>استان كردستان</v>
      </c>
      <c r="AD1814" s="1" t="str">
        <f>"95/04/27"</f>
        <v>95/04/27</v>
      </c>
      <c r="AE1814" s="1" t="str">
        <f t="shared" si="472"/>
        <v>اختتام</v>
      </c>
      <c r="AF1814" s="1" t="str">
        <f>""</f>
        <v/>
      </c>
      <c r="AG1814" s="1" t="str">
        <f>""</f>
        <v/>
      </c>
      <c r="AH1814" s="1" t="str">
        <f>""</f>
        <v/>
      </c>
      <c r="AI1814" s="1" t="str">
        <f>""</f>
        <v/>
      </c>
      <c r="AJ1814" s="1" t="str">
        <f>""</f>
        <v/>
      </c>
      <c r="AK1814" s="1" t="str">
        <f>""</f>
        <v/>
      </c>
    </row>
    <row r="1815" spans="1:37" x14ac:dyDescent="0.2">
      <c r="A1815" s="1">
        <v>110000</v>
      </c>
      <c r="B1815" s="1">
        <v>951400063</v>
      </c>
      <c r="C1815" s="1" t="str">
        <f>"تخليه -کرمانشاه- دينور- کارخانه آسفالت دره سبز برناج"</f>
        <v>تخليه -کرمانشاه- دينور- کارخانه آسفالت دره سبز برناج</v>
      </c>
      <c r="D1815" s="1">
        <v>7176</v>
      </c>
      <c r="E1815" s="1">
        <v>109040</v>
      </c>
      <c r="F1815" s="1">
        <v>95</v>
      </c>
      <c r="G1815" s="1">
        <v>960</v>
      </c>
      <c r="H1815" s="1" t="str">
        <f>"95/06/08"</f>
        <v>95/06/08</v>
      </c>
      <c r="I1815" s="1" t="str">
        <f t="shared" si="478"/>
        <v>كيلوگرم</v>
      </c>
      <c r="J1815" s="1" t="str">
        <f t="shared" si="484"/>
        <v>0000000091</v>
      </c>
      <c r="K1815" s="1" t="str">
        <f t="shared" si="485"/>
        <v>قير  PG64-22</v>
      </c>
      <c r="L1815" s="1">
        <v>100</v>
      </c>
      <c r="M1815" s="1" t="str">
        <f t="shared" si="483"/>
        <v>مخازن قير اصفهان</v>
      </c>
      <c r="N1815" s="1">
        <v>11033</v>
      </c>
      <c r="O1815" s="1">
        <v>50031707</v>
      </c>
      <c r="P1815" s="1" t="str">
        <f>"  مرمت گران راه گستر"</f>
        <v xml:space="preserve">  مرمت گران راه گستر</v>
      </c>
      <c r="Q1815" s="1">
        <v>14</v>
      </c>
      <c r="R1815" s="1" t="str">
        <f>"فروش داخلي - وزارت راه - حوزه راه روستايي ساخت"</f>
        <v>فروش داخلي - وزارت راه - حوزه راه روستايي ساخت</v>
      </c>
      <c r="S1815" s="1" t="str">
        <f t="shared" si="479"/>
        <v>قرارداد فروش</v>
      </c>
      <c r="T1815" s="1" t="str">
        <f t="shared" si="480"/>
        <v>ندارد</v>
      </c>
      <c r="U1815" s="1" t="str">
        <f>"حاجيلوئي علي اصغر(2842019)"</f>
        <v>حاجيلوئي علي اصغر(2842019)</v>
      </c>
      <c r="V1815" s="1">
        <v>951400063</v>
      </c>
      <c r="W1815" s="1">
        <v>951400063</v>
      </c>
      <c r="X1815" s="1" t="str">
        <f>"1395427144"</f>
        <v>1395427144</v>
      </c>
      <c r="Y1815" s="1" t="str">
        <f>"95/06/08"</f>
        <v>95/06/08</v>
      </c>
      <c r="Z1815" s="1" t="str">
        <f>"18802/510"</f>
        <v>18802/510</v>
      </c>
      <c r="AA1815" s="1" t="str">
        <f>"راه وروستايي -ساخت"</f>
        <v>راه وروستايي -ساخت</v>
      </c>
      <c r="AB1815" s="1" t="str">
        <f>"95/04/29"</f>
        <v>95/04/29</v>
      </c>
      <c r="AC1815" s="1" t="str">
        <f>"استان كرمانشاه"</f>
        <v>استان كرمانشاه</v>
      </c>
      <c r="AD1815" s="1" t="str">
        <f>"95/06/07"</f>
        <v>95/06/07</v>
      </c>
      <c r="AE1815" s="1" t="str">
        <f t="shared" si="472"/>
        <v>اختتام</v>
      </c>
      <c r="AF1815" s="1" t="str">
        <f>""</f>
        <v/>
      </c>
      <c r="AG1815" s="1" t="str">
        <f>""</f>
        <v/>
      </c>
      <c r="AH1815" s="1" t="str">
        <f>""</f>
        <v/>
      </c>
      <c r="AI1815" s="1" t="str">
        <f>""</f>
        <v/>
      </c>
      <c r="AJ1815" s="1" t="str">
        <f>""</f>
        <v/>
      </c>
      <c r="AK1815" s="1" t="str">
        <f>""</f>
        <v/>
      </c>
    </row>
    <row r="1816" spans="1:37" x14ac:dyDescent="0.2">
      <c r="A1816" s="1">
        <v>45000</v>
      </c>
      <c r="B1816" s="1">
        <v>951600053</v>
      </c>
      <c r="C1816" s="1" t="str">
        <f>"تخليه - خراسان جنوبي -پروژه احداث بزرگراه شهيد کلانتري (قطعه يک کمربندي شرقي بيرجند)شرکت جهان راه"</f>
        <v>تخليه - خراسان جنوبي -پروژه احداث بزرگراه شهيد کلانتري (قطعه يک کمربندي شرقي بيرجند)شرکت جهان راه</v>
      </c>
      <c r="D1816" s="1">
        <v>7276</v>
      </c>
      <c r="E1816" s="1">
        <v>44680</v>
      </c>
      <c r="F1816" s="1">
        <v>95</v>
      </c>
      <c r="G1816" s="1">
        <v>320</v>
      </c>
      <c r="H1816" s="1" t="str">
        <f>"95/09/06"</f>
        <v>95/09/06</v>
      </c>
      <c r="I1816" s="1" t="str">
        <f t="shared" si="478"/>
        <v>كيلوگرم</v>
      </c>
      <c r="J1816" s="1" t="str">
        <f t="shared" si="484"/>
        <v>0000000091</v>
      </c>
      <c r="K1816" s="1" t="str">
        <f t="shared" si="485"/>
        <v>قير  PG64-22</v>
      </c>
      <c r="L1816" s="1">
        <v>100</v>
      </c>
      <c r="M1816" s="1" t="str">
        <f t="shared" si="483"/>
        <v>مخازن قير اصفهان</v>
      </c>
      <c r="N1816" s="1">
        <v>11037</v>
      </c>
      <c r="O1816" s="1">
        <v>50032690</v>
      </c>
      <c r="P1816" s="1" t="str">
        <f>"  مهندسي عمران پيام طوس"</f>
        <v xml:space="preserve">  مهندسي عمران پيام طوس</v>
      </c>
      <c r="Q1816" s="1">
        <v>16</v>
      </c>
      <c r="R1816" s="1" t="str">
        <f>"فروش داخلي تهران - وزارت راه - معاونت اقتصاد"</f>
        <v>فروش داخلي تهران - وزارت راه - معاونت اقتصاد</v>
      </c>
      <c r="S1816" s="1" t="str">
        <f t="shared" si="479"/>
        <v>قرارداد فروش</v>
      </c>
      <c r="T1816" s="1" t="str">
        <f t="shared" si="480"/>
        <v>ندارد</v>
      </c>
      <c r="U1816" s="1" t="str">
        <f>"بابامحمدي عنايت اله(4844000)"</f>
        <v>بابامحمدي عنايت اله(4844000)</v>
      </c>
      <c r="V1816" s="1">
        <v>951600053</v>
      </c>
      <c r="W1816" s="1">
        <v>951600053</v>
      </c>
      <c r="X1816" s="1" t="str">
        <f>"1395447619"</f>
        <v>1395447619</v>
      </c>
      <c r="Y1816" s="1" t="str">
        <f>"95/09/06"</f>
        <v>95/09/06</v>
      </c>
      <c r="Z1816" s="1" t="str">
        <f>"38723/710"</f>
        <v>38723/710</v>
      </c>
      <c r="AA1816" s="1" t="str">
        <f>"معاونت اقتصادوزارت راه وشهرسازي"</f>
        <v>معاونت اقتصادوزارت راه وشهرسازي</v>
      </c>
      <c r="AB1816" s="1" t="str">
        <f>"95/08/11"</f>
        <v>95/08/11</v>
      </c>
      <c r="AC1816" s="1" t="str">
        <f>"خراسان جنوبي"</f>
        <v>خراسان جنوبي</v>
      </c>
      <c r="AD1816" s="1" t="str">
        <f>"95/09/06"</f>
        <v>95/09/06</v>
      </c>
      <c r="AE1816" s="1" t="str">
        <f t="shared" si="472"/>
        <v>اختتام</v>
      </c>
      <c r="AF1816" s="1" t="str">
        <f>""</f>
        <v/>
      </c>
      <c r="AG1816" s="1" t="str">
        <f>""</f>
        <v/>
      </c>
      <c r="AH1816" s="1" t="str">
        <f>""</f>
        <v/>
      </c>
      <c r="AI1816" s="1" t="str">
        <f>""</f>
        <v/>
      </c>
      <c r="AJ1816" s="1" t="str">
        <f>""</f>
        <v/>
      </c>
      <c r="AK1816" s="1" t="str">
        <f>""</f>
        <v/>
      </c>
    </row>
    <row r="1817" spans="1:37" x14ac:dyDescent="0.2">
      <c r="A1817" s="1">
        <v>150000</v>
      </c>
      <c r="B1817" s="1">
        <v>951400125</v>
      </c>
      <c r="C1817" s="1" t="str">
        <f>"كهگيلويه وبويراحمدكارخانه آسفالت شهرداري چرام"</f>
        <v>كهگيلويه وبويراحمدكارخانه آسفالت شهرداري چرام</v>
      </c>
      <c r="D1817" s="1">
        <v>9061</v>
      </c>
      <c r="E1817" s="1">
        <v>149420</v>
      </c>
      <c r="F1817" s="1">
        <v>95</v>
      </c>
      <c r="G1817" s="1">
        <v>580</v>
      </c>
      <c r="H1817" s="1" t="str">
        <f>"95/10/20"</f>
        <v>95/10/20</v>
      </c>
      <c r="I1817" s="1" t="str">
        <f t="shared" si="478"/>
        <v>كيلوگرم</v>
      </c>
      <c r="J1817" s="1" t="str">
        <f t="shared" si="484"/>
        <v>0000000091</v>
      </c>
      <c r="K1817" s="1" t="str">
        <f t="shared" si="485"/>
        <v>قير  PG64-22</v>
      </c>
      <c r="L1817" s="1">
        <v>100</v>
      </c>
      <c r="M1817" s="1" t="str">
        <f t="shared" si="483"/>
        <v>مخازن قير اصفهان</v>
      </c>
      <c r="N1817" s="1">
        <v>11050</v>
      </c>
      <c r="O1817" s="1">
        <v>50033341</v>
      </c>
      <c r="P1817" s="1" t="str">
        <f>"  طلوع سهندآريا"</f>
        <v xml:space="preserve">  طلوع سهندآريا</v>
      </c>
      <c r="Q1817" s="1">
        <v>14</v>
      </c>
      <c r="R1817" s="1" t="str">
        <f>"فروش داخلي - وزارت راه - حوزه راه روستايي ساخت"</f>
        <v>فروش داخلي - وزارت راه - حوزه راه روستايي ساخت</v>
      </c>
      <c r="S1817" s="1" t="str">
        <f t="shared" si="479"/>
        <v>قرارداد فروش</v>
      </c>
      <c r="T1817" s="1" t="str">
        <f t="shared" si="480"/>
        <v>ندارد</v>
      </c>
      <c r="U1817" s="1" t="str">
        <f>"دشت بشي پودنگ وبرادران رضا(4844014)"</f>
        <v>دشت بشي پودنگ وبرادران رضا(4844014)</v>
      </c>
      <c r="V1817" s="1">
        <v>951400125</v>
      </c>
      <c r="W1817" s="1">
        <v>951400125</v>
      </c>
      <c r="X1817" s="1" t="str">
        <f>"1395457718"</f>
        <v>1395457718</v>
      </c>
      <c r="Y1817" s="1" t="str">
        <f>"95/10/20"</f>
        <v>95/10/20</v>
      </c>
      <c r="Z1817" s="1" t="str">
        <f>"50886/710"</f>
        <v>50886/710</v>
      </c>
      <c r="AA1817" s="1" t="str">
        <f>"راه وروستايي -ساخت"</f>
        <v>راه وروستايي -ساخت</v>
      </c>
      <c r="AB1817" s="1" t="str">
        <f>"95/10/15"</f>
        <v>95/10/15</v>
      </c>
      <c r="AC1817" s="1" t="str">
        <f>"كهكيلويه و بوير احمد"</f>
        <v>كهكيلويه و بوير احمد</v>
      </c>
      <c r="AD1817" s="1" t="str">
        <f>"95/10/20"</f>
        <v>95/10/20</v>
      </c>
      <c r="AE1817" s="1" t="str">
        <f t="shared" si="472"/>
        <v>اختتام</v>
      </c>
      <c r="AF1817" s="1" t="str">
        <f>""</f>
        <v/>
      </c>
      <c r="AG1817" s="1" t="str">
        <f>""</f>
        <v/>
      </c>
      <c r="AH1817" s="1" t="str">
        <f>""</f>
        <v/>
      </c>
      <c r="AI1817" s="1" t="str">
        <f>""</f>
        <v/>
      </c>
      <c r="AJ1817" s="1" t="str">
        <f>""</f>
        <v/>
      </c>
      <c r="AK1817" s="1" t="str">
        <f>""</f>
        <v/>
      </c>
    </row>
    <row r="1818" spans="1:37" x14ac:dyDescent="0.2">
      <c r="A1818" s="1">
        <v>452000</v>
      </c>
      <c r="B1818" s="1">
        <v>951400021</v>
      </c>
      <c r="C1818" s="1" t="str">
        <f>"تخليه-ثلاث بابا جاني کيلومتر 5 جاده تازه آباد-جوانرود محدوده روستاي جوچار کارخانه آقاي تقوايي"</f>
        <v>تخليه-ثلاث بابا جاني کيلومتر 5 جاده تازه آباد-جوانرود محدوده روستاي جوچار کارخانه آقاي تقوايي</v>
      </c>
      <c r="D1818" s="1">
        <v>6050</v>
      </c>
      <c r="E1818" s="1">
        <v>446700</v>
      </c>
      <c r="F1818" s="1">
        <v>95</v>
      </c>
      <c r="G1818" s="1">
        <v>5300</v>
      </c>
      <c r="H1818" s="1" t="str">
        <f>"95/03/30"</f>
        <v>95/03/30</v>
      </c>
      <c r="I1818" s="1" t="str">
        <f t="shared" si="478"/>
        <v>كيلوگرم</v>
      </c>
      <c r="J1818" s="1" t="str">
        <f t="shared" si="484"/>
        <v>0000000091</v>
      </c>
      <c r="K1818" s="1" t="str">
        <f t="shared" si="485"/>
        <v>قير  PG64-22</v>
      </c>
      <c r="L1818" s="1">
        <v>100</v>
      </c>
      <c r="M1818" s="1" t="str">
        <f t="shared" si="483"/>
        <v>مخازن قير اصفهان</v>
      </c>
      <c r="N1818" s="1">
        <v>11051</v>
      </c>
      <c r="O1818" s="1">
        <v>50031074</v>
      </c>
      <c r="P1818" s="1" t="str">
        <f>"  پاياب راژان"</f>
        <v xml:space="preserve">  پاياب راژان</v>
      </c>
      <c r="Q1818" s="1">
        <v>14</v>
      </c>
      <c r="R1818" s="1" t="str">
        <f>"فروش داخلي - وزارت راه - حوزه راه روستايي ساخت"</f>
        <v>فروش داخلي - وزارت راه - حوزه راه روستايي ساخت</v>
      </c>
      <c r="S1818" s="1" t="str">
        <f t="shared" si="479"/>
        <v>قرارداد فروش</v>
      </c>
      <c r="T1818" s="1" t="str">
        <f t="shared" si="480"/>
        <v>ندارد</v>
      </c>
      <c r="U1818" s="1" t="str">
        <f>"ميري عباس(2842027)"</f>
        <v>ميري عباس(2842027)</v>
      </c>
      <c r="V1818" s="1">
        <v>951400021</v>
      </c>
      <c r="W1818" s="1">
        <v>951400021</v>
      </c>
      <c r="X1818" s="1" t="str">
        <f>"1395410160"</f>
        <v>1395410160</v>
      </c>
      <c r="Y1818" s="1" t="str">
        <f>"95/03/30"</f>
        <v>95/03/30</v>
      </c>
      <c r="Z1818" s="1" t="str">
        <f>"12328/510"</f>
        <v>12328/510</v>
      </c>
      <c r="AA1818" s="1" t="str">
        <f>"راه وروستايي -ساخت"</f>
        <v>راه وروستايي -ساخت</v>
      </c>
      <c r="AB1818" s="1" t="str">
        <f>"95/03/25"</f>
        <v>95/03/25</v>
      </c>
      <c r="AC1818" s="1" t="str">
        <f>"استان كرمانشاه"</f>
        <v>استان كرمانشاه</v>
      </c>
      <c r="AD1818" s="1" t="str">
        <f>"95/03/30"</f>
        <v>95/03/30</v>
      </c>
      <c r="AE1818" s="1" t="str">
        <f t="shared" si="472"/>
        <v>اختتام</v>
      </c>
      <c r="AF1818" s="1" t="str">
        <f>""</f>
        <v/>
      </c>
      <c r="AG1818" s="1" t="str">
        <f>""</f>
        <v/>
      </c>
      <c r="AH1818" s="1" t="str">
        <f>""</f>
        <v/>
      </c>
      <c r="AI1818" s="1" t="str">
        <f>""</f>
        <v/>
      </c>
      <c r="AJ1818" s="1" t="str">
        <f>""</f>
        <v/>
      </c>
      <c r="AK1818" s="1" t="str">
        <f>""</f>
        <v/>
      </c>
    </row>
    <row r="1819" spans="1:37" x14ac:dyDescent="0.2">
      <c r="A1819" s="1">
        <v>200000</v>
      </c>
      <c r="B1819" s="1">
        <v>951900095</v>
      </c>
      <c r="C1819" s="1" t="str">
        <f>"تخليه -اصفهان مباركه مقابل طالخونچه كارخانه سپاهان"</f>
        <v>تخليه -اصفهان مباركه مقابل طالخونچه كارخانه سپاهان</v>
      </c>
      <c r="D1819" s="1">
        <v>6726</v>
      </c>
      <c r="E1819" s="1">
        <v>200000</v>
      </c>
      <c r="F1819" s="1">
        <v>95</v>
      </c>
      <c r="G1819" s="1">
        <v>0</v>
      </c>
      <c r="H1819" s="1" t="str">
        <f>"95/05/16"</f>
        <v>95/05/16</v>
      </c>
      <c r="I1819" s="1" t="str">
        <f t="shared" si="478"/>
        <v>كيلوگرم</v>
      </c>
      <c r="J1819" s="1" t="str">
        <f t="shared" si="484"/>
        <v>0000000091</v>
      </c>
      <c r="K1819" s="1" t="str">
        <f t="shared" si="485"/>
        <v>قير  PG64-22</v>
      </c>
      <c r="L1819" s="1">
        <v>100</v>
      </c>
      <c r="M1819" s="1" t="str">
        <f t="shared" si="483"/>
        <v>مخازن قير اصفهان</v>
      </c>
      <c r="N1819" s="1">
        <v>11147</v>
      </c>
      <c r="O1819" s="1">
        <v>50031445</v>
      </c>
      <c r="P1819" s="1" t="str">
        <f>"  تعاوني برآيندسازه اسپادانا"</f>
        <v xml:space="preserve">  تعاوني برآيندسازه اسپادانا</v>
      </c>
      <c r="Q1819" s="1">
        <v>19</v>
      </c>
      <c r="R181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9" s="1" t="str">
        <f t="shared" si="479"/>
        <v>قرارداد فروش</v>
      </c>
      <c r="T1819" s="1" t="str">
        <f t="shared" si="480"/>
        <v>ندارد</v>
      </c>
      <c r="U1819" s="1" t="str">
        <f>"شهبازي محمدرضا(1029ج89)"</f>
        <v>شهبازي محمدرضا(1029ج89)</v>
      </c>
      <c r="V1819" s="1">
        <v>951900095</v>
      </c>
      <c r="W1819" s="1">
        <v>951900095</v>
      </c>
      <c r="X1819" s="1" t="str">
        <f>"1395421151"</f>
        <v>1395421151</v>
      </c>
      <c r="Y1819" s="1" t="str">
        <f>"95/05/16"</f>
        <v>95/05/16</v>
      </c>
      <c r="Z1819" s="1" t="str">
        <f>"19804/510"</f>
        <v>19804/510</v>
      </c>
      <c r="AA1819" s="1" t="str">
        <f>"سازمان راهداري وحمل نقل جاده اي"</f>
        <v>سازمان راهداري وحمل نقل جاده اي</v>
      </c>
      <c r="AB1819" s="1" t="str">
        <f>"95/05/04"</f>
        <v>95/05/04</v>
      </c>
      <c r="AC1819" s="1" t="str">
        <f>"استان اصفهان"</f>
        <v>استان اصفهان</v>
      </c>
      <c r="AD1819" s="1" t="str">
        <f>"95/05/13"</f>
        <v>95/05/13</v>
      </c>
      <c r="AE1819" s="1" t="str">
        <f t="shared" si="472"/>
        <v>اختتام</v>
      </c>
      <c r="AF1819" s="1" t="str">
        <f>""</f>
        <v/>
      </c>
      <c r="AG1819" s="1" t="str">
        <f>""</f>
        <v/>
      </c>
      <c r="AH1819" s="1" t="str">
        <f>""</f>
        <v/>
      </c>
      <c r="AI1819" s="1" t="str">
        <f>""</f>
        <v/>
      </c>
      <c r="AJ1819" s="1" t="str">
        <f>""</f>
        <v/>
      </c>
      <c r="AK1819" s="1" t="str">
        <f>""</f>
        <v/>
      </c>
    </row>
    <row r="1820" spans="1:37" x14ac:dyDescent="0.2">
      <c r="A1820" s="1">
        <v>549460</v>
      </c>
      <c r="B1820" s="1">
        <v>951900221</v>
      </c>
      <c r="C1820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1820" s="1">
        <v>9061</v>
      </c>
      <c r="E1820" s="1">
        <v>499960</v>
      </c>
      <c r="F1820" s="1">
        <v>95</v>
      </c>
      <c r="G1820" s="1">
        <v>49500</v>
      </c>
      <c r="H1820" s="1" t="str">
        <f>"95/10/02"</f>
        <v>95/10/02</v>
      </c>
      <c r="I1820" s="1" t="str">
        <f t="shared" si="478"/>
        <v>كيلوگرم</v>
      </c>
      <c r="J1820" s="1" t="str">
        <f t="shared" si="484"/>
        <v>0000000091</v>
      </c>
      <c r="K1820" s="1" t="str">
        <f t="shared" si="485"/>
        <v>قير  PG64-22</v>
      </c>
      <c r="L1820" s="1">
        <v>100</v>
      </c>
      <c r="M1820" s="1" t="str">
        <f t="shared" si="483"/>
        <v>مخازن قير اصفهان</v>
      </c>
      <c r="N1820" s="1">
        <v>11163</v>
      </c>
      <c r="O1820" s="1">
        <v>50033111</v>
      </c>
      <c r="P1820" s="1" t="str">
        <f>"  ارتقاراه توس"</f>
        <v xml:space="preserve">  ارتقاراه توس</v>
      </c>
      <c r="Q1820" s="1">
        <v>19</v>
      </c>
      <c r="R182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20" s="1" t="str">
        <f t="shared" si="479"/>
        <v>قرارداد فروش</v>
      </c>
      <c r="T1820" s="1" t="str">
        <f t="shared" si="480"/>
        <v>ندارد</v>
      </c>
      <c r="U1820" s="1" t="str">
        <f>"فتحي حميد(1901090)"</f>
        <v>فتحي حميد(1901090)</v>
      </c>
      <c r="V1820" s="1">
        <v>951900221</v>
      </c>
      <c r="W1820" s="1">
        <v>951900221</v>
      </c>
      <c r="X1820" s="1" t="str">
        <f>"1395447794"</f>
        <v>1395447794</v>
      </c>
      <c r="Y1820" s="1" t="str">
        <f>"95/10/02"</f>
        <v>95/10/02</v>
      </c>
      <c r="Z1820" s="1" t="str">
        <f>"39749/710"</f>
        <v>39749/710</v>
      </c>
      <c r="AA1820" s="1" t="str">
        <f>"سازمان راهداري وحمل نقل جاده اي"</f>
        <v>سازمان راهداري وحمل نقل جاده اي</v>
      </c>
      <c r="AB1820" s="1" t="str">
        <f>"95/08/15"</f>
        <v>95/08/15</v>
      </c>
      <c r="AC1820" s="1" t="str">
        <f>"خراسان جنوبي"</f>
        <v>خراسان جنوبي</v>
      </c>
      <c r="AD1820" s="1" t="str">
        <f>"95/09/07"</f>
        <v>95/09/07</v>
      </c>
      <c r="AE1820" s="1" t="str">
        <f t="shared" si="472"/>
        <v>اختتام</v>
      </c>
      <c r="AF1820" s="1" t="str">
        <f>""</f>
        <v/>
      </c>
      <c r="AG1820" s="1" t="str">
        <f>""</f>
        <v/>
      </c>
      <c r="AH1820" s="1" t="str">
        <f>""</f>
        <v/>
      </c>
      <c r="AI1820" s="1" t="str">
        <f>""</f>
        <v/>
      </c>
      <c r="AJ1820" s="1" t="str">
        <f>""</f>
        <v/>
      </c>
      <c r="AK1820" s="1" t="str">
        <f>""</f>
        <v/>
      </c>
    </row>
    <row r="1821" spans="1:37" x14ac:dyDescent="0.2">
      <c r="A1821" s="1">
        <v>75000</v>
      </c>
      <c r="B1821" s="1">
        <v>952000015</v>
      </c>
      <c r="C1821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1821" s="1">
        <v>6426</v>
      </c>
      <c r="E1821" s="1">
        <v>73200</v>
      </c>
      <c r="F1821" s="1">
        <v>95</v>
      </c>
      <c r="G1821" s="1">
        <v>1800</v>
      </c>
      <c r="H1821" s="1" t="str">
        <f>"95/05/25"</f>
        <v>95/05/25</v>
      </c>
      <c r="I1821" s="1" t="str">
        <f t="shared" si="478"/>
        <v>كيلوگرم</v>
      </c>
      <c r="J1821" s="1" t="str">
        <f>"1000000002"</f>
        <v>1000000002</v>
      </c>
      <c r="K1821" s="1" t="str">
        <f>"قير 85/100 - فله"</f>
        <v>قير 85/100 - فله</v>
      </c>
      <c r="L1821" s="1">
        <v>100</v>
      </c>
      <c r="M1821" s="1" t="str">
        <f t="shared" si="483"/>
        <v>مخازن قير اصفهان</v>
      </c>
      <c r="N1821" s="1">
        <v>10718</v>
      </c>
      <c r="O1821" s="1">
        <v>50031552</v>
      </c>
      <c r="P1821" s="1" t="str">
        <f>"  شهرداري نافچ"</f>
        <v xml:space="preserve">  شهرداري نافچ</v>
      </c>
      <c r="Q1821" s="1">
        <v>20</v>
      </c>
      <c r="R1821" s="1" t="str">
        <f>"فروش داخلي - سازمان شهرداري ها و دهياري هاي كشور"</f>
        <v>فروش داخلي - سازمان شهرداري ها و دهياري هاي كشور</v>
      </c>
      <c r="S1821" s="1" t="str">
        <f t="shared" si="479"/>
        <v>قرارداد فروش</v>
      </c>
      <c r="T1821" s="1" t="str">
        <f t="shared" si="480"/>
        <v>ندارد</v>
      </c>
      <c r="U1821" s="1" t="str">
        <f>"قره باغي مجيد(1871065)"</f>
        <v>قره باغي مجيد(1871065)</v>
      </c>
      <c r="V1821" s="1">
        <v>952000015</v>
      </c>
      <c r="W1821" s="1">
        <v>952000015</v>
      </c>
      <c r="X1821" s="1" t="str">
        <f>"1395423681"</f>
        <v>1395423681</v>
      </c>
      <c r="Y1821" s="1" t="str">
        <f>"95/05/25"</f>
        <v>95/05/25</v>
      </c>
      <c r="Z1821" s="1" t="str">
        <f>"18469"</f>
        <v>18469</v>
      </c>
      <c r="AA1821" s="1" t="str">
        <f>"شهرداريها"</f>
        <v>شهرداريها</v>
      </c>
      <c r="AB1821" s="1" t="str">
        <f>"95/05/02"</f>
        <v>95/05/02</v>
      </c>
      <c r="AC1821" s="1" t="str">
        <f>"استان چهارمحال بختياري"</f>
        <v>استان چهارمحال بختياري</v>
      </c>
      <c r="AD1821" s="1" t="str">
        <f>"95/05/24"</f>
        <v>95/05/24</v>
      </c>
      <c r="AE1821" s="1" t="str">
        <f t="shared" si="472"/>
        <v>اختتام</v>
      </c>
      <c r="AF1821" s="1" t="str">
        <f>""</f>
        <v/>
      </c>
      <c r="AG1821" s="1" t="str">
        <f>""</f>
        <v/>
      </c>
      <c r="AH1821" s="1" t="str">
        <f>""</f>
        <v/>
      </c>
      <c r="AI1821" s="1" t="str">
        <f>""</f>
        <v/>
      </c>
      <c r="AJ1821" s="1" t="str">
        <f>""</f>
        <v/>
      </c>
      <c r="AK1821" s="1" t="str">
        <f>""</f>
        <v/>
      </c>
    </row>
    <row r="1822" spans="1:37" x14ac:dyDescent="0.2">
      <c r="A1822" s="1">
        <v>78000</v>
      </c>
      <c r="B1822" s="1">
        <v>952000026</v>
      </c>
      <c r="C1822" s="1" t="str">
        <f>"تخليه -چهارمحال بختياري -گردنه رخ بعدازتونل رخ كارخانه آسفالت زرين استحكام"</f>
        <v>تخليه -چهارمحال بختياري -گردنه رخ بعدازتونل رخ كارخانه آسفالت زرين استحكام</v>
      </c>
      <c r="D1822" s="1">
        <v>6426</v>
      </c>
      <c r="E1822" s="1">
        <v>77200</v>
      </c>
      <c r="F1822" s="1">
        <v>95</v>
      </c>
      <c r="G1822" s="1">
        <v>800</v>
      </c>
      <c r="H1822" s="1" t="str">
        <f>"95/05/27"</f>
        <v>95/05/27</v>
      </c>
      <c r="I1822" s="1" t="str">
        <f t="shared" si="478"/>
        <v>كيلوگرم</v>
      </c>
      <c r="J1822" s="1" t="str">
        <f>"1000000002"</f>
        <v>1000000002</v>
      </c>
      <c r="K1822" s="1" t="str">
        <f>"قير 85/100 - فله"</f>
        <v>قير 85/100 - فله</v>
      </c>
      <c r="L1822" s="1">
        <v>100</v>
      </c>
      <c r="M1822" s="1" t="str">
        <f t="shared" si="483"/>
        <v>مخازن قير اصفهان</v>
      </c>
      <c r="N1822" s="1">
        <v>10789</v>
      </c>
      <c r="O1822" s="1">
        <v>50031576</v>
      </c>
      <c r="P1822" s="1" t="str">
        <f>"  شهرداري سفيددشت"</f>
        <v xml:space="preserve">  شهرداري سفيددشت</v>
      </c>
      <c r="Q1822" s="1">
        <v>20</v>
      </c>
      <c r="R1822" s="1" t="str">
        <f>"فروش داخلي - سازمان شهرداري ها و دهياري هاي كشور"</f>
        <v>فروش داخلي - سازمان شهرداري ها و دهياري هاي كشور</v>
      </c>
      <c r="S1822" s="1" t="str">
        <f t="shared" si="479"/>
        <v>قرارداد فروش</v>
      </c>
      <c r="T1822" s="1" t="str">
        <f t="shared" si="480"/>
        <v>ندارد</v>
      </c>
      <c r="U1822" s="1" t="str">
        <f>"مظلوم فريبرز(1008ج89)"</f>
        <v>مظلوم فريبرز(1008ج89)</v>
      </c>
      <c r="V1822" s="1">
        <v>952000026</v>
      </c>
      <c r="W1822" s="1">
        <v>952000026</v>
      </c>
      <c r="X1822" s="1" t="str">
        <f>"1395423681"</f>
        <v>1395423681</v>
      </c>
      <c r="Y1822" s="1" t="str">
        <f>"95/05/25"</f>
        <v>95/05/25</v>
      </c>
      <c r="Z1822" s="1" t="str">
        <f>"19116"</f>
        <v>19116</v>
      </c>
      <c r="AA1822" s="1" t="str">
        <f>"شهرداريها"</f>
        <v>شهرداريها</v>
      </c>
      <c r="AB1822" s="1" t="str">
        <f>"95/05/04"</f>
        <v>95/05/04</v>
      </c>
      <c r="AC1822" s="1" t="str">
        <f>"استان چهارمحال بختياري"</f>
        <v>استان چهارمحال بختياري</v>
      </c>
      <c r="AD1822" s="1" t="str">
        <f>"95/05/24"</f>
        <v>95/05/24</v>
      </c>
      <c r="AE1822" s="1" t="str">
        <f t="shared" si="472"/>
        <v>اختتام</v>
      </c>
      <c r="AF1822" s="1" t="str">
        <f>""</f>
        <v/>
      </c>
      <c r="AG1822" s="1" t="str">
        <f>""</f>
        <v/>
      </c>
      <c r="AH1822" s="1" t="str">
        <f>""</f>
        <v/>
      </c>
      <c r="AI1822" s="1" t="str">
        <f>""</f>
        <v/>
      </c>
      <c r="AJ1822" s="1" t="str">
        <f>""</f>
        <v/>
      </c>
      <c r="AK1822" s="1" t="str">
        <f>""</f>
        <v/>
      </c>
    </row>
    <row r="1823" spans="1:37" x14ac:dyDescent="0.2">
      <c r="A1823" s="1">
        <v>78000</v>
      </c>
      <c r="B1823" s="1">
        <v>952000186</v>
      </c>
      <c r="C1823" s="1" t="str">
        <f>"تخليه -چهارمحال بختياري -گردنه رخ بعدازتونل رخ كارخانه آسفالت زرين استحكام"</f>
        <v>تخليه -چهارمحال بختياري -گردنه رخ بعدازتونل رخ كارخانه آسفالت زرين استحكام</v>
      </c>
      <c r="D1823" s="1">
        <v>8023</v>
      </c>
      <c r="E1823" s="1">
        <v>77400</v>
      </c>
      <c r="F1823" s="1">
        <v>95</v>
      </c>
      <c r="G1823" s="1">
        <v>600</v>
      </c>
      <c r="H1823" s="1" t="str">
        <f>"95/08/10"</f>
        <v>95/08/10</v>
      </c>
      <c r="I1823" s="1" t="str">
        <f t="shared" si="478"/>
        <v>كيلوگرم</v>
      </c>
      <c r="J1823" s="1" t="str">
        <f>"1000000002"</f>
        <v>1000000002</v>
      </c>
      <c r="K1823" s="1" t="str">
        <f>"قير 85/100 - فله"</f>
        <v>قير 85/100 - فله</v>
      </c>
      <c r="L1823" s="1">
        <v>100</v>
      </c>
      <c r="M1823" s="1" t="str">
        <f t="shared" si="483"/>
        <v>مخازن قير اصفهان</v>
      </c>
      <c r="N1823" s="1">
        <v>10789</v>
      </c>
      <c r="O1823" s="1">
        <v>50032456</v>
      </c>
      <c r="P1823" s="1" t="str">
        <f>"  شهرداري سفيددشت"</f>
        <v xml:space="preserve">  شهرداري سفيددشت</v>
      </c>
      <c r="Q1823" s="1">
        <v>20</v>
      </c>
      <c r="R1823" s="1" t="str">
        <f>"فروش داخلي - سازمان شهرداري ها و دهياري هاي كشور"</f>
        <v>فروش داخلي - سازمان شهرداري ها و دهياري هاي كشور</v>
      </c>
      <c r="S1823" s="1" t="str">
        <f t="shared" si="479"/>
        <v>قرارداد فروش</v>
      </c>
      <c r="T1823" s="1" t="str">
        <f t="shared" si="480"/>
        <v>ندارد</v>
      </c>
      <c r="U1823" s="1" t="str">
        <f>"مظلوم فريبرز(1008ج89)"</f>
        <v>مظلوم فريبرز(1008ج89)</v>
      </c>
      <c r="V1823" s="1">
        <v>952000186</v>
      </c>
      <c r="W1823" s="1">
        <v>952000186</v>
      </c>
      <c r="X1823" s="1" t="str">
        <f>"1395411601"</f>
        <v>1395411601</v>
      </c>
      <c r="Y1823" s="1" t="str">
        <f>"95/08/10"</f>
        <v>95/08/10</v>
      </c>
      <c r="Z1823" s="1" t="str">
        <f>"38811"</f>
        <v>38811</v>
      </c>
      <c r="AA1823" s="1" t="str">
        <f>"شهرداريها"</f>
        <v>شهرداريها</v>
      </c>
      <c r="AB1823" s="1" t="str">
        <f>"95/08/09"</f>
        <v>95/08/09</v>
      </c>
      <c r="AC1823" s="1" t="str">
        <f>"استان چهارمحال بختياري"</f>
        <v>استان چهارمحال بختياري</v>
      </c>
      <c r="AD1823" s="1" t="str">
        <f>"95/08/10"</f>
        <v>95/08/10</v>
      </c>
      <c r="AE1823" s="1" t="str">
        <f t="shared" si="472"/>
        <v>اختتام</v>
      </c>
      <c r="AF1823" s="1" t="str">
        <f>""</f>
        <v/>
      </c>
      <c r="AG1823" s="1" t="str">
        <f>""</f>
        <v/>
      </c>
      <c r="AH1823" s="1" t="str">
        <f>""</f>
        <v/>
      </c>
      <c r="AI1823" s="1" t="str">
        <f>""</f>
        <v/>
      </c>
      <c r="AJ1823" s="1" t="str">
        <f>""</f>
        <v/>
      </c>
      <c r="AK1823" s="1" t="str">
        <f>""</f>
        <v/>
      </c>
    </row>
    <row r="1824" spans="1:37" x14ac:dyDescent="0.2">
      <c r="A1824" s="1">
        <v>700000</v>
      </c>
      <c r="B1824" s="1">
        <v>951700087</v>
      </c>
      <c r="C1824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1824" s="1">
        <v>6250</v>
      </c>
      <c r="E1824" s="1">
        <v>699840</v>
      </c>
      <c r="F1824" s="1">
        <v>95</v>
      </c>
      <c r="G1824" s="1">
        <v>160</v>
      </c>
      <c r="H1824" s="1" t="str">
        <f>"95/04/19"</f>
        <v>95/04/19</v>
      </c>
      <c r="I1824" s="1" t="str">
        <f t="shared" si="478"/>
        <v>كيلوگرم</v>
      </c>
      <c r="J1824" s="1" t="str">
        <f>"0000000092"</f>
        <v>0000000092</v>
      </c>
      <c r="K1824" s="1" t="str">
        <f>"قير  PG64-16"</f>
        <v>قير  PG64-16</v>
      </c>
      <c r="L1824" s="1">
        <v>100</v>
      </c>
      <c r="M1824" s="1" t="str">
        <f t="shared" si="483"/>
        <v>مخازن قير اصفهان</v>
      </c>
      <c r="N1824" s="1">
        <v>1602</v>
      </c>
      <c r="O1824" s="1">
        <v>50031225</v>
      </c>
      <c r="P1824" s="1" t="str">
        <f>"  اداره كل راه و شهرسازي يزد"</f>
        <v xml:space="preserve">  اداره كل راه و شهرسازي يزد</v>
      </c>
      <c r="Q1824" s="1">
        <v>17</v>
      </c>
      <c r="R1824" s="1" t="str">
        <f>"فروش داخلي تهران - وزارت راه - راه روستايي - روکش"</f>
        <v>فروش داخلي تهران - وزارت راه - راه روستايي - روکش</v>
      </c>
      <c r="S1824" s="1" t="str">
        <f t="shared" si="479"/>
        <v>قرارداد فروش</v>
      </c>
      <c r="T1824" s="1" t="str">
        <f t="shared" si="480"/>
        <v>ندارد</v>
      </c>
      <c r="U1824" s="1" t="str">
        <f>"قانعي محمدرضا(1011ج89)"</f>
        <v>قانعي محمدرضا(1011ج89)</v>
      </c>
      <c r="V1824" s="1">
        <v>951700087</v>
      </c>
      <c r="W1824" s="1">
        <v>951700087</v>
      </c>
      <c r="X1824" s="1" t="str">
        <f>"1394391337"</f>
        <v>1394391337</v>
      </c>
      <c r="Y1824" s="1" t="str">
        <f>"95/04/19"</f>
        <v>95/04/19</v>
      </c>
      <c r="Z1824" s="1" t="str">
        <f>"62945/510"</f>
        <v>62945/510</v>
      </c>
      <c r="AA1824" s="1" t="str">
        <f>"راه روستائي -روكش"</f>
        <v>راه روستائي -روكش</v>
      </c>
      <c r="AB1824" s="1" t="str">
        <f>"94/11/14"</f>
        <v>94/11/14</v>
      </c>
      <c r="AC1824" s="1" t="str">
        <f>"استان يزد"</f>
        <v>استان يزد</v>
      </c>
      <c r="AD1824" s="1" t="str">
        <f>"94/11/17"</f>
        <v>94/11/17</v>
      </c>
      <c r="AE1824" s="1" t="str">
        <f t="shared" si="472"/>
        <v>اختتام</v>
      </c>
      <c r="AF1824" s="1" t="str">
        <f>""</f>
        <v/>
      </c>
      <c r="AG1824" s="1" t="str">
        <f>""</f>
        <v/>
      </c>
      <c r="AH1824" s="1" t="str">
        <f>""</f>
        <v/>
      </c>
      <c r="AI1824" s="1" t="str">
        <f>""</f>
        <v/>
      </c>
      <c r="AJ1824" s="1" t="str">
        <f>""</f>
        <v/>
      </c>
      <c r="AK1824" s="1" t="str">
        <f>""</f>
        <v/>
      </c>
    </row>
    <row r="1825" spans="1:37" x14ac:dyDescent="0.2">
      <c r="A1825" s="1">
        <v>239960</v>
      </c>
      <c r="B1825" s="1">
        <v>951800085</v>
      </c>
      <c r="C1825" s="1" t="str">
        <f>"تخليه -يزد-كيلومتر63محوراردكان -چوپانان -جهادنصريزد"</f>
        <v>تخليه -يزد-كيلومتر63محوراردكان -چوپانان -جهادنصريزد</v>
      </c>
      <c r="D1825" s="1">
        <v>8323</v>
      </c>
      <c r="E1825" s="1">
        <v>225300</v>
      </c>
      <c r="F1825" s="1">
        <v>95</v>
      </c>
      <c r="G1825" s="1">
        <v>14660</v>
      </c>
      <c r="H1825" s="1" t="str">
        <f>"95/08/08"</f>
        <v>95/08/08</v>
      </c>
      <c r="I1825" s="1" t="str">
        <f t="shared" si="478"/>
        <v>كيلوگرم</v>
      </c>
      <c r="J1825" s="1" t="str">
        <f>"0000000092"</f>
        <v>0000000092</v>
      </c>
      <c r="K1825" s="1" t="str">
        <f>"قير  PG64-16"</f>
        <v>قير  PG64-16</v>
      </c>
      <c r="L1825" s="1">
        <v>100</v>
      </c>
      <c r="M1825" s="1" t="str">
        <f t="shared" si="483"/>
        <v>مخازن قير اصفهان</v>
      </c>
      <c r="N1825" s="1">
        <v>1665</v>
      </c>
      <c r="O1825" s="1">
        <v>50032329</v>
      </c>
      <c r="P1825" s="1" t="str">
        <f>"  جهاد نصر يزد"</f>
        <v xml:space="preserve">  جهاد نصر يزد</v>
      </c>
      <c r="Q1825" s="1">
        <v>18</v>
      </c>
      <c r="R1825" s="1" t="str">
        <f>"فروش داخلي تهران - وزارت راه - شرکت ساخت و توسعه راهها"</f>
        <v>فروش داخلي تهران - وزارت راه - شرکت ساخت و توسعه راهها</v>
      </c>
      <c r="S1825" s="1" t="str">
        <f t="shared" si="479"/>
        <v>قرارداد فروش</v>
      </c>
      <c r="T1825" s="1" t="str">
        <f t="shared" si="480"/>
        <v>ندارد</v>
      </c>
      <c r="U1825" s="1" t="str">
        <f>"غلام نجفي سيامك‌‌‌‌‌‌(1881082)"</f>
        <v>غلام نجفي سيامك‌‌‌‌‌‌(1881082)</v>
      </c>
      <c r="V1825" s="1">
        <v>951800085</v>
      </c>
      <c r="W1825" s="1">
        <v>951800085</v>
      </c>
      <c r="X1825" s="1" t="str">
        <f>"1395426704"</f>
        <v>1395426704</v>
      </c>
      <c r="Y1825" s="1" t="str">
        <f>"95/08/08"</f>
        <v>95/08/08</v>
      </c>
      <c r="Z1825" s="1" t="str">
        <f>"23946/510"</f>
        <v>23946/510</v>
      </c>
      <c r="AA1825" s="1" t="str">
        <f>"شركت  ساخت وتوسعه راهها"</f>
        <v>شركت  ساخت وتوسعه راهها</v>
      </c>
      <c r="AB1825" s="1" t="str">
        <f>"95/05/26"</f>
        <v>95/05/26</v>
      </c>
      <c r="AC1825" s="1" t="str">
        <f>"استان يزد"</f>
        <v>استان يزد</v>
      </c>
      <c r="AD1825" s="1" t="str">
        <f>"95/06/03"</f>
        <v>95/06/03</v>
      </c>
      <c r="AE1825" s="1" t="str">
        <f t="shared" si="472"/>
        <v>اختتام</v>
      </c>
      <c r="AF1825" s="1" t="str">
        <f>""</f>
        <v/>
      </c>
      <c r="AG1825" s="1" t="str">
        <f>""</f>
        <v/>
      </c>
      <c r="AH1825" s="1" t="str">
        <f>""</f>
        <v/>
      </c>
      <c r="AI1825" s="1" t="str">
        <f>""</f>
        <v/>
      </c>
      <c r="AJ1825" s="1" t="str">
        <f>""</f>
        <v/>
      </c>
      <c r="AK1825" s="1" t="str">
        <f>""</f>
        <v/>
      </c>
    </row>
    <row r="1826" spans="1:37" x14ac:dyDescent="0.2">
      <c r="A1826" s="1">
        <v>357640</v>
      </c>
      <c r="B1826" s="1">
        <v>951800127</v>
      </c>
      <c r="C1826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1826" s="1">
        <v>9511</v>
      </c>
      <c r="E1826" s="1">
        <v>357100</v>
      </c>
      <c r="F1826" s="1">
        <v>95</v>
      </c>
      <c r="G1826" s="1">
        <v>540</v>
      </c>
      <c r="H1826" s="1" t="str">
        <f>"95/11/03"</f>
        <v>95/11/03</v>
      </c>
      <c r="I1826" s="1" t="str">
        <f t="shared" si="478"/>
        <v>كيلوگرم</v>
      </c>
      <c r="J1826" s="1" t="str">
        <f>"0000000092"</f>
        <v>0000000092</v>
      </c>
      <c r="K1826" s="1" t="str">
        <f>"قير  PG64-16"</f>
        <v>قير  PG64-16</v>
      </c>
      <c r="L1826" s="1">
        <v>100</v>
      </c>
      <c r="M1826" s="1" t="str">
        <f t="shared" si="483"/>
        <v>مخازن قير اصفهان</v>
      </c>
      <c r="N1826" s="1">
        <v>1665</v>
      </c>
      <c r="O1826" s="1">
        <v>50033441</v>
      </c>
      <c r="P1826" s="1" t="str">
        <f>"  جهاد نصر يزد"</f>
        <v xml:space="preserve">  جهاد نصر يزد</v>
      </c>
      <c r="Q1826" s="1">
        <v>18</v>
      </c>
      <c r="R1826" s="1" t="str">
        <f>"فروش داخلي تهران - وزارت راه - شرکت ساخت و توسعه راهها"</f>
        <v>فروش داخلي تهران - وزارت راه - شرکت ساخت و توسعه راهها</v>
      </c>
      <c r="S1826" s="1" t="str">
        <f t="shared" si="479"/>
        <v>قرارداد فروش</v>
      </c>
      <c r="T1826" s="1" t="str">
        <f t="shared" si="480"/>
        <v>ندارد</v>
      </c>
      <c r="U1826" s="1" t="str">
        <f>"غلام نجفي سيامك‌‌‌‌‌‌(1881082)"</f>
        <v>غلام نجفي سيامك‌‌‌‌‌‌(1881082)</v>
      </c>
      <c r="V1826" s="1">
        <v>951800127</v>
      </c>
      <c r="W1826" s="1">
        <v>951800127</v>
      </c>
      <c r="X1826" s="1" t="str">
        <f>"1395433634"</f>
        <v>1395433634</v>
      </c>
      <c r="Y1826" s="1" t="str">
        <f>"95/11/03"</f>
        <v>95/11/03</v>
      </c>
      <c r="Z1826" s="1" t="str">
        <f>"31061/510"</f>
        <v>31061/510</v>
      </c>
      <c r="AA1826" s="1" t="str">
        <f>"شركت  ساخت وتوسعه راهها"</f>
        <v>شركت  ساخت وتوسعه راهها</v>
      </c>
      <c r="AB1826" s="1" t="str">
        <f>"95/06/29"</f>
        <v>95/06/29</v>
      </c>
      <c r="AC1826" s="1" t="str">
        <f>"خراسان جنوبي"</f>
        <v>خراسان جنوبي</v>
      </c>
      <c r="AD1826" s="1" t="str">
        <f>"95/07/04"</f>
        <v>95/07/04</v>
      </c>
      <c r="AE1826" s="1" t="str">
        <f t="shared" si="472"/>
        <v>اختتام</v>
      </c>
      <c r="AF1826" s="1" t="str">
        <f>""</f>
        <v/>
      </c>
      <c r="AG1826" s="1" t="str">
        <f>""</f>
        <v/>
      </c>
      <c r="AH1826" s="1" t="str">
        <f>""</f>
        <v/>
      </c>
      <c r="AI1826" s="1" t="str">
        <f>""</f>
        <v/>
      </c>
      <c r="AJ1826" s="1" t="str">
        <f>""</f>
        <v/>
      </c>
      <c r="AK1826" s="1" t="str">
        <f>""</f>
        <v/>
      </c>
    </row>
    <row r="1827" spans="1:37" x14ac:dyDescent="0.2">
      <c r="A1827" s="1">
        <v>125000</v>
      </c>
      <c r="B1827" s="1">
        <v>952000024</v>
      </c>
      <c r="C1827" s="1" t="str">
        <f>"تخليه - چهارمحال و بختياري-لردگان"</f>
        <v>تخليه - چهارمحال و بختياري-لردگان</v>
      </c>
      <c r="D1827" s="1">
        <v>6426</v>
      </c>
      <c r="E1827" s="1">
        <v>121540</v>
      </c>
      <c r="F1827" s="1">
        <v>95</v>
      </c>
      <c r="G1827" s="1">
        <v>3460</v>
      </c>
      <c r="H1827" s="1" t="str">
        <f>"95/05/27"</f>
        <v>95/05/27</v>
      </c>
      <c r="I1827" s="1" t="str">
        <f t="shared" si="478"/>
        <v>كيلوگرم</v>
      </c>
      <c r="J1827" s="1" t="str">
        <f t="shared" ref="J1827:J1835" si="486">"1000000002"</f>
        <v>1000000002</v>
      </c>
      <c r="K1827" s="1" t="str">
        <f t="shared" ref="K1827:K1835" si="487">"قير 85/100 - فله"</f>
        <v>قير 85/100 - فله</v>
      </c>
      <c r="L1827" s="1">
        <v>100</v>
      </c>
      <c r="M1827" s="1" t="str">
        <f t="shared" si="483"/>
        <v>مخازن قير اصفهان</v>
      </c>
      <c r="N1827" s="1">
        <v>10857</v>
      </c>
      <c r="O1827" s="1">
        <v>50031572</v>
      </c>
      <c r="P1827" s="1" t="str">
        <f>"  شهرداري سردشت چهارمحال"</f>
        <v xml:space="preserve">  شهرداري سردشت چهارمحال</v>
      </c>
      <c r="Q1827" s="1">
        <v>20</v>
      </c>
      <c r="R1827" s="1" t="str">
        <f>"فروش داخلي - سازمان شهرداري ها و دهياري هاي كشور"</f>
        <v>فروش داخلي - سازمان شهرداري ها و دهياري هاي كشور</v>
      </c>
      <c r="S1827" s="1" t="str">
        <f t="shared" si="479"/>
        <v>قرارداد فروش</v>
      </c>
      <c r="T1827" s="1" t="str">
        <f t="shared" si="480"/>
        <v>ندارد</v>
      </c>
      <c r="U1827" s="1" t="str">
        <f>"قره باغي مجيد(1871065)"</f>
        <v>قره باغي مجيد(1871065)</v>
      </c>
      <c r="V1827" s="1">
        <v>952000024</v>
      </c>
      <c r="W1827" s="1">
        <v>952000024</v>
      </c>
      <c r="X1827" s="1" t="str">
        <f>"1395423681"</f>
        <v>1395423681</v>
      </c>
      <c r="Y1827" s="1" t="str">
        <f>"95/05/25"</f>
        <v>95/05/25</v>
      </c>
      <c r="Z1827" s="1" t="str">
        <f>"18946"</f>
        <v>18946</v>
      </c>
      <c r="AA1827" s="1" t="str">
        <f>"شهرداريها"</f>
        <v>شهرداريها</v>
      </c>
      <c r="AB1827" s="1" t="str">
        <f>"95/05/03"</f>
        <v>95/05/03</v>
      </c>
      <c r="AC1827" s="1" t="str">
        <f>"استان چهارمحال بختياري"</f>
        <v>استان چهارمحال بختياري</v>
      </c>
      <c r="AD1827" s="1" t="str">
        <f>"95/05/24"</f>
        <v>95/05/24</v>
      </c>
      <c r="AE1827" s="1" t="str">
        <f t="shared" si="472"/>
        <v>اختتام</v>
      </c>
      <c r="AF1827" s="1" t="str">
        <f>""</f>
        <v/>
      </c>
      <c r="AG1827" s="1" t="str">
        <f>""</f>
        <v/>
      </c>
      <c r="AH1827" s="1" t="str">
        <f>""</f>
        <v/>
      </c>
      <c r="AI1827" s="1" t="str">
        <f>""</f>
        <v/>
      </c>
      <c r="AJ1827" s="1" t="str">
        <f>""</f>
        <v/>
      </c>
      <c r="AK1827" s="1" t="str">
        <f>""</f>
        <v/>
      </c>
    </row>
    <row r="1828" spans="1:37" x14ac:dyDescent="0.2">
      <c r="A1828" s="1">
        <v>122000</v>
      </c>
      <c r="B1828" s="1">
        <v>952000255</v>
      </c>
      <c r="C1828" s="1" t="str">
        <f>"تخليه چهارمحال وبختياري لردگان شركت كوثرخانميرزا"</f>
        <v>تخليه چهارمحال وبختياري لردگان شركت كوثرخانميرزا</v>
      </c>
      <c r="D1828" s="1">
        <v>7026</v>
      </c>
      <c r="E1828" s="1">
        <v>119300</v>
      </c>
      <c r="F1828" s="1">
        <v>95</v>
      </c>
      <c r="G1828" s="1">
        <v>2700</v>
      </c>
      <c r="H1828" s="1" t="str">
        <f>"95/09/07"</f>
        <v>95/09/07</v>
      </c>
      <c r="I1828" s="1" t="str">
        <f t="shared" si="478"/>
        <v>كيلوگرم</v>
      </c>
      <c r="J1828" s="1" t="str">
        <f t="shared" si="486"/>
        <v>1000000002</v>
      </c>
      <c r="K1828" s="1" t="str">
        <f t="shared" si="487"/>
        <v>قير 85/100 - فله</v>
      </c>
      <c r="L1828" s="1">
        <v>100</v>
      </c>
      <c r="M1828" s="1" t="str">
        <f t="shared" si="483"/>
        <v>مخازن قير اصفهان</v>
      </c>
      <c r="N1828" s="1">
        <v>10857</v>
      </c>
      <c r="O1828" s="1">
        <v>50032727</v>
      </c>
      <c r="P1828" s="1" t="str">
        <f>"  شهرداري سردشت چهارمحال"</f>
        <v xml:space="preserve">  شهرداري سردشت چهارمحال</v>
      </c>
      <c r="Q1828" s="1">
        <v>20</v>
      </c>
      <c r="R1828" s="1" t="str">
        <f>"فروش داخلي - سازمان شهرداري ها و دهياري هاي كشور"</f>
        <v>فروش داخلي - سازمان شهرداري ها و دهياري هاي كشور</v>
      </c>
      <c r="S1828" s="1" t="str">
        <f t="shared" si="479"/>
        <v>قرارداد فروش</v>
      </c>
      <c r="T1828" s="1" t="str">
        <f t="shared" si="480"/>
        <v>ندارد</v>
      </c>
      <c r="U1828" s="1" t="str">
        <f>"قره باغي مجيد(1871065)"</f>
        <v>قره باغي مجيد(1871065)</v>
      </c>
      <c r="V1828" s="1">
        <v>952000255</v>
      </c>
      <c r="W1828" s="1">
        <v>952000255</v>
      </c>
      <c r="X1828" s="1" t="str">
        <f>"1395447618"</f>
        <v>1395447618</v>
      </c>
      <c r="Y1828" s="1" t="str">
        <f>"95/09/07"</f>
        <v>95/09/07</v>
      </c>
      <c r="Z1828" s="1" t="str">
        <f>"43149"</f>
        <v>43149</v>
      </c>
      <c r="AA1828" s="1" t="str">
        <f>"شهرداريها"</f>
        <v>شهرداريها</v>
      </c>
      <c r="AB1828" s="1" t="str">
        <f>"95/09/01"</f>
        <v>95/09/01</v>
      </c>
      <c r="AC1828" s="1" t="str">
        <f>"استان چهارمحال بختياري"</f>
        <v>استان چهارمحال بختياري</v>
      </c>
      <c r="AD1828" s="1" t="str">
        <f>"95/09/06"</f>
        <v>95/09/06</v>
      </c>
      <c r="AE1828" s="1" t="str">
        <f t="shared" si="472"/>
        <v>اختتام</v>
      </c>
      <c r="AF1828" s="1" t="str">
        <f>""</f>
        <v/>
      </c>
      <c r="AG1828" s="1" t="str">
        <f>""</f>
        <v/>
      </c>
      <c r="AH1828" s="1" t="str">
        <f>""</f>
        <v/>
      </c>
      <c r="AI1828" s="1" t="str">
        <f>""</f>
        <v/>
      </c>
      <c r="AJ1828" s="1" t="str">
        <f>""</f>
        <v/>
      </c>
      <c r="AK1828" s="1" t="str">
        <f>""</f>
        <v/>
      </c>
    </row>
    <row r="1829" spans="1:37" x14ac:dyDescent="0.2">
      <c r="A1829" s="1">
        <v>79000</v>
      </c>
      <c r="B1829" s="1">
        <v>952000204</v>
      </c>
      <c r="C1829" s="1" t="str">
        <f>"تخليه - اصفهان - حبيب آباد -فرعي شال بافت -کارخانه زينبيه"</f>
        <v>تخليه - اصفهان - حبيب آباد -فرعي شال بافت -کارخانه زينبيه</v>
      </c>
      <c r="D1829" s="1">
        <v>8023</v>
      </c>
      <c r="E1829" s="1">
        <v>78740</v>
      </c>
      <c r="F1829" s="1">
        <v>95</v>
      </c>
      <c r="G1829" s="1">
        <v>260</v>
      </c>
      <c r="H1829" s="1" t="str">
        <f>"95/08/16"</f>
        <v>95/08/16</v>
      </c>
      <c r="I1829" s="1" t="str">
        <f t="shared" si="478"/>
        <v>كيلوگرم</v>
      </c>
      <c r="J1829" s="1" t="str">
        <f t="shared" si="486"/>
        <v>1000000002</v>
      </c>
      <c r="K1829" s="1" t="str">
        <f t="shared" si="487"/>
        <v>قير 85/100 - فله</v>
      </c>
      <c r="L1829" s="1">
        <v>100</v>
      </c>
      <c r="M1829" s="1" t="str">
        <f t="shared" si="483"/>
        <v>مخازن قير اصفهان</v>
      </c>
      <c r="N1829" s="1">
        <v>10884</v>
      </c>
      <c r="O1829" s="1">
        <v>50032511</v>
      </c>
      <c r="P1829" s="1" t="str">
        <f>"  شهرداري گندمان"</f>
        <v xml:space="preserve">  شهرداري گندمان</v>
      </c>
      <c r="Q1829" s="1">
        <v>20</v>
      </c>
      <c r="R1829" s="1" t="str">
        <f>"فروش داخلي - سازمان شهرداري ها و دهياري هاي كشور"</f>
        <v>فروش داخلي - سازمان شهرداري ها و دهياري هاي كشور</v>
      </c>
      <c r="S1829" s="1" t="str">
        <f t="shared" si="479"/>
        <v>قرارداد فروش</v>
      </c>
      <c r="T1829" s="1" t="str">
        <f t="shared" si="480"/>
        <v>ندارد</v>
      </c>
      <c r="U1829" s="1" t="str">
        <f>"ريسماني حسن(1007ج89)"</f>
        <v>ريسماني حسن(1007ج89)</v>
      </c>
      <c r="V1829" s="1">
        <v>952000204</v>
      </c>
      <c r="W1829" s="1">
        <v>952000204</v>
      </c>
      <c r="X1829" s="1" t="str">
        <f>"1395443205"</f>
        <v>1395443205</v>
      </c>
      <c r="Y1829" s="1" t="str">
        <f>"95/08/16"</f>
        <v>95/08/16</v>
      </c>
      <c r="Z1829" s="1" t="str">
        <f>"39388"</f>
        <v>39388</v>
      </c>
      <c r="AA1829" s="1" t="str">
        <f>"شهرداريها"</f>
        <v>شهرداريها</v>
      </c>
      <c r="AB1829" s="1" t="str">
        <f>"95/08/11"</f>
        <v>95/08/11</v>
      </c>
      <c r="AC1829" s="1" t="str">
        <f>"استان چهارمحال بختياري"</f>
        <v>استان چهارمحال بختياري</v>
      </c>
      <c r="AD1829" s="1" t="str">
        <f>"95/08/15"</f>
        <v>95/08/15</v>
      </c>
      <c r="AE1829" s="1" t="str">
        <f t="shared" ref="AE1829:AE1892" si="488">"اختتام"</f>
        <v>اختتام</v>
      </c>
      <c r="AF1829" s="1" t="str">
        <f>""</f>
        <v/>
      </c>
      <c r="AG1829" s="1" t="str">
        <f>""</f>
        <v/>
      </c>
      <c r="AH1829" s="1" t="str">
        <f>""</f>
        <v/>
      </c>
      <c r="AI1829" s="1" t="str">
        <f>""</f>
        <v/>
      </c>
      <c r="AJ1829" s="1" t="str">
        <f>""</f>
        <v/>
      </c>
      <c r="AK1829" s="1" t="str">
        <f>""</f>
        <v/>
      </c>
    </row>
    <row r="1830" spans="1:37" x14ac:dyDescent="0.2">
      <c r="A1830" s="1">
        <v>169000</v>
      </c>
      <c r="B1830" s="1">
        <v>956200238</v>
      </c>
      <c r="C1830" s="1" t="str">
        <f>"تخليه - کردستان- قروه -آونگان -آقاي حسيني"</f>
        <v>تخليه - کردستان- قروه -آونگان -آقاي حسيني</v>
      </c>
      <c r="D1830" s="1">
        <v>9361</v>
      </c>
      <c r="E1830" s="1">
        <v>168680</v>
      </c>
      <c r="F1830" s="1">
        <v>95</v>
      </c>
      <c r="G1830" s="1">
        <v>320</v>
      </c>
      <c r="H1830" s="1" t="str">
        <f>"95/11/26"</f>
        <v>95/11/26</v>
      </c>
      <c r="I1830" s="1" t="str">
        <f t="shared" si="478"/>
        <v>كيلوگرم</v>
      </c>
      <c r="J1830" s="1" t="str">
        <f t="shared" si="486"/>
        <v>1000000002</v>
      </c>
      <c r="K1830" s="1" t="str">
        <f t="shared" si="487"/>
        <v>قير 85/100 - فله</v>
      </c>
      <c r="L1830" s="1">
        <v>100</v>
      </c>
      <c r="M1830" s="1" t="str">
        <f t="shared" si="483"/>
        <v>مخازن قير اصفهان</v>
      </c>
      <c r="N1830" s="1">
        <v>10998</v>
      </c>
      <c r="O1830" s="1">
        <v>50033753</v>
      </c>
      <c r="P1830" s="1" t="str">
        <f>"  آتي راه آرال"</f>
        <v xml:space="preserve">  آتي راه آرال</v>
      </c>
      <c r="Q1830" s="1">
        <v>62</v>
      </c>
      <c r="R1830" s="1" t="str">
        <f>"فروش داخلي - سازمان بنيادمسكن انقلاب اسلامي"</f>
        <v>فروش داخلي - سازمان بنيادمسكن انقلاب اسلامي</v>
      </c>
      <c r="S1830" s="1" t="str">
        <f t="shared" si="479"/>
        <v>قرارداد فروش</v>
      </c>
      <c r="T1830" s="1" t="str">
        <f t="shared" si="480"/>
        <v>ندارد</v>
      </c>
      <c r="U1830" s="1" t="str">
        <f>"حاجيلوئي علي اصغر(2842019)"</f>
        <v>حاجيلوئي علي اصغر(2842019)</v>
      </c>
      <c r="V1830" s="1">
        <v>956200238</v>
      </c>
      <c r="W1830" s="1">
        <v>956200238</v>
      </c>
      <c r="X1830" s="1" t="str">
        <f>"1395465046"</f>
        <v>1395465046</v>
      </c>
      <c r="Y1830" s="1" t="str">
        <f>"95/11/26"</f>
        <v>95/11/26</v>
      </c>
      <c r="Z1830" s="1" t="str">
        <f>"51094/د"</f>
        <v>51094/د</v>
      </c>
      <c r="AA1830" s="1" t="str">
        <f>"بنيادمسكن انقلاب اسلامي"</f>
        <v>بنيادمسكن انقلاب اسلامي</v>
      </c>
      <c r="AB1830" s="1" t="str">
        <f>"95/11/25"</f>
        <v>95/11/25</v>
      </c>
      <c r="AC1830" s="1" t="str">
        <f>"استان كردستان"</f>
        <v>استان كردستان</v>
      </c>
      <c r="AD1830" s="1" t="str">
        <f>"95/11/26"</f>
        <v>95/11/26</v>
      </c>
      <c r="AE1830" s="1" t="str">
        <f t="shared" si="488"/>
        <v>اختتام</v>
      </c>
      <c r="AF1830" s="1" t="str">
        <f>""</f>
        <v/>
      </c>
      <c r="AG1830" s="1" t="str">
        <f>""</f>
        <v/>
      </c>
      <c r="AH1830" s="1" t="str">
        <f>""</f>
        <v/>
      </c>
      <c r="AI1830" s="1" t="str">
        <f>""</f>
        <v/>
      </c>
      <c r="AJ1830" s="1" t="str">
        <f>""</f>
        <v/>
      </c>
      <c r="AK1830" s="1" t="str">
        <f>""</f>
        <v/>
      </c>
    </row>
    <row r="1831" spans="1:37" x14ac:dyDescent="0.2">
      <c r="A1831" s="1">
        <v>107000</v>
      </c>
      <c r="B1831" s="1">
        <v>956200239</v>
      </c>
      <c r="C1831" s="1" t="str">
        <f>"تخليه - کردستان- قروه -آونگان -آقاي حسيني"</f>
        <v>تخليه - کردستان- قروه -آونگان -آقاي حسيني</v>
      </c>
      <c r="D1831" s="1">
        <v>9361</v>
      </c>
      <c r="E1831" s="1">
        <v>106160</v>
      </c>
      <c r="F1831" s="1">
        <v>95</v>
      </c>
      <c r="G1831" s="1">
        <v>840</v>
      </c>
      <c r="H1831" s="1" t="str">
        <f>"95/11/26"</f>
        <v>95/11/26</v>
      </c>
      <c r="I1831" s="1" t="str">
        <f t="shared" si="478"/>
        <v>كيلوگرم</v>
      </c>
      <c r="J1831" s="1" t="str">
        <f t="shared" si="486"/>
        <v>1000000002</v>
      </c>
      <c r="K1831" s="1" t="str">
        <f t="shared" si="487"/>
        <v>قير 85/100 - فله</v>
      </c>
      <c r="L1831" s="1">
        <v>100</v>
      </c>
      <c r="M1831" s="1" t="str">
        <f t="shared" si="483"/>
        <v>مخازن قير اصفهان</v>
      </c>
      <c r="N1831" s="1">
        <v>10998</v>
      </c>
      <c r="O1831" s="1">
        <v>50033754</v>
      </c>
      <c r="P1831" s="1" t="str">
        <f>"  آتي راه آرال"</f>
        <v xml:space="preserve">  آتي راه آرال</v>
      </c>
      <c r="Q1831" s="1">
        <v>62</v>
      </c>
      <c r="R1831" s="1" t="str">
        <f>"فروش داخلي - سازمان بنيادمسكن انقلاب اسلامي"</f>
        <v>فروش داخلي - سازمان بنيادمسكن انقلاب اسلامي</v>
      </c>
      <c r="S1831" s="1" t="str">
        <f t="shared" si="479"/>
        <v>قرارداد فروش</v>
      </c>
      <c r="T1831" s="1" t="str">
        <f t="shared" si="480"/>
        <v>ندارد</v>
      </c>
      <c r="U1831" s="1" t="str">
        <f>"حاجيلوئي علي اصغر(2842019)"</f>
        <v>حاجيلوئي علي اصغر(2842019)</v>
      </c>
      <c r="V1831" s="1">
        <v>956200239</v>
      </c>
      <c r="W1831" s="1">
        <v>956200239</v>
      </c>
      <c r="X1831" s="1" t="str">
        <f>"1395465046"</f>
        <v>1395465046</v>
      </c>
      <c r="Y1831" s="1" t="str">
        <f>"95/11/26"</f>
        <v>95/11/26</v>
      </c>
      <c r="Z1831" s="1" t="str">
        <f>"51095/د"</f>
        <v>51095/د</v>
      </c>
      <c r="AA1831" s="1" t="str">
        <f>"بنيادمسكن انقلاب اسلامي"</f>
        <v>بنيادمسكن انقلاب اسلامي</v>
      </c>
      <c r="AB1831" s="1" t="str">
        <f>"95/11/25"</f>
        <v>95/11/25</v>
      </c>
      <c r="AC1831" s="1" t="str">
        <f>"استان كردستان"</f>
        <v>استان كردستان</v>
      </c>
      <c r="AD1831" s="1" t="str">
        <f>"95/11/26"</f>
        <v>95/11/26</v>
      </c>
      <c r="AE1831" s="1" t="str">
        <f t="shared" si="488"/>
        <v>اختتام</v>
      </c>
      <c r="AF1831" s="1" t="str">
        <f>""</f>
        <v/>
      </c>
      <c r="AG1831" s="1" t="str">
        <f>""</f>
        <v/>
      </c>
      <c r="AH1831" s="1" t="str">
        <f>""</f>
        <v/>
      </c>
      <c r="AI1831" s="1" t="str">
        <f>""</f>
        <v/>
      </c>
      <c r="AJ1831" s="1" t="str">
        <f>""</f>
        <v/>
      </c>
      <c r="AK1831" s="1" t="str">
        <f>""</f>
        <v/>
      </c>
    </row>
    <row r="1832" spans="1:37" x14ac:dyDescent="0.2">
      <c r="A1832" s="1">
        <v>100000</v>
      </c>
      <c r="B1832" s="1">
        <v>956200328</v>
      </c>
      <c r="C1832" s="1" t="str">
        <f>"تخليه- لردگان فلارد-سه راهي ارمند-تنگ لايبيد-کارخانه آسفالت موسوي"</f>
        <v>تخليه- لردگان فلارد-سه راهي ارمند-تنگ لايبيد-کارخانه آسفالت موسوي</v>
      </c>
      <c r="D1832" s="1">
        <v>8848</v>
      </c>
      <c r="E1832" s="1">
        <v>99140</v>
      </c>
      <c r="F1832" s="1">
        <v>95</v>
      </c>
      <c r="G1832" s="1">
        <v>860</v>
      </c>
      <c r="H1832" s="1" t="str">
        <f>"95/12/14"</f>
        <v>95/12/14</v>
      </c>
      <c r="I1832" s="1" t="str">
        <f t="shared" si="478"/>
        <v>كيلوگرم</v>
      </c>
      <c r="J1832" s="1" t="str">
        <f t="shared" si="486"/>
        <v>1000000002</v>
      </c>
      <c r="K1832" s="1" t="str">
        <f t="shared" si="487"/>
        <v>قير 85/100 - فله</v>
      </c>
      <c r="L1832" s="1">
        <v>100</v>
      </c>
      <c r="M1832" s="1" t="str">
        <f t="shared" si="483"/>
        <v>مخازن قير اصفهان</v>
      </c>
      <c r="N1832" s="1">
        <v>11087</v>
      </c>
      <c r="O1832" s="1">
        <v>50033998</v>
      </c>
      <c r="P1832" s="1" t="str">
        <f>"  جاويد سازان نصر"</f>
        <v xml:space="preserve">  جاويد سازان نصر</v>
      </c>
      <c r="Q1832" s="1">
        <v>62</v>
      </c>
      <c r="R1832" s="1" t="str">
        <f>"فروش داخلي - سازمان بنيادمسكن انقلاب اسلامي"</f>
        <v>فروش داخلي - سازمان بنيادمسكن انقلاب اسلامي</v>
      </c>
      <c r="S1832" s="1" t="str">
        <f t="shared" si="479"/>
        <v>قرارداد فروش</v>
      </c>
      <c r="T1832" s="1" t="str">
        <f t="shared" si="480"/>
        <v>ندارد</v>
      </c>
      <c r="U1832" s="1" t="str">
        <f>"قره باغي مجيد(1871065)"</f>
        <v>قره باغي مجيد(1871065)</v>
      </c>
      <c r="V1832" s="1">
        <v>956200328</v>
      </c>
      <c r="W1832" s="1">
        <v>956200328</v>
      </c>
      <c r="X1832" s="1" t="str">
        <f>"1395468929"</f>
        <v>1395468929</v>
      </c>
      <c r="Y1832" s="1" t="str">
        <f>"95/12/14"</f>
        <v>95/12/14</v>
      </c>
      <c r="Z1832" s="1" t="str">
        <f>"54961/د"</f>
        <v>54961/د</v>
      </c>
      <c r="AA1832" s="1" t="str">
        <f>"بنيادمسكن انقلاب اسلامي"</f>
        <v>بنيادمسكن انقلاب اسلامي</v>
      </c>
      <c r="AB1832" s="1" t="str">
        <f>"95/12/14"</f>
        <v>95/12/14</v>
      </c>
      <c r="AC1832" s="1" t="str">
        <f>"استان چهارمحال بختياري"</f>
        <v>استان چهارمحال بختياري</v>
      </c>
      <c r="AD1832" s="1" t="str">
        <f>"95/12/14"</f>
        <v>95/12/14</v>
      </c>
      <c r="AE1832" s="1" t="str">
        <f t="shared" si="488"/>
        <v>اختتام</v>
      </c>
      <c r="AF1832" s="1" t="str">
        <f>""</f>
        <v/>
      </c>
      <c r="AG1832" s="1" t="str">
        <f>""</f>
        <v/>
      </c>
      <c r="AH1832" s="1" t="str">
        <f>""</f>
        <v/>
      </c>
      <c r="AI1832" s="1" t="str">
        <f>""</f>
        <v/>
      </c>
      <c r="AJ1832" s="1" t="str">
        <f>""</f>
        <v/>
      </c>
      <c r="AK1832" s="1" t="str">
        <f>""</f>
        <v/>
      </c>
    </row>
    <row r="1833" spans="1:37" x14ac:dyDescent="0.2">
      <c r="A1833" s="1">
        <v>73000</v>
      </c>
      <c r="B1833" s="1">
        <v>952000207</v>
      </c>
      <c r="C1833" s="1" t="str">
        <f>"تخليه -چهارمحال وبختياري -شهركردسازمان همياري شهرداري"</f>
        <v>تخليه -چهارمحال وبختياري -شهركردسازمان همياري شهرداري</v>
      </c>
      <c r="D1833" s="1">
        <v>8023</v>
      </c>
      <c r="E1833" s="1">
        <v>72860</v>
      </c>
      <c r="F1833" s="1">
        <v>95</v>
      </c>
      <c r="G1833" s="1">
        <v>140</v>
      </c>
      <c r="H1833" s="1" t="str">
        <f>"95/08/16"</f>
        <v>95/08/16</v>
      </c>
      <c r="I1833" s="1" t="str">
        <f t="shared" si="478"/>
        <v>كيلوگرم</v>
      </c>
      <c r="J1833" s="1" t="str">
        <f t="shared" si="486"/>
        <v>1000000002</v>
      </c>
      <c r="K1833" s="1" t="str">
        <f t="shared" si="487"/>
        <v>قير 85/100 - فله</v>
      </c>
      <c r="L1833" s="1">
        <v>100</v>
      </c>
      <c r="M1833" s="1" t="str">
        <f t="shared" si="483"/>
        <v>مخازن قير اصفهان</v>
      </c>
      <c r="N1833" s="1">
        <v>11151</v>
      </c>
      <c r="O1833" s="1">
        <v>50032515</v>
      </c>
      <c r="P1833" s="1" t="str">
        <f>"  شهرداري وردنجان"</f>
        <v xml:space="preserve">  شهرداري وردنجان</v>
      </c>
      <c r="Q1833" s="1">
        <v>20</v>
      </c>
      <c r="R1833" s="1" t="str">
        <f>"فروش داخلي - سازمان شهرداري ها و دهياري هاي كشور"</f>
        <v>فروش داخلي - سازمان شهرداري ها و دهياري هاي كشور</v>
      </c>
      <c r="S1833" s="1" t="str">
        <f t="shared" si="479"/>
        <v>قرارداد فروش</v>
      </c>
      <c r="T1833" s="1" t="str">
        <f t="shared" si="480"/>
        <v>ندارد</v>
      </c>
      <c r="U1833" s="1" t="str">
        <f>"سيفي پور گودرز(1019ج89)"</f>
        <v>سيفي پور گودرز(1019ج89)</v>
      </c>
      <c r="V1833" s="1">
        <v>952000207</v>
      </c>
      <c r="W1833" s="1">
        <v>952000207</v>
      </c>
      <c r="X1833" s="1" t="str">
        <f>"1395443205"</f>
        <v>1395443205</v>
      </c>
      <c r="Y1833" s="1" t="str">
        <f>"95/08/16"</f>
        <v>95/08/16</v>
      </c>
      <c r="Z1833" s="1" t="str">
        <f>"39509"</f>
        <v>39509</v>
      </c>
      <c r="AA1833" s="1" t="str">
        <f>"شهرداريها"</f>
        <v>شهرداريها</v>
      </c>
      <c r="AB1833" s="1" t="str">
        <f>"95/08/11"</f>
        <v>95/08/11</v>
      </c>
      <c r="AC1833" s="1" t="str">
        <f>"استان چهارمحال بختياري"</f>
        <v>استان چهارمحال بختياري</v>
      </c>
      <c r="AD1833" s="1" t="str">
        <f>"95/08/15"</f>
        <v>95/08/15</v>
      </c>
      <c r="AE1833" s="1" t="str">
        <f t="shared" si="488"/>
        <v>اختتام</v>
      </c>
      <c r="AF1833" s="1" t="str">
        <f>""</f>
        <v/>
      </c>
      <c r="AG1833" s="1" t="str">
        <f>""</f>
        <v/>
      </c>
      <c r="AH1833" s="1" t="str">
        <f>""</f>
        <v/>
      </c>
      <c r="AI1833" s="1" t="str">
        <f>""</f>
        <v/>
      </c>
      <c r="AJ1833" s="1" t="str">
        <f>""</f>
        <v/>
      </c>
      <c r="AK1833" s="1" t="str">
        <f>""</f>
        <v/>
      </c>
    </row>
    <row r="1834" spans="1:37" x14ac:dyDescent="0.2">
      <c r="A1834" s="1">
        <v>71000</v>
      </c>
      <c r="B1834" s="1">
        <v>952000009</v>
      </c>
      <c r="C1834" s="1" t="str">
        <f>"تخليه چهارمحال وبختياري اردل شهرداري اردل"</f>
        <v>تخليه چهارمحال وبختياري اردل شهرداري اردل</v>
      </c>
      <c r="D1834" s="1">
        <v>6426</v>
      </c>
      <c r="E1834" s="1">
        <v>69740</v>
      </c>
      <c r="F1834" s="1">
        <v>95</v>
      </c>
      <c r="G1834" s="1">
        <v>1260</v>
      </c>
      <c r="H1834" s="1" t="str">
        <f>"95/05/25"</f>
        <v>95/05/25</v>
      </c>
      <c r="I1834" s="1" t="str">
        <f t="shared" si="478"/>
        <v>كيلوگرم</v>
      </c>
      <c r="J1834" s="1" t="str">
        <f t="shared" si="486"/>
        <v>1000000002</v>
      </c>
      <c r="K1834" s="1" t="str">
        <f t="shared" si="487"/>
        <v>قير 85/100 - فله</v>
      </c>
      <c r="L1834" s="1">
        <v>100</v>
      </c>
      <c r="M1834" s="1" t="str">
        <f t="shared" si="483"/>
        <v>مخازن قير اصفهان</v>
      </c>
      <c r="N1834" s="1">
        <v>11155</v>
      </c>
      <c r="O1834" s="1">
        <v>50031546</v>
      </c>
      <c r="P1834" s="1" t="str">
        <f>"  شهرداري دشتك"</f>
        <v xml:space="preserve">  شهرداري دشتك</v>
      </c>
      <c r="Q1834" s="1">
        <v>20</v>
      </c>
      <c r="R1834" s="1" t="str">
        <f>"فروش داخلي - سازمان شهرداري ها و دهياري هاي كشور"</f>
        <v>فروش داخلي - سازمان شهرداري ها و دهياري هاي كشور</v>
      </c>
      <c r="S1834" s="1" t="str">
        <f t="shared" si="479"/>
        <v>قرارداد فروش</v>
      </c>
      <c r="T1834" s="1" t="str">
        <f t="shared" si="480"/>
        <v>ندارد</v>
      </c>
      <c r="U1834" s="1" t="str">
        <f>"قره باغي مجيد(1871065)"</f>
        <v>قره باغي مجيد(1871065)</v>
      </c>
      <c r="V1834" s="1">
        <v>952000009</v>
      </c>
      <c r="W1834" s="1">
        <v>952000009</v>
      </c>
      <c r="X1834" s="1" t="str">
        <f>"1395423681"</f>
        <v>1395423681</v>
      </c>
      <c r="Y1834" s="1" t="str">
        <f>"95/05/24"</f>
        <v>95/05/24</v>
      </c>
      <c r="Z1834" s="1" t="str">
        <f>"18382"</f>
        <v>18382</v>
      </c>
      <c r="AA1834" s="1" t="str">
        <f>"شهرداريها"</f>
        <v>شهرداريها</v>
      </c>
      <c r="AB1834" s="1" t="str">
        <f>"95/04/30"</f>
        <v>95/04/30</v>
      </c>
      <c r="AC1834" s="1" t="str">
        <f>"استان چهارمحال بختياري"</f>
        <v>استان چهارمحال بختياري</v>
      </c>
      <c r="AD1834" s="1" t="str">
        <f>"95/05/24"</f>
        <v>95/05/24</v>
      </c>
      <c r="AE1834" s="1" t="str">
        <f t="shared" si="488"/>
        <v>اختتام</v>
      </c>
      <c r="AF1834" s="1" t="str">
        <f>""</f>
        <v/>
      </c>
      <c r="AG1834" s="1" t="str">
        <f>""</f>
        <v/>
      </c>
      <c r="AH1834" s="1" t="str">
        <f>""</f>
        <v/>
      </c>
      <c r="AI1834" s="1" t="str">
        <f>""</f>
        <v/>
      </c>
      <c r="AJ1834" s="1" t="str">
        <f>""</f>
        <v/>
      </c>
      <c r="AK1834" s="1" t="str">
        <f>""</f>
        <v/>
      </c>
    </row>
    <row r="1835" spans="1:37" x14ac:dyDescent="0.2">
      <c r="A1835" s="1">
        <v>104000</v>
      </c>
      <c r="B1835" s="1">
        <v>956200144</v>
      </c>
      <c r="C1835" s="1" t="str">
        <f>"تخليه - چهارمحال و بختياري-شهرکرد-کارخانه آسفالت -زرين استحکام-بعداز تونل اصفهان به شهرکرد"</f>
        <v>تخليه - چهارمحال و بختياري-شهرکرد-کارخانه آسفالت -زرين استحکام-بعداز تونل اصفهان به شهرکرد</v>
      </c>
      <c r="D1835" s="1">
        <v>8861</v>
      </c>
      <c r="E1835" s="1">
        <v>102740</v>
      </c>
      <c r="F1835" s="1">
        <v>95</v>
      </c>
      <c r="G1835" s="1">
        <v>1260</v>
      </c>
      <c r="H1835" s="1" t="str">
        <f>"95/10/18"</f>
        <v>95/10/18</v>
      </c>
      <c r="I1835" s="1" t="str">
        <f t="shared" si="478"/>
        <v>كيلوگرم</v>
      </c>
      <c r="J1835" s="1" t="str">
        <f t="shared" si="486"/>
        <v>1000000002</v>
      </c>
      <c r="K1835" s="1" t="str">
        <f t="shared" si="487"/>
        <v>قير 85/100 - فله</v>
      </c>
      <c r="L1835" s="1">
        <v>100</v>
      </c>
      <c r="M1835" s="1" t="str">
        <f t="shared" si="483"/>
        <v>مخازن قير اصفهان</v>
      </c>
      <c r="N1835" s="1">
        <v>11192</v>
      </c>
      <c r="O1835" s="1">
        <v>50033315</v>
      </c>
      <c r="P1835" s="1" t="str">
        <f>"  آذربام مغان"</f>
        <v xml:space="preserve">  آذربام مغان</v>
      </c>
      <c r="Q1835" s="1">
        <v>62</v>
      </c>
      <c r="R1835" s="1" t="str">
        <f>"فروش داخلي - سازمان بنيادمسكن انقلاب اسلامي"</f>
        <v>فروش داخلي - سازمان بنيادمسكن انقلاب اسلامي</v>
      </c>
      <c r="S1835" s="1" t="str">
        <f t="shared" si="479"/>
        <v>قرارداد فروش</v>
      </c>
      <c r="T1835" s="1" t="str">
        <f t="shared" si="480"/>
        <v>ندارد</v>
      </c>
      <c r="U1835" s="1" t="str">
        <f>"فتحي حميد(1901090)"</f>
        <v>فتحي حميد(1901090)</v>
      </c>
      <c r="V1835" s="1">
        <v>956200144</v>
      </c>
      <c r="W1835" s="1">
        <v>956200144</v>
      </c>
      <c r="X1835" s="1" t="str">
        <f>"1395457463"</f>
        <v>1395457463</v>
      </c>
      <c r="Y1835" s="1" t="str">
        <f>"95/10/18"</f>
        <v>95/10/18</v>
      </c>
      <c r="Z1835" s="1" t="str">
        <f>"44069/د"</f>
        <v>44069/د</v>
      </c>
      <c r="AA1835" s="1" t="str">
        <f>"بنيادمسكن انقلاب اسلامي"</f>
        <v>بنيادمسكن انقلاب اسلامي</v>
      </c>
      <c r="AB1835" s="1" t="str">
        <f>"95/10/15"</f>
        <v>95/10/15</v>
      </c>
      <c r="AC1835" s="1" t="str">
        <f>"استان چهارمحال بختياري"</f>
        <v>استان چهارمحال بختياري</v>
      </c>
      <c r="AD1835" s="1" t="str">
        <f>"95/10/18"</f>
        <v>95/10/18</v>
      </c>
      <c r="AE1835" s="1" t="str">
        <f t="shared" si="488"/>
        <v>اختتام</v>
      </c>
      <c r="AF1835" s="1" t="str">
        <f>""</f>
        <v/>
      </c>
      <c r="AG1835" s="1" t="str">
        <f>""</f>
        <v/>
      </c>
      <c r="AH1835" s="1" t="str">
        <f>""</f>
        <v/>
      </c>
      <c r="AI1835" s="1" t="str">
        <f>""</f>
        <v/>
      </c>
      <c r="AJ1835" s="1" t="str">
        <f>""</f>
        <v/>
      </c>
      <c r="AK1835" s="1" t="str">
        <f>""</f>
        <v/>
      </c>
    </row>
    <row r="1836" spans="1:37" x14ac:dyDescent="0.2">
      <c r="A1836" s="1">
        <v>400000</v>
      </c>
      <c r="B1836" s="1">
        <v>951700160</v>
      </c>
      <c r="C1836" s="1" t="str">
        <f>"تخليه خراسان رضوي -بجستان اداره اراه وشهرسازي بجستان"</f>
        <v>تخليه خراسان رضوي -بجستان اداره اراه وشهرسازي بجستان</v>
      </c>
      <c r="D1836" s="1">
        <v>6726</v>
      </c>
      <c r="E1836" s="1">
        <v>399080</v>
      </c>
      <c r="F1836" s="1">
        <v>95</v>
      </c>
      <c r="G1836" s="1">
        <v>920</v>
      </c>
      <c r="H1836" s="1" t="str">
        <f>"95/05/26"</f>
        <v>95/05/26</v>
      </c>
      <c r="I1836" s="1" t="str">
        <f t="shared" si="478"/>
        <v>كيلوگرم</v>
      </c>
      <c r="J1836" s="1" t="str">
        <f>"0000000092"</f>
        <v>0000000092</v>
      </c>
      <c r="K1836" s="1" t="str">
        <f>"قير  PG64-16"</f>
        <v>قير  PG64-16</v>
      </c>
      <c r="L1836" s="1">
        <v>100</v>
      </c>
      <c r="M1836" s="1" t="str">
        <f t="shared" si="483"/>
        <v>مخازن قير اصفهان</v>
      </c>
      <c r="N1836" s="1">
        <v>4026</v>
      </c>
      <c r="O1836" s="1">
        <v>50031555</v>
      </c>
      <c r="P1836" s="1" t="str">
        <f>"  اداره كل راه و شهرسازي خراسان رضوي"</f>
        <v xml:space="preserve">  اداره كل راه و شهرسازي خراسان رضوي</v>
      </c>
      <c r="Q1836" s="1">
        <v>17</v>
      </c>
      <c r="R1836" s="1" t="str">
        <f>"فروش داخلي تهران - وزارت راه - راه روستايي - روکش"</f>
        <v>فروش داخلي تهران - وزارت راه - راه روستايي - روکش</v>
      </c>
      <c r="S1836" s="1" t="str">
        <f t="shared" si="479"/>
        <v>قرارداد فروش</v>
      </c>
      <c r="T1836" s="1" t="str">
        <f t="shared" si="480"/>
        <v>ندارد</v>
      </c>
      <c r="U1836" s="1" t="str">
        <f>"بابامحمدي عنايت اله(4844000)"</f>
        <v>بابامحمدي عنايت اله(4844000)</v>
      </c>
      <c r="V1836" s="1">
        <v>951700160</v>
      </c>
      <c r="W1836" s="1">
        <v>951700160</v>
      </c>
      <c r="X1836" s="1" t="str">
        <f>"1395423749"</f>
        <v>1395423749</v>
      </c>
      <c r="Y1836" s="1" t="str">
        <f>"95/05/26"</f>
        <v>95/05/26</v>
      </c>
      <c r="Z1836" s="1" t="str">
        <f>"22689/510"</f>
        <v>22689/510</v>
      </c>
      <c r="AA1836" s="1" t="str">
        <f>"راه روستائي -روكش"</f>
        <v>راه روستائي -روكش</v>
      </c>
      <c r="AB1836" s="1" t="str">
        <f>"95/05/19"</f>
        <v>95/05/19</v>
      </c>
      <c r="AC1836" s="1" t="str">
        <f>"خراسان رضوي"</f>
        <v>خراسان رضوي</v>
      </c>
      <c r="AD1836" s="1" t="str">
        <f>"95/05/25"</f>
        <v>95/05/25</v>
      </c>
      <c r="AE1836" s="1" t="str">
        <f t="shared" si="488"/>
        <v>اختتام</v>
      </c>
      <c r="AF1836" s="1" t="str">
        <f>""</f>
        <v/>
      </c>
      <c r="AG1836" s="1" t="str">
        <f>""</f>
        <v/>
      </c>
      <c r="AH1836" s="1" t="str">
        <f>""</f>
        <v/>
      </c>
      <c r="AI1836" s="1" t="str">
        <f>""</f>
        <v/>
      </c>
      <c r="AJ1836" s="1" t="str">
        <f>""</f>
        <v/>
      </c>
      <c r="AK1836" s="1" t="str">
        <f>""</f>
        <v/>
      </c>
    </row>
    <row r="1837" spans="1:37" x14ac:dyDescent="0.2">
      <c r="A1837" s="1">
        <v>1000000</v>
      </c>
      <c r="B1837" s="1">
        <v>951700312</v>
      </c>
      <c r="C1837" s="1" t="str">
        <f>"تخليه -خراسان رضوي -نيشابور-كيلومتر120جاده فيروزآبادشركت دل حفره"</f>
        <v>تخليه -خراسان رضوي -نيشابور-كيلومتر120جاده فيروزآبادشركت دل حفره</v>
      </c>
      <c r="D1837" s="1">
        <v>8998</v>
      </c>
      <c r="E1837" s="1">
        <v>996880</v>
      </c>
      <c r="F1837" s="1">
        <v>95</v>
      </c>
      <c r="G1837" s="1">
        <v>3120</v>
      </c>
      <c r="H1837" s="1" t="str">
        <f>"95/11/03"</f>
        <v>95/11/03</v>
      </c>
      <c r="I1837" s="1" t="str">
        <f t="shared" si="478"/>
        <v>كيلوگرم</v>
      </c>
      <c r="J1837" s="1" t="str">
        <f>"0000000092"</f>
        <v>0000000092</v>
      </c>
      <c r="K1837" s="1" t="str">
        <f>"قير  PG64-16"</f>
        <v>قير  PG64-16</v>
      </c>
      <c r="L1837" s="1">
        <v>100</v>
      </c>
      <c r="M1837" s="1" t="str">
        <f t="shared" si="483"/>
        <v>مخازن قير اصفهان</v>
      </c>
      <c r="N1837" s="1">
        <v>4026</v>
      </c>
      <c r="O1837" s="1">
        <v>50033431</v>
      </c>
      <c r="P1837" s="1" t="str">
        <f>"  اداره كل راه و شهرسازي خراسان رضوي"</f>
        <v xml:space="preserve">  اداره كل راه و شهرسازي خراسان رضوي</v>
      </c>
      <c r="Q1837" s="1">
        <v>17</v>
      </c>
      <c r="R1837" s="1" t="str">
        <f>"فروش داخلي تهران - وزارت راه - راه روستايي - روکش"</f>
        <v>فروش داخلي تهران - وزارت راه - راه روستايي - روکش</v>
      </c>
      <c r="S1837" s="1" t="str">
        <f t="shared" si="479"/>
        <v>قرارداد فروش</v>
      </c>
      <c r="T1837" s="1" t="str">
        <f t="shared" si="480"/>
        <v>ندارد</v>
      </c>
      <c r="U1837" s="1" t="str">
        <f>"بابامحمدي عنايت اله(4844000)"</f>
        <v>بابامحمدي عنايت اله(4844000)</v>
      </c>
      <c r="V1837" s="1">
        <v>951700312</v>
      </c>
      <c r="W1837" s="1">
        <v>951700312</v>
      </c>
      <c r="X1837" s="1" t="str">
        <f>"1395456364"</f>
        <v>1395456364</v>
      </c>
      <c r="Y1837" s="1" t="str">
        <f>"95/11/03"</f>
        <v>95/11/03</v>
      </c>
      <c r="Z1837" s="1" t="str">
        <f>"49320/710"</f>
        <v>49320/710</v>
      </c>
      <c r="AA1837" s="1" t="str">
        <f>"راه روستائي -روكش"</f>
        <v>راه روستائي -روكش</v>
      </c>
      <c r="AB1837" s="1" t="str">
        <f>"95/10/07"</f>
        <v>95/10/07</v>
      </c>
      <c r="AC1837" s="1" t="str">
        <f>"خراسان رضوي"</f>
        <v>خراسان رضوي</v>
      </c>
      <c r="AD1837" s="1" t="str">
        <f>"95/10/13"</f>
        <v>95/10/13</v>
      </c>
      <c r="AE1837" s="1" t="str">
        <f t="shared" si="488"/>
        <v>اختتام</v>
      </c>
      <c r="AF1837" s="1" t="str">
        <f>""</f>
        <v/>
      </c>
      <c r="AG1837" s="1" t="str">
        <f>""</f>
        <v/>
      </c>
      <c r="AH1837" s="1" t="str">
        <f>""</f>
        <v/>
      </c>
      <c r="AI1837" s="1" t="str">
        <f>""</f>
        <v/>
      </c>
      <c r="AJ1837" s="1" t="str">
        <f>""</f>
        <v/>
      </c>
      <c r="AK1837" s="1" t="str">
        <f>""</f>
        <v/>
      </c>
    </row>
    <row r="1838" spans="1:37" x14ac:dyDescent="0.2">
      <c r="A1838" s="1">
        <v>291000</v>
      </c>
      <c r="B1838" s="1">
        <v>956200174</v>
      </c>
      <c r="C1838" s="1" t="str">
        <f>"تخليه - زنجان-کيلومتر 72 زنجان -قزوين - هيدج - شمال اتوبان راه روستايي - پلاس شرکت عمران نوليدي شهرداري هاي ابهر و خرمدره"</f>
        <v>تخليه - زنجان-کيلومتر 72 زنجان -قزوين - هيدج - شمال اتوبان راه روستايي - پلاس شرکت عمران نوليدي شهرداري هاي ابهر و خرمدره</v>
      </c>
      <c r="D1838" s="1">
        <v>9361</v>
      </c>
      <c r="E1838" s="1">
        <v>289040</v>
      </c>
      <c r="F1838" s="1">
        <v>95</v>
      </c>
      <c r="G1838" s="1">
        <v>1960</v>
      </c>
      <c r="H1838" s="1" t="str">
        <f>"95/11/04"</f>
        <v>95/11/04</v>
      </c>
      <c r="I1838" s="1" t="str">
        <f t="shared" si="478"/>
        <v>كيلوگرم</v>
      </c>
      <c r="J1838" s="1" t="str">
        <f t="shared" ref="J1838:J1845" si="489">"1000000002"</f>
        <v>1000000002</v>
      </c>
      <c r="K1838" s="1" t="str">
        <f t="shared" ref="K1838:K1845" si="490">"قير 85/100 - فله"</f>
        <v>قير 85/100 - فله</v>
      </c>
      <c r="L1838" s="1">
        <v>100</v>
      </c>
      <c r="M1838" s="1" t="str">
        <f t="shared" si="483"/>
        <v>مخازن قير اصفهان</v>
      </c>
      <c r="N1838" s="1">
        <v>11237</v>
      </c>
      <c r="O1838" s="1">
        <v>50033506</v>
      </c>
      <c r="P1838" s="1" t="str">
        <f>"  بنياد مسکن انقلاب اسلامي زنجان"</f>
        <v xml:space="preserve">  بنياد مسکن انقلاب اسلامي زنجان</v>
      </c>
      <c r="Q1838" s="1">
        <v>62</v>
      </c>
      <c r="R1838" s="1" t="str">
        <f t="shared" ref="R1838:R1845" si="491">"فروش داخلي - سازمان بنيادمسكن انقلاب اسلامي"</f>
        <v>فروش داخلي - سازمان بنيادمسكن انقلاب اسلامي</v>
      </c>
      <c r="S1838" s="1" t="str">
        <f t="shared" si="479"/>
        <v>قرارداد فروش</v>
      </c>
      <c r="T1838" s="1" t="str">
        <f t="shared" si="480"/>
        <v>ندارد</v>
      </c>
      <c r="U1838" s="1" t="str">
        <f>"فتاح زاده سيداحمد(3843011)"</f>
        <v>فتاح زاده سيداحمد(3843011)</v>
      </c>
      <c r="V1838" s="1">
        <v>956200174</v>
      </c>
      <c r="W1838" s="1">
        <v>956200174</v>
      </c>
      <c r="X1838" s="1" t="str">
        <f>"1395460250"</f>
        <v>1395460250</v>
      </c>
      <c r="Y1838" s="1" t="str">
        <f>"95/11/04"</f>
        <v>95/11/04</v>
      </c>
      <c r="Z1838" s="1" t="str">
        <f>"46386/د"</f>
        <v>46386/د</v>
      </c>
      <c r="AA1838" s="1" t="str">
        <f t="shared" ref="AA1838:AA1845" si="492">"بنيادمسكن انقلاب اسلامي"</f>
        <v>بنيادمسكن انقلاب اسلامي</v>
      </c>
      <c r="AB1838" s="1" t="str">
        <f>"95/10/29"</f>
        <v>95/10/29</v>
      </c>
      <c r="AC1838" s="1" t="str">
        <f>"استان زنجان"</f>
        <v>استان زنجان</v>
      </c>
      <c r="AD1838" s="1" t="str">
        <f>"95/11/04"</f>
        <v>95/11/04</v>
      </c>
      <c r="AE1838" s="1" t="str">
        <f t="shared" si="488"/>
        <v>اختتام</v>
      </c>
      <c r="AF1838" s="1" t="str">
        <f>""</f>
        <v/>
      </c>
      <c r="AG1838" s="1" t="str">
        <f>""</f>
        <v/>
      </c>
      <c r="AH1838" s="1" t="str">
        <f>""</f>
        <v/>
      </c>
      <c r="AI1838" s="1" t="str">
        <f>""</f>
        <v/>
      </c>
      <c r="AJ1838" s="1" t="str">
        <f>""</f>
        <v/>
      </c>
      <c r="AK1838" s="1" t="str">
        <f>""</f>
        <v/>
      </c>
    </row>
    <row r="1839" spans="1:37" x14ac:dyDescent="0.2">
      <c r="A1839" s="1">
        <v>349000</v>
      </c>
      <c r="B1839" s="1">
        <v>956200192</v>
      </c>
      <c r="C1839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839" s="1">
        <v>9361</v>
      </c>
      <c r="E1839" s="1">
        <v>341500</v>
      </c>
      <c r="F1839" s="1">
        <v>95</v>
      </c>
      <c r="G1839" s="1">
        <v>7500</v>
      </c>
      <c r="H1839" s="1" t="str">
        <f>"95/11/16"</f>
        <v>95/11/16</v>
      </c>
      <c r="I1839" s="1" t="str">
        <f t="shared" si="478"/>
        <v>كيلوگرم</v>
      </c>
      <c r="J1839" s="1" t="str">
        <f t="shared" si="489"/>
        <v>1000000002</v>
      </c>
      <c r="K1839" s="1" t="str">
        <f t="shared" si="490"/>
        <v>قير 85/100 - فله</v>
      </c>
      <c r="L1839" s="1">
        <v>100</v>
      </c>
      <c r="M1839" s="1" t="str">
        <f t="shared" si="483"/>
        <v>مخازن قير اصفهان</v>
      </c>
      <c r="N1839" s="1">
        <v>11237</v>
      </c>
      <c r="O1839" s="1">
        <v>50033608</v>
      </c>
      <c r="P1839" s="1" t="str">
        <f>"  بنياد مسکن انقلاب اسلامي زنجان"</f>
        <v xml:space="preserve">  بنياد مسکن انقلاب اسلامي زنجان</v>
      </c>
      <c r="Q1839" s="1">
        <v>62</v>
      </c>
      <c r="R1839" s="1" t="str">
        <f t="shared" si="491"/>
        <v>فروش داخلي - سازمان بنيادمسكن انقلاب اسلامي</v>
      </c>
      <c r="S1839" s="1" t="str">
        <f t="shared" si="479"/>
        <v>قرارداد فروش</v>
      </c>
      <c r="T1839" s="1" t="str">
        <f t="shared" si="480"/>
        <v>ندارد</v>
      </c>
      <c r="U1839" s="1" t="str">
        <f>"فتاح زاده سيداحمد(3843011)"</f>
        <v>فتاح زاده سيداحمد(3843011)</v>
      </c>
      <c r="V1839" s="1">
        <v>956200192</v>
      </c>
      <c r="W1839" s="1">
        <v>956200192</v>
      </c>
      <c r="X1839" s="1" t="str">
        <f>"1395462880"</f>
        <v>1395462880</v>
      </c>
      <c r="Y1839" s="1" t="str">
        <f>"95/11/16"</f>
        <v>95/11/16</v>
      </c>
      <c r="Z1839" s="1" t="str">
        <f>"49116/د"</f>
        <v>49116/د</v>
      </c>
      <c r="AA1839" s="1" t="str">
        <f t="shared" si="492"/>
        <v>بنيادمسكن انقلاب اسلامي</v>
      </c>
      <c r="AB1839" s="1" t="str">
        <f>"95/11/13"</f>
        <v>95/11/13</v>
      </c>
      <c r="AC1839" s="1" t="str">
        <f>"استان زنجان"</f>
        <v>استان زنجان</v>
      </c>
      <c r="AD1839" s="1" t="str">
        <f>"95/11/16"</f>
        <v>95/11/16</v>
      </c>
      <c r="AE1839" s="1" t="str">
        <f t="shared" si="488"/>
        <v>اختتام</v>
      </c>
      <c r="AF1839" s="1" t="str">
        <f>""</f>
        <v/>
      </c>
      <c r="AG1839" s="1" t="str">
        <f>""</f>
        <v/>
      </c>
      <c r="AH1839" s="1" t="str">
        <f>""</f>
        <v/>
      </c>
      <c r="AI1839" s="1" t="str">
        <f>""</f>
        <v/>
      </c>
      <c r="AJ1839" s="1" t="str">
        <f>""</f>
        <v/>
      </c>
      <c r="AK1839" s="1" t="str">
        <f>""</f>
        <v/>
      </c>
    </row>
    <row r="1840" spans="1:37" x14ac:dyDescent="0.2">
      <c r="A1840" s="1">
        <v>80000</v>
      </c>
      <c r="B1840" s="1">
        <v>956200198</v>
      </c>
      <c r="C1840" s="1" t="str">
        <f>"تخليه - کردستان-بيجار - کارخانه آسفالت زرده کمر"</f>
        <v>تخليه - کردستان-بيجار - کارخانه آسفالت زرده کمر</v>
      </c>
      <c r="D1840" s="1">
        <v>9361</v>
      </c>
      <c r="E1840" s="1">
        <v>80000</v>
      </c>
      <c r="F1840" s="1">
        <v>95</v>
      </c>
      <c r="G1840" s="1">
        <v>0</v>
      </c>
      <c r="H1840" s="1" t="str">
        <f>"95/11/19"</f>
        <v>95/11/19</v>
      </c>
      <c r="I1840" s="1" t="str">
        <f t="shared" si="478"/>
        <v>كيلوگرم</v>
      </c>
      <c r="J1840" s="1" t="str">
        <f t="shared" si="489"/>
        <v>1000000002</v>
      </c>
      <c r="K1840" s="1" t="str">
        <f t="shared" si="490"/>
        <v>قير 85/100 - فله</v>
      </c>
      <c r="L1840" s="1">
        <v>100</v>
      </c>
      <c r="M1840" s="1" t="str">
        <f t="shared" si="483"/>
        <v>مخازن قير اصفهان</v>
      </c>
      <c r="N1840" s="1">
        <v>11242</v>
      </c>
      <c r="O1840" s="1">
        <v>50033631</v>
      </c>
      <c r="P1840" s="1" t="str">
        <f>"  پاليز راه نوين ماد"</f>
        <v xml:space="preserve">  پاليز راه نوين ماد</v>
      </c>
      <c r="Q1840" s="1">
        <v>62</v>
      </c>
      <c r="R1840" s="1" t="str">
        <f t="shared" si="491"/>
        <v>فروش داخلي - سازمان بنيادمسكن انقلاب اسلامي</v>
      </c>
      <c r="S1840" s="1" t="str">
        <f t="shared" si="479"/>
        <v>قرارداد فروش</v>
      </c>
      <c r="T1840" s="1" t="str">
        <f t="shared" si="480"/>
        <v>ندارد</v>
      </c>
      <c r="U1840" s="1" t="str">
        <f>"حاجيلوئي علي اصغر(2842019)"</f>
        <v>حاجيلوئي علي اصغر(2842019)</v>
      </c>
      <c r="V1840" s="1">
        <v>956200198</v>
      </c>
      <c r="W1840" s="1">
        <v>956200198</v>
      </c>
      <c r="X1840" s="1" t="str">
        <f>"1395463366"</f>
        <v>1395463366</v>
      </c>
      <c r="Y1840" s="1" t="str">
        <f>"95/11/19"</f>
        <v>95/11/19</v>
      </c>
      <c r="Z1840" s="1" t="str">
        <f>"49884/د"</f>
        <v>49884/د</v>
      </c>
      <c r="AA1840" s="1" t="str">
        <f t="shared" si="492"/>
        <v>بنيادمسكن انقلاب اسلامي</v>
      </c>
      <c r="AB1840" s="1" t="str">
        <f>"95/11/18"</f>
        <v>95/11/18</v>
      </c>
      <c r="AC1840" s="1" t="str">
        <f>"استان كردستان"</f>
        <v>استان كردستان</v>
      </c>
      <c r="AD1840" s="1" t="str">
        <f>"95/11/19"</f>
        <v>95/11/19</v>
      </c>
      <c r="AE1840" s="1" t="str">
        <f t="shared" si="488"/>
        <v>اختتام</v>
      </c>
      <c r="AF1840" s="1" t="str">
        <f>""</f>
        <v/>
      </c>
      <c r="AG1840" s="1" t="str">
        <f>""</f>
        <v/>
      </c>
      <c r="AH1840" s="1" t="str">
        <f>""</f>
        <v/>
      </c>
      <c r="AI1840" s="1" t="str">
        <f>""</f>
        <v/>
      </c>
      <c r="AJ1840" s="1" t="str">
        <f>""</f>
        <v/>
      </c>
      <c r="AK1840" s="1" t="str">
        <f>""</f>
        <v/>
      </c>
    </row>
    <row r="1841" spans="1:37" x14ac:dyDescent="0.2">
      <c r="A1841" s="1">
        <v>230000</v>
      </c>
      <c r="B1841" s="1">
        <v>956200231</v>
      </c>
      <c r="C1841" s="1" t="str">
        <f>"تخليه - کردستان-بيجار - کارخانه آسفالت زرده کمر"</f>
        <v>تخليه - کردستان-بيجار - کارخانه آسفالت زرده کمر</v>
      </c>
      <c r="D1841" s="1">
        <v>9361</v>
      </c>
      <c r="E1841" s="1">
        <v>228320</v>
      </c>
      <c r="F1841" s="1">
        <v>95</v>
      </c>
      <c r="G1841" s="1">
        <v>1680</v>
      </c>
      <c r="H1841" s="1" t="str">
        <f>"95/11/25"</f>
        <v>95/11/25</v>
      </c>
      <c r="I1841" s="1" t="str">
        <f t="shared" si="478"/>
        <v>كيلوگرم</v>
      </c>
      <c r="J1841" s="1" t="str">
        <f t="shared" si="489"/>
        <v>1000000002</v>
      </c>
      <c r="K1841" s="1" t="str">
        <f t="shared" si="490"/>
        <v>قير 85/100 - فله</v>
      </c>
      <c r="L1841" s="1">
        <v>100</v>
      </c>
      <c r="M1841" s="1" t="str">
        <f t="shared" si="483"/>
        <v>مخازن قير اصفهان</v>
      </c>
      <c r="N1841" s="1">
        <v>11242</v>
      </c>
      <c r="O1841" s="1">
        <v>50034048</v>
      </c>
      <c r="P1841" s="1" t="str">
        <f>"  پاليز راه نوين ماد"</f>
        <v xml:space="preserve">  پاليز راه نوين ماد</v>
      </c>
      <c r="Q1841" s="1">
        <v>62</v>
      </c>
      <c r="R1841" s="1" t="str">
        <f t="shared" si="491"/>
        <v>فروش داخلي - سازمان بنيادمسكن انقلاب اسلامي</v>
      </c>
      <c r="S1841" s="1" t="str">
        <f t="shared" si="479"/>
        <v>قرارداد فروش</v>
      </c>
      <c r="T1841" s="1" t="str">
        <f t="shared" si="480"/>
        <v>ندارد</v>
      </c>
      <c r="U1841" s="1" t="str">
        <f>"حاجيلوئي علي اصغر(2842019)"</f>
        <v>حاجيلوئي علي اصغر(2842019)</v>
      </c>
      <c r="V1841" s="1">
        <v>956200231</v>
      </c>
      <c r="W1841" s="1">
        <v>956200231</v>
      </c>
      <c r="X1841" s="1" t="str">
        <f>"1395464671"</f>
        <v>1395464671</v>
      </c>
      <c r="Y1841" s="1" t="str">
        <f>"95/11/25"</f>
        <v>95/11/25</v>
      </c>
      <c r="Z1841" s="1" t="str">
        <f>"51024/د"</f>
        <v>51024/د</v>
      </c>
      <c r="AA1841" s="1" t="str">
        <f t="shared" si="492"/>
        <v>بنيادمسكن انقلاب اسلامي</v>
      </c>
      <c r="AB1841" s="1" t="str">
        <f>"95/11/24"</f>
        <v>95/11/24</v>
      </c>
      <c r="AC1841" s="1" t="str">
        <f>"استان كردستان"</f>
        <v>استان كردستان</v>
      </c>
      <c r="AD1841" s="1" t="str">
        <f>"95/11/25"</f>
        <v>95/11/25</v>
      </c>
      <c r="AE1841" s="1" t="str">
        <f t="shared" si="488"/>
        <v>اختتام</v>
      </c>
      <c r="AF1841" s="1" t="str">
        <f>""</f>
        <v/>
      </c>
      <c r="AG1841" s="1" t="str">
        <f>""</f>
        <v/>
      </c>
      <c r="AH1841" s="1" t="str">
        <f>""</f>
        <v/>
      </c>
      <c r="AI1841" s="1" t="str">
        <f>""</f>
        <v/>
      </c>
      <c r="AJ1841" s="1" t="str">
        <f>""</f>
        <v/>
      </c>
      <c r="AK1841" s="1" t="str">
        <f>""</f>
        <v/>
      </c>
    </row>
    <row r="1842" spans="1:37" x14ac:dyDescent="0.2">
      <c r="A1842" s="1">
        <v>160000</v>
      </c>
      <c r="B1842" s="1">
        <v>956200202</v>
      </c>
      <c r="C1842" s="1" t="str">
        <f>"تخليه - کردستان - سه راه مريوان -کارخانه آسفالت قشلاق"</f>
        <v>تخليه - کردستان - سه راه مريوان -کارخانه آسفالت قشلاق</v>
      </c>
      <c r="D1842" s="1">
        <v>9361</v>
      </c>
      <c r="E1842" s="1">
        <v>160000</v>
      </c>
      <c r="F1842" s="1">
        <v>95</v>
      </c>
      <c r="G1842" s="1">
        <v>0</v>
      </c>
      <c r="H1842" s="1" t="str">
        <f>"95/11/19"</f>
        <v>95/11/19</v>
      </c>
      <c r="I1842" s="1" t="str">
        <f t="shared" si="478"/>
        <v>كيلوگرم</v>
      </c>
      <c r="J1842" s="1" t="str">
        <f t="shared" si="489"/>
        <v>1000000002</v>
      </c>
      <c r="K1842" s="1" t="str">
        <f t="shared" si="490"/>
        <v>قير 85/100 - فله</v>
      </c>
      <c r="L1842" s="1">
        <v>100</v>
      </c>
      <c r="M1842" s="1" t="str">
        <f t="shared" si="483"/>
        <v>مخازن قير اصفهان</v>
      </c>
      <c r="N1842" s="1">
        <v>11243</v>
      </c>
      <c r="O1842" s="1">
        <v>50033636</v>
      </c>
      <c r="P1842" s="1" t="str">
        <f>"  عرش گستران کامياب"</f>
        <v xml:space="preserve">  عرش گستران کامياب</v>
      </c>
      <c r="Q1842" s="1">
        <v>62</v>
      </c>
      <c r="R1842" s="1" t="str">
        <f t="shared" si="491"/>
        <v>فروش داخلي - سازمان بنيادمسكن انقلاب اسلامي</v>
      </c>
      <c r="S1842" s="1" t="str">
        <f t="shared" si="479"/>
        <v>قرارداد فروش</v>
      </c>
      <c r="T1842" s="1" t="str">
        <f t="shared" si="480"/>
        <v>ندارد</v>
      </c>
      <c r="U1842" s="1" t="str">
        <f>"قنبري امين(2872037)"</f>
        <v>قنبري امين(2872037)</v>
      </c>
      <c r="V1842" s="1">
        <v>956200202</v>
      </c>
      <c r="W1842" s="1">
        <v>956200202</v>
      </c>
      <c r="X1842" s="1" t="str">
        <f>"1395463366"</f>
        <v>1395463366</v>
      </c>
      <c r="Y1842" s="1" t="str">
        <f>"95/11/19"</f>
        <v>95/11/19</v>
      </c>
      <c r="Z1842" s="1" t="str">
        <f>"49890/د"</f>
        <v>49890/د</v>
      </c>
      <c r="AA1842" s="1" t="str">
        <f t="shared" si="492"/>
        <v>بنيادمسكن انقلاب اسلامي</v>
      </c>
      <c r="AB1842" s="1" t="str">
        <f>"95/11/18"</f>
        <v>95/11/18</v>
      </c>
      <c r="AC1842" s="1" t="str">
        <f>"استان كردستان"</f>
        <v>استان كردستان</v>
      </c>
      <c r="AD1842" s="1" t="str">
        <f>"95/11/19"</f>
        <v>95/11/19</v>
      </c>
      <c r="AE1842" s="1" t="str">
        <f t="shared" si="488"/>
        <v>اختتام</v>
      </c>
      <c r="AF1842" s="1" t="str">
        <f>""</f>
        <v/>
      </c>
      <c r="AG1842" s="1" t="str">
        <f>""</f>
        <v/>
      </c>
      <c r="AH1842" s="1" t="str">
        <f>""</f>
        <v/>
      </c>
      <c r="AI1842" s="1" t="str">
        <f>""</f>
        <v/>
      </c>
      <c r="AJ1842" s="1" t="str">
        <f>""</f>
        <v/>
      </c>
      <c r="AK1842" s="1" t="str">
        <f>""</f>
        <v/>
      </c>
    </row>
    <row r="1843" spans="1:37" x14ac:dyDescent="0.2">
      <c r="A1843" s="1">
        <v>85000</v>
      </c>
      <c r="B1843" s="1">
        <v>956200221</v>
      </c>
      <c r="C1843" s="1" t="str">
        <f>"تخليه اردبيل كيلومتر15جاده مشكين شهرسه راهي قره قيه كارخانه آسفالت عمراني ايل يولي"</f>
        <v>تخليه اردبيل كيلومتر15جاده مشكين شهرسه راهي قره قيه كارخانه آسفالت عمراني ايل يولي</v>
      </c>
      <c r="D1843" s="1">
        <v>9361</v>
      </c>
      <c r="E1843" s="1">
        <v>80340</v>
      </c>
      <c r="F1843" s="1">
        <v>95</v>
      </c>
      <c r="G1843" s="1">
        <v>4660</v>
      </c>
      <c r="H1843" s="1" t="str">
        <f>"95/11/23"</f>
        <v>95/11/23</v>
      </c>
      <c r="I1843" s="1" t="str">
        <f t="shared" si="478"/>
        <v>كيلوگرم</v>
      </c>
      <c r="J1843" s="1" t="str">
        <f t="shared" si="489"/>
        <v>1000000002</v>
      </c>
      <c r="K1843" s="1" t="str">
        <f t="shared" si="490"/>
        <v>قير 85/100 - فله</v>
      </c>
      <c r="L1843" s="1">
        <v>100</v>
      </c>
      <c r="M1843" s="1" t="str">
        <f t="shared" si="483"/>
        <v>مخازن قير اصفهان</v>
      </c>
      <c r="N1843" s="1">
        <v>11250</v>
      </c>
      <c r="O1843" s="1">
        <v>50033660</v>
      </c>
      <c r="P1843" s="1" t="str">
        <f>"  خدمات عمران ائل يولي اردبيل"</f>
        <v xml:space="preserve">  خدمات عمران ائل يولي اردبيل</v>
      </c>
      <c r="Q1843" s="1">
        <v>62</v>
      </c>
      <c r="R1843" s="1" t="str">
        <f t="shared" si="491"/>
        <v>فروش داخلي - سازمان بنيادمسكن انقلاب اسلامي</v>
      </c>
      <c r="S1843" s="1" t="str">
        <f t="shared" si="479"/>
        <v>قرارداد فروش</v>
      </c>
      <c r="T1843" s="1" t="str">
        <f t="shared" si="480"/>
        <v>ندارد</v>
      </c>
      <c r="U1843" s="1" t="str">
        <f>"علافي اسكويي محمد تقي(3843004)"</f>
        <v>علافي اسكويي محمد تقي(3843004)</v>
      </c>
      <c r="V1843" s="1">
        <v>956200221</v>
      </c>
      <c r="W1843" s="1">
        <v>956200221</v>
      </c>
      <c r="X1843" s="1" t="str">
        <f>"1395464205"</f>
        <v>1395464205</v>
      </c>
      <c r="Y1843" s="1" t="str">
        <f>"95/11/23"</f>
        <v>95/11/23</v>
      </c>
      <c r="Z1843" s="1" t="str">
        <f>"50211/د"</f>
        <v>50211/د</v>
      </c>
      <c r="AA1843" s="1" t="str">
        <f t="shared" si="492"/>
        <v>بنيادمسكن انقلاب اسلامي</v>
      </c>
      <c r="AB1843" s="1" t="str">
        <f>"95/11/19"</f>
        <v>95/11/19</v>
      </c>
      <c r="AC1843" s="1" t="str">
        <f>"استان اردبيل"</f>
        <v>استان اردبيل</v>
      </c>
      <c r="AD1843" s="1" t="str">
        <f>"95/11/20"</f>
        <v>95/11/20</v>
      </c>
      <c r="AE1843" s="1" t="str">
        <f t="shared" si="488"/>
        <v>اختتام</v>
      </c>
      <c r="AF1843" s="1" t="str">
        <f>""</f>
        <v/>
      </c>
      <c r="AG1843" s="1" t="str">
        <f>""</f>
        <v/>
      </c>
      <c r="AH1843" s="1" t="str">
        <f>""</f>
        <v/>
      </c>
      <c r="AI1843" s="1" t="str">
        <f>""</f>
        <v/>
      </c>
      <c r="AJ1843" s="1" t="str">
        <f>""</f>
        <v/>
      </c>
      <c r="AK1843" s="1" t="str">
        <f>""</f>
        <v/>
      </c>
    </row>
    <row r="1844" spans="1:37" x14ac:dyDescent="0.2">
      <c r="A1844" s="1">
        <v>130000</v>
      </c>
      <c r="B1844" s="1">
        <v>956200223</v>
      </c>
      <c r="C1844" s="1" t="str">
        <f>"تخليه اردبيل كيلومتر15جاده مشكين شهرسه راهي قره قيه كارخانه آسفالت عمراني ايل يولي"</f>
        <v>تخليه اردبيل كيلومتر15جاده مشكين شهرسه راهي قره قيه كارخانه آسفالت عمراني ايل يولي</v>
      </c>
      <c r="D1844" s="1">
        <v>9361</v>
      </c>
      <c r="E1844" s="1">
        <v>130000</v>
      </c>
      <c r="F1844" s="1">
        <v>95</v>
      </c>
      <c r="G1844" s="1">
        <v>0</v>
      </c>
      <c r="H1844" s="1" t="str">
        <f>"95/11/24"</f>
        <v>95/11/24</v>
      </c>
      <c r="I1844" s="1" t="str">
        <f t="shared" si="478"/>
        <v>كيلوگرم</v>
      </c>
      <c r="J1844" s="1" t="str">
        <f t="shared" si="489"/>
        <v>1000000002</v>
      </c>
      <c r="K1844" s="1" t="str">
        <f t="shared" si="490"/>
        <v>قير 85/100 - فله</v>
      </c>
      <c r="L1844" s="1">
        <v>100</v>
      </c>
      <c r="M1844" s="1" t="str">
        <f t="shared" si="483"/>
        <v>مخازن قير اصفهان</v>
      </c>
      <c r="N1844" s="1">
        <v>11250</v>
      </c>
      <c r="O1844" s="1">
        <v>50033689</v>
      </c>
      <c r="P1844" s="1" t="str">
        <f>"  خدمات عمران ائل يولي اردبيل"</f>
        <v xml:space="preserve">  خدمات عمران ائل يولي اردبيل</v>
      </c>
      <c r="Q1844" s="1">
        <v>62</v>
      </c>
      <c r="R1844" s="1" t="str">
        <f t="shared" si="491"/>
        <v>فروش داخلي - سازمان بنيادمسكن انقلاب اسلامي</v>
      </c>
      <c r="S1844" s="1" t="str">
        <f t="shared" si="479"/>
        <v>قرارداد فروش</v>
      </c>
      <c r="T1844" s="1" t="str">
        <f t="shared" si="480"/>
        <v>ندارد</v>
      </c>
      <c r="U1844" s="1" t="str">
        <f>"علافي اسكويي محمد تقي(3843004)"</f>
        <v>علافي اسكويي محمد تقي(3843004)</v>
      </c>
      <c r="V1844" s="1">
        <v>956200223</v>
      </c>
      <c r="W1844" s="1">
        <v>956200223</v>
      </c>
      <c r="X1844" s="1" t="str">
        <f>"1395464205"</f>
        <v>1395464205</v>
      </c>
      <c r="Y1844" s="1" t="str">
        <f>"95/11/24"</f>
        <v>95/11/24</v>
      </c>
      <c r="Z1844" s="1" t="str">
        <f>"50207/د"</f>
        <v>50207/د</v>
      </c>
      <c r="AA1844" s="1" t="str">
        <f t="shared" si="492"/>
        <v>بنيادمسكن انقلاب اسلامي</v>
      </c>
      <c r="AB1844" s="1" t="str">
        <f>"95/11/19"</f>
        <v>95/11/19</v>
      </c>
      <c r="AC1844" s="1" t="str">
        <f>"استان اردبيل"</f>
        <v>استان اردبيل</v>
      </c>
      <c r="AD1844" s="1" t="str">
        <f>"95/11/20"</f>
        <v>95/11/20</v>
      </c>
      <c r="AE1844" s="1" t="str">
        <f t="shared" si="488"/>
        <v>اختتام</v>
      </c>
      <c r="AF1844" s="1" t="str">
        <f>""</f>
        <v/>
      </c>
      <c r="AG1844" s="1" t="str">
        <f>""</f>
        <v/>
      </c>
      <c r="AH1844" s="1" t="str">
        <f>""</f>
        <v/>
      </c>
      <c r="AI1844" s="1" t="str">
        <f>""</f>
        <v/>
      </c>
      <c r="AJ1844" s="1" t="str">
        <f>""</f>
        <v/>
      </c>
      <c r="AK1844" s="1" t="str">
        <f>""</f>
        <v/>
      </c>
    </row>
    <row r="1845" spans="1:37" x14ac:dyDescent="0.2">
      <c r="A1845" s="1">
        <v>110000</v>
      </c>
      <c r="B1845" s="1">
        <v>956200276</v>
      </c>
      <c r="C1845" s="1" t="str">
        <f>"تخليه - کردستان - سقز - کارخانه آسفالت ميرده کيلومتر 15 جاده سقز بانه"</f>
        <v>تخليه - کردستان - سقز - کارخانه آسفالت ميرده کيلومتر 15 جاده سقز بانه</v>
      </c>
      <c r="D1845" s="1">
        <v>8848</v>
      </c>
      <c r="E1845" s="1">
        <v>109180</v>
      </c>
      <c r="F1845" s="1">
        <v>95</v>
      </c>
      <c r="G1845" s="1">
        <v>820</v>
      </c>
      <c r="H1845" s="1" t="str">
        <f>"95/12/04"</f>
        <v>95/12/04</v>
      </c>
      <c r="I1845" s="1" t="str">
        <f t="shared" si="478"/>
        <v>كيلوگرم</v>
      </c>
      <c r="J1845" s="1" t="str">
        <f t="shared" si="489"/>
        <v>1000000002</v>
      </c>
      <c r="K1845" s="1" t="str">
        <f t="shared" si="490"/>
        <v>قير 85/100 - فله</v>
      </c>
      <c r="L1845" s="1">
        <v>100</v>
      </c>
      <c r="M1845" s="1" t="str">
        <f t="shared" si="483"/>
        <v>مخازن قير اصفهان</v>
      </c>
      <c r="N1845" s="1">
        <v>11268</v>
      </c>
      <c r="O1845" s="1">
        <v>50033844</v>
      </c>
      <c r="P1845" s="1" t="str">
        <f>"  آبادگاه صدف زريوار کردستان"</f>
        <v xml:space="preserve">  آبادگاه صدف زريوار کردستان</v>
      </c>
      <c r="Q1845" s="1">
        <v>62</v>
      </c>
      <c r="R1845" s="1" t="str">
        <f t="shared" si="491"/>
        <v>فروش داخلي - سازمان بنيادمسكن انقلاب اسلامي</v>
      </c>
      <c r="S1845" s="1" t="str">
        <f t="shared" si="479"/>
        <v>قرارداد فروش</v>
      </c>
      <c r="T1845" s="1" t="str">
        <f t="shared" si="480"/>
        <v>ندارد</v>
      </c>
      <c r="U1845" s="1" t="str">
        <f>"حاجيلوئي علي اصغر(2842019)"</f>
        <v>حاجيلوئي علي اصغر(2842019)</v>
      </c>
      <c r="V1845" s="1">
        <v>956200276</v>
      </c>
      <c r="W1845" s="1">
        <v>956200276</v>
      </c>
      <c r="X1845" s="1" t="str">
        <f>"1395466582"</f>
        <v>1395466582</v>
      </c>
      <c r="Y1845" s="1" t="str">
        <f>"95/12/04"</f>
        <v>95/12/04</v>
      </c>
      <c r="Z1845" s="1" t="str">
        <f>"52079/د"</f>
        <v>52079/د</v>
      </c>
      <c r="AA1845" s="1" t="str">
        <f t="shared" si="492"/>
        <v>بنيادمسكن انقلاب اسلامي</v>
      </c>
      <c r="AB1845" s="1" t="str">
        <f>"95/11/30"</f>
        <v>95/11/30</v>
      </c>
      <c r="AC1845" s="1" t="str">
        <f>"استان كردستان"</f>
        <v>استان كردستان</v>
      </c>
      <c r="AD1845" s="1" t="str">
        <f>"95/12/03"</f>
        <v>95/12/03</v>
      </c>
      <c r="AE1845" s="1" t="str">
        <f t="shared" si="488"/>
        <v>اختتام</v>
      </c>
      <c r="AF1845" s="1" t="str">
        <f>""</f>
        <v/>
      </c>
      <c r="AG1845" s="1" t="str">
        <f>""</f>
        <v/>
      </c>
      <c r="AH1845" s="1" t="str">
        <f>""</f>
        <v/>
      </c>
      <c r="AI1845" s="1" t="str">
        <f>""</f>
        <v/>
      </c>
      <c r="AJ1845" s="1" t="str">
        <f>""</f>
        <v/>
      </c>
      <c r="AK1845" s="1" t="str">
        <f>""</f>
        <v/>
      </c>
    </row>
    <row r="1846" spans="1:37" x14ac:dyDescent="0.2">
      <c r="A1846" s="1">
        <v>59900</v>
      </c>
      <c r="B1846" s="1">
        <v>951800123</v>
      </c>
      <c r="C1846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1846" s="1">
        <v>9511</v>
      </c>
      <c r="E1846" s="1">
        <v>57880</v>
      </c>
      <c r="F1846" s="1">
        <v>95</v>
      </c>
      <c r="G1846" s="1">
        <v>2020</v>
      </c>
      <c r="H1846" s="1" t="str">
        <f>"95/11/03"</f>
        <v>95/11/03</v>
      </c>
      <c r="I1846" s="1" t="str">
        <f t="shared" si="478"/>
        <v>كيلوگرم</v>
      </c>
      <c r="J1846" s="1" t="str">
        <f t="shared" ref="J1846:J1851" si="493">"0000000092"</f>
        <v>0000000092</v>
      </c>
      <c r="K1846" s="1" t="str">
        <f t="shared" ref="K1846:K1851" si="494">"قير  PG64-16"</f>
        <v>قير  PG64-16</v>
      </c>
      <c r="L1846" s="1">
        <v>100</v>
      </c>
      <c r="M1846" s="1" t="str">
        <f t="shared" si="483"/>
        <v>مخازن قير اصفهان</v>
      </c>
      <c r="N1846" s="1">
        <v>4089</v>
      </c>
      <c r="O1846" s="1">
        <v>50033437</v>
      </c>
      <c r="P1846" s="1" t="str">
        <f>"  تعاوني خدمات زيربنائي رفسنجان"</f>
        <v xml:space="preserve">  تعاوني خدمات زيربنائي رفسنجان</v>
      </c>
      <c r="Q1846" s="1">
        <v>18</v>
      </c>
      <c r="R1846" s="1" t="str">
        <f>"فروش داخلي تهران - وزارت راه - شرکت ساخت و توسعه راهها"</f>
        <v>فروش داخلي تهران - وزارت راه - شرکت ساخت و توسعه راهها</v>
      </c>
      <c r="S1846" s="1" t="str">
        <f t="shared" si="479"/>
        <v>قرارداد فروش</v>
      </c>
      <c r="T1846" s="1" t="str">
        <f t="shared" si="480"/>
        <v>ندارد</v>
      </c>
      <c r="U1846" s="1" t="str">
        <f>"تعاوني خدمات زيربنايي رفسنجان (00109)"</f>
        <v>تعاوني خدمات زيربنايي رفسنجان (00109)</v>
      </c>
      <c r="V1846" s="1">
        <v>951800123</v>
      </c>
      <c r="W1846" s="1">
        <v>951800123</v>
      </c>
      <c r="X1846" s="1" t="str">
        <f>"1395447891"</f>
        <v>1395447891</v>
      </c>
      <c r="Y1846" s="1" t="str">
        <f>"95/11/03"</f>
        <v>95/11/03</v>
      </c>
      <c r="Z1846" s="1" t="str">
        <f>"42087/710"</f>
        <v>42087/710</v>
      </c>
      <c r="AA1846" s="1" t="str">
        <f>"شركت  ساخت وتوسعه راهها"</f>
        <v>شركت  ساخت وتوسعه راهها</v>
      </c>
      <c r="AB1846" s="1" t="str">
        <f>"95/08/29"</f>
        <v>95/08/29</v>
      </c>
      <c r="AC1846" s="1" t="str">
        <f>"استان كرمان"</f>
        <v>استان كرمان</v>
      </c>
      <c r="AD1846" s="1" t="str">
        <f>"95/09/09"</f>
        <v>95/09/09</v>
      </c>
      <c r="AE1846" s="1" t="str">
        <f t="shared" si="488"/>
        <v>اختتام</v>
      </c>
      <c r="AF1846" s="1" t="str">
        <f>""</f>
        <v/>
      </c>
      <c r="AG1846" s="1" t="str">
        <f>""</f>
        <v/>
      </c>
      <c r="AH1846" s="1" t="str">
        <f>""</f>
        <v/>
      </c>
      <c r="AI1846" s="1" t="str">
        <f>""</f>
        <v/>
      </c>
      <c r="AJ1846" s="1" t="str">
        <f>""</f>
        <v/>
      </c>
      <c r="AK1846" s="1" t="str">
        <f>""</f>
        <v/>
      </c>
    </row>
    <row r="1847" spans="1:37" x14ac:dyDescent="0.2">
      <c r="A1847" s="1">
        <v>500000</v>
      </c>
      <c r="B1847" s="1">
        <v>951700022</v>
      </c>
      <c r="C1847" s="1" t="str">
        <f>"تخليه -كرمان محوررفسنجان -يزدشركت پ بل"</f>
        <v>تخليه -كرمان محوررفسنجان -يزدشركت پ بل</v>
      </c>
      <c r="D1847" s="1">
        <v>5650</v>
      </c>
      <c r="E1847" s="1">
        <v>500000</v>
      </c>
      <c r="F1847" s="1">
        <v>95</v>
      </c>
      <c r="G1847" s="1">
        <v>0</v>
      </c>
      <c r="H1847" s="1" t="str">
        <f>"95/02/15"</f>
        <v>95/02/15</v>
      </c>
      <c r="I1847" s="1" t="str">
        <f t="shared" si="478"/>
        <v>كيلوگرم</v>
      </c>
      <c r="J1847" s="1" t="str">
        <f t="shared" si="493"/>
        <v>0000000092</v>
      </c>
      <c r="K1847" s="1" t="str">
        <f t="shared" si="494"/>
        <v>قير  PG64-16</v>
      </c>
      <c r="L1847" s="1">
        <v>100</v>
      </c>
      <c r="M1847" s="1" t="str">
        <f t="shared" si="483"/>
        <v>مخازن قير اصفهان</v>
      </c>
      <c r="N1847" s="1">
        <v>7034</v>
      </c>
      <c r="O1847" s="1">
        <v>50030771</v>
      </c>
      <c r="P1847" s="1" t="str">
        <f>"  اداره كل راه وشهرسازي كرمان"</f>
        <v xml:space="preserve">  اداره كل راه وشهرسازي كرمان</v>
      </c>
      <c r="Q1847" s="1">
        <v>17</v>
      </c>
      <c r="R1847" s="1" t="str">
        <f>"فروش داخلي تهران - وزارت راه - راه روستايي - روکش"</f>
        <v>فروش داخلي تهران - وزارت راه - راه روستايي - روکش</v>
      </c>
      <c r="S1847" s="1" t="str">
        <f t="shared" si="479"/>
        <v>قرارداد فروش</v>
      </c>
      <c r="T1847" s="1" t="str">
        <f t="shared" si="480"/>
        <v>ندارد</v>
      </c>
      <c r="U1847" s="1" t="str">
        <f>"خضرائي فريدون(4844003)"</f>
        <v>خضرائي فريدون(4844003)</v>
      </c>
      <c r="V1847" s="1">
        <v>951700022</v>
      </c>
      <c r="W1847" s="1">
        <v>951700022</v>
      </c>
      <c r="X1847" s="1" t="str">
        <f>"1395401991"</f>
        <v>1395401991</v>
      </c>
      <c r="Y1847" s="1" t="str">
        <f>"95/02/15"</f>
        <v>95/02/15</v>
      </c>
      <c r="Z1847" s="1" t="str">
        <f>"65886/510"</f>
        <v>65886/510</v>
      </c>
      <c r="AA1847" s="1" t="str">
        <f>"راه روستائي -روكش"</f>
        <v>راه روستائي -روكش</v>
      </c>
      <c r="AB1847" s="1" t="str">
        <f>"94/12/01"</f>
        <v>94/12/01</v>
      </c>
      <c r="AC1847" s="1" t="str">
        <f>"استان كرمان"</f>
        <v>استان كرمان</v>
      </c>
      <c r="AD1847" s="1" t="str">
        <f>"95/02/11"</f>
        <v>95/02/11</v>
      </c>
      <c r="AE1847" s="1" t="str">
        <f t="shared" si="488"/>
        <v>اختتام</v>
      </c>
      <c r="AF1847" s="1" t="str">
        <f>""</f>
        <v/>
      </c>
      <c r="AG1847" s="1" t="str">
        <f>""</f>
        <v/>
      </c>
      <c r="AH1847" s="1" t="str">
        <f>""</f>
        <v/>
      </c>
      <c r="AI1847" s="1" t="str">
        <f>""</f>
        <v/>
      </c>
      <c r="AJ1847" s="1" t="str">
        <f>""</f>
        <v/>
      </c>
      <c r="AK1847" s="1" t="str">
        <f>""</f>
        <v/>
      </c>
    </row>
    <row r="1848" spans="1:37" x14ac:dyDescent="0.2">
      <c r="A1848" s="1">
        <v>110000</v>
      </c>
      <c r="B1848" s="1">
        <v>951700025</v>
      </c>
      <c r="C1848" s="1" t="str">
        <f>"تخليه -كرمان كيلومتر10جاده اختيارآبادكوه باداموئيه كارخانه كرمان بيس"</f>
        <v>تخليه -كرمان كيلومتر10جاده اختيارآبادكوه باداموئيه كارخانه كرمان بيس</v>
      </c>
      <c r="D1848" s="1">
        <v>5650</v>
      </c>
      <c r="E1848" s="1">
        <v>108920</v>
      </c>
      <c r="F1848" s="1">
        <v>95</v>
      </c>
      <c r="G1848" s="1">
        <v>1080</v>
      </c>
      <c r="H1848" s="1" t="str">
        <f>"95/02/15"</f>
        <v>95/02/15</v>
      </c>
      <c r="I1848" s="1" t="str">
        <f t="shared" si="478"/>
        <v>كيلوگرم</v>
      </c>
      <c r="J1848" s="1" t="str">
        <f t="shared" si="493"/>
        <v>0000000092</v>
      </c>
      <c r="K1848" s="1" t="str">
        <f t="shared" si="494"/>
        <v>قير  PG64-16</v>
      </c>
      <c r="L1848" s="1">
        <v>100</v>
      </c>
      <c r="M1848" s="1" t="str">
        <f t="shared" si="483"/>
        <v>مخازن قير اصفهان</v>
      </c>
      <c r="N1848" s="1">
        <v>7034</v>
      </c>
      <c r="O1848" s="1">
        <v>50030775</v>
      </c>
      <c r="P1848" s="1" t="str">
        <f>"  اداره كل راه وشهرسازي كرمان"</f>
        <v xml:space="preserve">  اداره كل راه وشهرسازي كرمان</v>
      </c>
      <c r="Q1848" s="1">
        <v>17</v>
      </c>
      <c r="R1848" s="1" t="str">
        <f>"فروش داخلي تهران - وزارت راه - راه روستايي - روکش"</f>
        <v>فروش داخلي تهران - وزارت راه - راه روستايي - روکش</v>
      </c>
      <c r="S1848" s="1" t="str">
        <f t="shared" si="479"/>
        <v>قرارداد فروش</v>
      </c>
      <c r="T1848" s="1" t="str">
        <f t="shared" si="480"/>
        <v>ندارد</v>
      </c>
      <c r="U1848" s="1" t="str">
        <f>"پورباقري ترابر (4914036)"</f>
        <v>پورباقري ترابر (4914036)</v>
      </c>
      <c r="V1848" s="1">
        <v>951700025</v>
      </c>
      <c r="W1848" s="1">
        <v>951700025</v>
      </c>
      <c r="X1848" s="1" t="str">
        <f>"1395401964"</f>
        <v>1395401964</v>
      </c>
      <c r="Y1848" s="1" t="str">
        <f>"95/02/15"</f>
        <v>95/02/15</v>
      </c>
      <c r="Z1848" s="1" t="str">
        <f>"66250/510"</f>
        <v>66250/510</v>
      </c>
      <c r="AA1848" s="1" t="str">
        <f>"راه روستائي -روكش"</f>
        <v>راه روستائي -روكش</v>
      </c>
      <c r="AB1848" s="1" t="str">
        <f>"94/12/02"</f>
        <v>94/12/02</v>
      </c>
      <c r="AC1848" s="1" t="str">
        <f>"استان كرمان"</f>
        <v>استان كرمان</v>
      </c>
      <c r="AD1848" s="1" t="str">
        <f>"95/02/11"</f>
        <v>95/02/11</v>
      </c>
      <c r="AE1848" s="1" t="str">
        <f t="shared" si="488"/>
        <v>اختتام</v>
      </c>
      <c r="AF1848" s="1" t="str">
        <f>""</f>
        <v/>
      </c>
      <c r="AG1848" s="1" t="str">
        <f>""</f>
        <v/>
      </c>
      <c r="AH1848" s="1" t="str">
        <f>""</f>
        <v/>
      </c>
      <c r="AI1848" s="1" t="str">
        <f>""</f>
        <v/>
      </c>
      <c r="AJ1848" s="1" t="str">
        <f>""</f>
        <v/>
      </c>
      <c r="AK1848" s="1" t="str">
        <f>""</f>
        <v/>
      </c>
    </row>
    <row r="1849" spans="1:37" x14ac:dyDescent="0.2">
      <c r="A1849" s="1">
        <v>1000000</v>
      </c>
      <c r="B1849" s="1">
        <v>951800068</v>
      </c>
      <c r="C1849" s="1" t="str">
        <f>"تخليه-پروژه آزاد راه کنارگذر غربي اصفهان"</f>
        <v>تخليه-پروژه آزاد راه کنارگذر غربي اصفهان</v>
      </c>
      <c r="D1849" s="1">
        <v>7176</v>
      </c>
      <c r="E1849" s="1">
        <v>990360</v>
      </c>
      <c r="F1849" s="1">
        <v>95</v>
      </c>
      <c r="G1849" s="1">
        <v>9640</v>
      </c>
      <c r="H1849" s="1" t="str">
        <f>"95/06/16"</f>
        <v>95/06/16</v>
      </c>
      <c r="I1849" s="1" t="str">
        <f t="shared" si="478"/>
        <v>كيلوگرم</v>
      </c>
      <c r="J1849" s="1" t="str">
        <f t="shared" si="493"/>
        <v>0000000092</v>
      </c>
      <c r="K1849" s="1" t="str">
        <f t="shared" si="494"/>
        <v>قير  PG64-16</v>
      </c>
      <c r="L1849" s="1">
        <v>100</v>
      </c>
      <c r="M1849" s="1" t="str">
        <f t="shared" si="483"/>
        <v>مخازن قير اصفهان</v>
      </c>
      <c r="N1849" s="1">
        <v>7079</v>
      </c>
      <c r="O1849" s="1">
        <v>50031815</v>
      </c>
      <c r="P1849" s="1" t="str">
        <f>"  ساختماني سيمين سپاهان"</f>
        <v xml:space="preserve">  ساختماني سيمين سپاهان</v>
      </c>
      <c r="Q1849" s="1">
        <v>18</v>
      </c>
      <c r="R1849" s="1" t="str">
        <f>"فروش داخلي تهران - وزارت راه - شرکت ساخت و توسعه راهها"</f>
        <v>فروش داخلي تهران - وزارت راه - شرکت ساخت و توسعه راهها</v>
      </c>
      <c r="S1849" s="1" t="str">
        <f t="shared" si="479"/>
        <v>قرارداد فروش</v>
      </c>
      <c r="T1849" s="1" t="str">
        <f t="shared" si="480"/>
        <v>ندارد</v>
      </c>
      <c r="U1849" s="1" t="str">
        <f>"افناني اسفندآبادي سعيد(4844002)"</f>
        <v>افناني اسفندآبادي سعيد(4844002)</v>
      </c>
      <c r="V1849" s="1">
        <v>951800068</v>
      </c>
      <c r="W1849" s="1">
        <v>951800068</v>
      </c>
      <c r="X1849" s="1" t="str">
        <f>"1395429276"</f>
        <v>1395429276</v>
      </c>
      <c r="Y1849" s="1" t="str">
        <f>"95/06/16"</f>
        <v>95/06/16</v>
      </c>
      <c r="Z1849" s="1" t="str">
        <f>"28209/510"</f>
        <v>28209/510</v>
      </c>
      <c r="AA1849" s="1" t="str">
        <f>"شركت  ساخت وتوسعه راهها"</f>
        <v>شركت  ساخت وتوسعه راهها</v>
      </c>
      <c r="AB1849" s="1" t="str">
        <f>"95/06/14"</f>
        <v>95/06/14</v>
      </c>
      <c r="AC1849" s="1" t="str">
        <f>"استان اصفهان"</f>
        <v>استان اصفهان</v>
      </c>
      <c r="AD1849" s="1" t="str">
        <f>"95/06/16"</f>
        <v>95/06/16</v>
      </c>
      <c r="AE1849" s="1" t="str">
        <f t="shared" si="488"/>
        <v>اختتام</v>
      </c>
      <c r="AF1849" s="1" t="str">
        <f>""</f>
        <v/>
      </c>
      <c r="AG1849" s="1" t="str">
        <f>""</f>
        <v/>
      </c>
      <c r="AH1849" s="1" t="str">
        <f>""</f>
        <v/>
      </c>
      <c r="AI1849" s="1" t="str">
        <f>""</f>
        <v/>
      </c>
      <c r="AJ1849" s="1" t="str">
        <f>""</f>
        <v/>
      </c>
      <c r="AK1849" s="1" t="str">
        <f>""</f>
        <v/>
      </c>
    </row>
    <row r="1850" spans="1:37" x14ac:dyDescent="0.2">
      <c r="A1850" s="1">
        <v>100000</v>
      </c>
      <c r="B1850" s="1">
        <v>951900127</v>
      </c>
      <c r="C1850" s="1" t="str">
        <f>"تخليه -خوربيابانك به سمت طبس -24كيلومتربعدازخوركارگاه شركت زرين سپاهان"</f>
        <v>تخليه -خوربيابانك به سمت طبس -24كيلومتربعدازخوركارگاه شركت زرين سپاهان</v>
      </c>
      <c r="D1850" s="1">
        <v>6726</v>
      </c>
      <c r="E1850" s="1">
        <v>99360</v>
      </c>
      <c r="F1850" s="1">
        <v>95</v>
      </c>
      <c r="G1850" s="1">
        <v>640</v>
      </c>
      <c r="H1850" s="1" t="str">
        <f>"95/05/26"</f>
        <v>95/05/26</v>
      </c>
      <c r="I1850" s="1" t="str">
        <f t="shared" si="478"/>
        <v>كيلوگرم</v>
      </c>
      <c r="J1850" s="1" t="str">
        <f t="shared" si="493"/>
        <v>0000000092</v>
      </c>
      <c r="K1850" s="1" t="str">
        <f t="shared" si="494"/>
        <v>قير  PG64-16</v>
      </c>
      <c r="L1850" s="1">
        <v>100</v>
      </c>
      <c r="M1850" s="1" t="str">
        <f t="shared" si="483"/>
        <v>مخازن قير اصفهان</v>
      </c>
      <c r="N1850" s="1">
        <v>7140</v>
      </c>
      <c r="O1850" s="1">
        <v>50031561</v>
      </c>
      <c r="P1850" s="1" t="str">
        <f>"  زرين سپاهان"</f>
        <v xml:space="preserve">  زرين سپاهان</v>
      </c>
      <c r="Q1850" s="1">
        <v>19</v>
      </c>
      <c r="R18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50" s="1" t="str">
        <f t="shared" si="479"/>
        <v>قرارداد فروش</v>
      </c>
      <c r="T1850" s="1" t="str">
        <f t="shared" si="480"/>
        <v>ندارد</v>
      </c>
      <c r="U1850" s="1" t="str">
        <f>"مرادي نجاتعلي(1020ج89)"</f>
        <v>مرادي نجاتعلي(1020ج89)</v>
      </c>
      <c r="V1850" s="1">
        <v>951900127</v>
      </c>
      <c r="W1850" s="1">
        <v>951900127</v>
      </c>
      <c r="X1850" s="1" t="str">
        <f>"1395423675"</f>
        <v>1395423675</v>
      </c>
      <c r="Y1850" s="1" t="str">
        <f>"95/05/26"</f>
        <v>95/05/26</v>
      </c>
      <c r="Z1850" s="1" t="str">
        <f>"22703/510"</f>
        <v>22703/510</v>
      </c>
      <c r="AA1850" s="1" t="str">
        <f>"سازمان راهداري وحمل نقل جاده اي"</f>
        <v>سازمان راهداري وحمل نقل جاده اي</v>
      </c>
      <c r="AB1850" s="1" t="str">
        <f>"95/05/19"</f>
        <v>95/05/19</v>
      </c>
      <c r="AC1850" s="1" t="str">
        <f>"استان اصفهان"</f>
        <v>استان اصفهان</v>
      </c>
      <c r="AD1850" s="1" t="str">
        <f>"95/05/24"</f>
        <v>95/05/24</v>
      </c>
      <c r="AE1850" s="1" t="str">
        <f t="shared" si="488"/>
        <v>اختتام</v>
      </c>
      <c r="AF1850" s="1" t="str">
        <f>""</f>
        <v/>
      </c>
      <c r="AG1850" s="1" t="str">
        <f>""</f>
        <v/>
      </c>
      <c r="AH1850" s="1" t="str">
        <f>""</f>
        <v/>
      </c>
      <c r="AI1850" s="1" t="str">
        <f>""</f>
        <v/>
      </c>
      <c r="AJ1850" s="1" t="str">
        <f>""</f>
        <v/>
      </c>
      <c r="AK1850" s="1" t="str">
        <f>""</f>
        <v/>
      </c>
    </row>
    <row r="1851" spans="1:37" x14ac:dyDescent="0.2">
      <c r="A1851" s="1">
        <v>1000000</v>
      </c>
      <c r="B1851" s="1">
        <v>951900189</v>
      </c>
      <c r="C1851" s="1" t="str">
        <f>"تخليه اصفهان سه راهي پليس راه جندق كيلومتر 5خور وبيابانك"</f>
        <v>تخليه اصفهان سه راهي پليس راه جندق كيلومتر 5خور وبيابانك</v>
      </c>
      <c r="D1851" s="1">
        <v>8323</v>
      </c>
      <c r="E1851" s="1">
        <v>220960</v>
      </c>
      <c r="F1851" s="1">
        <v>95</v>
      </c>
      <c r="G1851" s="1">
        <v>779040</v>
      </c>
      <c r="H1851" s="1" t="str">
        <f>"95/08/25"</f>
        <v>95/08/25</v>
      </c>
      <c r="I1851" s="1" t="str">
        <f t="shared" si="478"/>
        <v>كيلوگرم</v>
      </c>
      <c r="J1851" s="1" t="str">
        <f t="shared" si="493"/>
        <v>0000000092</v>
      </c>
      <c r="K1851" s="1" t="str">
        <f t="shared" si="494"/>
        <v>قير  PG64-16</v>
      </c>
      <c r="L1851" s="1">
        <v>100</v>
      </c>
      <c r="M1851" s="1" t="str">
        <f t="shared" si="483"/>
        <v>مخازن قير اصفهان</v>
      </c>
      <c r="N1851" s="1">
        <v>7140</v>
      </c>
      <c r="O1851" s="1">
        <v>50032604</v>
      </c>
      <c r="P1851" s="1" t="str">
        <f>"  زرين سپاهان"</f>
        <v xml:space="preserve">  زرين سپاهان</v>
      </c>
      <c r="Q1851" s="1">
        <v>19</v>
      </c>
      <c r="R18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51" s="1" t="str">
        <f t="shared" si="479"/>
        <v>قرارداد فروش</v>
      </c>
      <c r="T1851" s="1" t="str">
        <f t="shared" si="480"/>
        <v>ندارد</v>
      </c>
      <c r="U1851" s="1" t="str">
        <f>"مرادي نجاتعلي(1020ج89)"</f>
        <v>مرادي نجاتعلي(1020ج89)</v>
      </c>
      <c r="V1851" s="1">
        <v>951900189</v>
      </c>
      <c r="W1851" s="1">
        <v>951900189</v>
      </c>
      <c r="X1851" s="1" t="str">
        <f>"1395445248"</f>
        <v>1395445248</v>
      </c>
      <c r="Y1851" s="1" t="str">
        <f>"95/08/25"</f>
        <v>95/08/25</v>
      </c>
      <c r="Z1851" s="1" t="str">
        <f>"39742/710"</f>
        <v>39742/710</v>
      </c>
      <c r="AA1851" s="1" t="str">
        <f>"سازمان راهداري وحمل نقل جاده اي"</f>
        <v>سازمان راهداري وحمل نقل جاده اي</v>
      </c>
      <c r="AB1851" s="1" t="str">
        <f>"95/08/15"</f>
        <v>95/08/15</v>
      </c>
      <c r="AC1851" s="1" t="str">
        <f>"خراسان جنوبي"</f>
        <v>خراسان جنوبي</v>
      </c>
      <c r="AD1851" s="1" t="str">
        <f>"95/08/25"</f>
        <v>95/08/25</v>
      </c>
      <c r="AE1851" s="1" t="str">
        <f t="shared" si="488"/>
        <v>اختتام</v>
      </c>
      <c r="AF1851" s="1" t="str">
        <f>""</f>
        <v/>
      </c>
      <c r="AG1851" s="1" t="str">
        <f>""</f>
        <v/>
      </c>
      <c r="AH1851" s="1" t="str">
        <f>""</f>
        <v/>
      </c>
      <c r="AI1851" s="1" t="str">
        <f>""</f>
        <v/>
      </c>
      <c r="AJ1851" s="1" t="str">
        <f>""</f>
        <v/>
      </c>
      <c r="AK1851" s="1" t="str">
        <f>""</f>
        <v/>
      </c>
    </row>
    <row r="1852" spans="1:37" x14ac:dyDescent="0.2">
      <c r="A1852" s="1">
        <v>25000</v>
      </c>
      <c r="B1852" s="1">
        <v>951100108</v>
      </c>
      <c r="C1852" s="1" t="str">
        <f>"تخليه -زنجان -كيلومتر10جاده ترانزيت تبريز-زنجان"</f>
        <v>تخليه -زنجان -كيلومتر10جاده ترانزيت تبريز-زنجان</v>
      </c>
      <c r="D1852" s="1">
        <v>10200</v>
      </c>
      <c r="E1852" s="1">
        <v>23580</v>
      </c>
      <c r="F1852" s="1">
        <v>95</v>
      </c>
      <c r="G1852" s="1">
        <v>1420</v>
      </c>
      <c r="H1852" s="1" t="str">
        <f>"95/06/13"</f>
        <v>95/06/13</v>
      </c>
      <c r="I1852" s="1" t="str">
        <f t="shared" si="478"/>
        <v>كيلوگرم</v>
      </c>
      <c r="J1852" s="1" t="str">
        <f>"1000000003"</f>
        <v>1000000003</v>
      </c>
      <c r="K1852" s="1" t="str">
        <f>"قير MC250"</f>
        <v>قير MC250</v>
      </c>
      <c r="L1852" s="1">
        <v>100</v>
      </c>
      <c r="M1852" s="1" t="str">
        <f t="shared" si="483"/>
        <v>مخازن قير اصفهان</v>
      </c>
      <c r="N1852" s="1">
        <v>4002</v>
      </c>
      <c r="O1852" s="1">
        <v>50031751</v>
      </c>
      <c r="P1852" s="1" t="str">
        <f>"  زنجان رهساز"</f>
        <v xml:space="preserve">  زنجان رهساز</v>
      </c>
      <c r="Q1852" s="1">
        <v>11</v>
      </c>
      <c r="R1852" s="1" t="str">
        <f>"فروش داخلي تهران - بورس"</f>
        <v>فروش داخلي تهران - بورس</v>
      </c>
      <c r="S1852" s="1" t="str">
        <f t="shared" si="479"/>
        <v>قرارداد فروش</v>
      </c>
      <c r="T1852" s="1" t="str">
        <f t="shared" si="480"/>
        <v>ندارد</v>
      </c>
      <c r="U1852" s="1" t="str">
        <f>"خشكرودي عبدالصمد(1841045)"</f>
        <v>خشكرودي عبدالصمد(1841045)</v>
      </c>
      <c r="V1852" s="1">
        <v>951100108</v>
      </c>
      <c r="W1852" s="1">
        <v>951100108</v>
      </c>
      <c r="X1852" s="1" t="str">
        <f>"1395427810"</f>
        <v>1395427810</v>
      </c>
      <c r="Y1852" s="1" t="str">
        <f>"95/06/10"</f>
        <v>95/06/10</v>
      </c>
      <c r="Z1852" s="1" t="str">
        <f>"95-34564"</f>
        <v>95-34564</v>
      </c>
      <c r="AA1852" s="1" t="str">
        <f>"راه سازي"</f>
        <v>راه سازي</v>
      </c>
      <c r="AB1852" s="1" t="str">
        <f>"95/06/10"</f>
        <v>95/06/10</v>
      </c>
      <c r="AC1852" s="1" t="str">
        <f>"استان زنجان"</f>
        <v>استان زنجان</v>
      </c>
      <c r="AD1852" s="1" t="str">
        <f>"95/06/09"</f>
        <v>95/06/09</v>
      </c>
      <c r="AE1852" s="1" t="str">
        <f t="shared" si="488"/>
        <v>اختتام</v>
      </c>
      <c r="AF1852" s="1" t="str">
        <f>""</f>
        <v/>
      </c>
      <c r="AG1852" s="1" t="str">
        <f>""</f>
        <v/>
      </c>
      <c r="AH1852" s="1" t="str">
        <f>""</f>
        <v/>
      </c>
      <c r="AI1852" s="1" t="str">
        <f>""</f>
        <v/>
      </c>
      <c r="AJ1852" s="1" t="str">
        <f>""</f>
        <v/>
      </c>
      <c r="AK1852" s="1" t="str">
        <f>""</f>
        <v/>
      </c>
    </row>
    <row r="1853" spans="1:37" x14ac:dyDescent="0.2">
      <c r="A1853" s="1">
        <v>20000</v>
      </c>
      <c r="B1853" s="1">
        <v>951100110</v>
      </c>
      <c r="C1853" s="1" t="str">
        <f>"تخليه -كردستان -كيلومتر7جاده سنندج كامياران"</f>
        <v>تخليه -كردستان -كيلومتر7جاده سنندج كامياران</v>
      </c>
      <c r="D1853" s="1">
        <v>10200</v>
      </c>
      <c r="E1853" s="1">
        <v>20000</v>
      </c>
      <c r="F1853" s="1">
        <v>95</v>
      </c>
      <c r="G1853" s="1">
        <v>0</v>
      </c>
      <c r="H1853" s="1" t="str">
        <f>"95/06/14"</f>
        <v>95/06/14</v>
      </c>
      <c r="I1853" s="1" t="str">
        <f t="shared" si="478"/>
        <v>كيلوگرم</v>
      </c>
      <c r="J1853" s="1" t="str">
        <f>"1000000003"</f>
        <v>1000000003</v>
      </c>
      <c r="K1853" s="1" t="str">
        <f>"قير MC250"</f>
        <v>قير MC250</v>
      </c>
      <c r="L1853" s="1">
        <v>100</v>
      </c>
      <c r="M1853" s="1" t="str">
        <f t="shared" si="483"/>
        <v>مخازن قير اصفهان</v>
      </c>
      <c r="N1853" s="1">
        <v>4009</v>
      </c>
      <c r="O1853" s="1">
        <v>50031792</v>
      </c>
      <c r="P1853" s="1" t="str">
        <f>"  سازمان عمران و بازآفريني فضاي شهري شهرداري سنندج (2849000)"</f>
        <v xml:space="preserve">  سازمان عمران و بازآفريني فضاي شهري شهرداري سنندج (2849000)</v>
      </c>
      <c r="Q1853" s="1">
        <v>11</v>
      </c>
      <c r="R1853" s="1" t="str">
        <f>"فروش داخلي تهران - بورس"</f>
        <v>فروش داخلي تهران - بورس</v>
      </c>
      <c r="S1853" s="1" t="str">
        <f t="shared" si="479"/>
        <v>قرارداد فروش</v>
      </c>
      <c r="T1853" s="1" t="str">
        <f t="shared" si="480"/>
        <v>ندارد</v>
      </c>
      <c r="U1853" s="1" t="str">
        <f>"عظيمي محمد(2842015)"</f>
        <v>عظيمي محمد(2842015)</v>
      </c>
      <c r="V1853" s="1">
        <v>951100110</v>
      </c>
      <c r="W1853" s="1">
        <v>951100110</v>
      </c>
      <c r="X1853" s="1" t="str">
        <f>"1395427796"</f>
        <v>1395427796</v>
      </c>
      <c r="Y1853" s="1" t="str">
        <f>"95/06/14"</f>
        <v>95/06/14</v>
      </c>
      <c r="Z1853" s="1" t="str">
        <f>"95-34569"</f>
        <v>95-34569</v>
      </c>
      <c r="AA1853" s="1" t="str">
        <f>"شهرداريها"</f>
        <v>شهرداريها</v>
      </c>
      <c r="AB1853" s="1" t="str">
        <f>"95/06/14"</f>
        <v>95/06/14</v>
      </c>
      <c r="AC1853" s="1" t="str">
        <f>"استان كردستان"</f>
        <v>استان كردستان</v>
      </c>
      <c r="AD1853" s="1" t="str">
        <f>"95/06/09"</f>
        <v>95/06/09</v>
      </c>
      <c r="AE1853" s="1" t="str">
        <f t="shared" si="488"/>
        <v>اختتام</v>
      </c>
      <c r="AF1853" s="1" t="str">
        <f>""</f>
        <v/>
      </c>
      <c r="AG1853" s="1" t="str">
        <f>""</f>
        <v/>
      </c>
      <c r="AH1853" s="1" t="str">
        <f>""</f>
        <v/>
      </c>
      <c r="AI1853" s="1" t="str">
        <f>""</f>
        <v/>
      </c>
      <c r="AJ1853" s="1" t="str">
        <f>""</f>
        <v/>
      </c>
      <c r="AK1853" s="1" t="str">
        <f>""</f>
        <v/>
      </c>
    </row>
    <row r="1854" spans="1:37" x14ac:dyDescent="0.2">
      <c r="A1854" s="1">
        <v>270000</v>
      </c>
      <c r="B1854" s="1">
        <v>951400046</v>
      </c>
      <c r="C1854" s="1" t="str">
        <f>"تخليه -خراسان جنوبي -ديهوك اداره راه وشهرسازي ديهوك"</f>
        <v>تخليه -خراسان جنوبي -ديهوك اداره راه وشهرسازي ديهوك</v>
      </c>
      <c r="D1854" s="1">
        <v>9980</v>
      </c>
      <c r="E1854" s="1">
        <v>252760</v>
      </c>
      <c r="F1854" s="1">
        <v>95</v>
      </c>
      <c r="G1854" s="1">
        <v>17240</v>
      </c>
      <c r="H1854" s="1" t="str">
        <f>"95/04/28"</f>
        <v>95/04/28</v>
      </c>
      <c r="I1854" s="1" t="str">
        <f t="shared" si="478"/>
        <v>كيلوگرم</v>
      </c>
      <c r="J1854" s="1" t="str">
        <f>"1000000003"</f>
        <v>1000000003</v>
      </c>
      <c r="K1854" s="1" t="str">
        <f>"قير MC250"</f>
        <v>قير MC250</v>
      </c>
      <c r="L1854" s="1">
        <v>100</v>
      </c>
      <c r="M1854" s="1" t="str">
        <f t="shared" si="483"/>
        <v>مخازن قير اصفهان</v>
      </c>
      <c r="N1854" s="1">
        <v>4012</v>
      </c>
      <c r="O1854" s="1">
        <v>50031312</v>
      </c>
      <c r="P1854" s="1" t="str">
        <f>"  اداره كل راه و شهرسازي خراسان جنوبي"</f>
        <v xml:space="preserve">  اداره كل راه و شهرسازي خراسان جنوبي</v>
      </c>
      <c r="Q1854" s="1">
        <v>14</v>
      </c>
      <c r="R1854" s="1" t="str">
        <f>"فروش داخلي - وزارت راه - حوزه راه روستايي ساخت"</f>
        <v>فروش داخلي - وزارت راه - حوزه راه روستايي ساخت</v>
      </c>
      <c r="S1854" s="1" t="str">
        <f t="shared" si="479"/>
        <v>قرارداد فروش</v>
      </c>
      <c r="T1854" s="1" t="str">
        <f t="shared" si="480"/>
        <v>ندارد</v>
      </c>
      <c r="U1854" s="1" t="str">
        <f>"مظفري مرتضي(4844023)"</f>
        <v>مظفري مرتضي(4844023)</v>
      </c>
      <c r="V1854" s="1">
        <v>951400046</v>
      </c>
      <c r="W1854" s="1">
        <v>951400046</v>
      </c>
      <c r="X1854" s="1" t="str">
        <f>"1395416200"</f>
        <v>1395416200</v>
      </c>
      <c r="Y1854" s="1" t="str">
        <f>"95/04/28"</f>
        <v>95/04/28</v>
      </c>
      <c r="Z1854" s="1" t="str">
        <f>"17854/510"</f>
        <v>17854/510</v>
      </c>
      <c r="AA1854" s="1" t="str">
        <f>"راه وروستايي -ساخت"</f>
        <v>راه وروستايي -ساخت</v>
      </c>
      <c r="AB1854" s="1" t="str">
        <f>"95/04/26"</f>
        <v>95/04/26</v>
      </c>
      <c r="AC1854" s="1" t="str">
        <f>"خراسان جنوبي"</f>
        <v>خراسان جنوبي</v>
      </c>
      <c r="AD1854" s="1" t="str">
        <f>"95/04/28"</f>
        <v>95/04/28</v>
      </c>
      <c r="AE1854" s="1" t="str">
        <f t="shared" si="488"/>
        <v>اختتام</v>
      </c>
      <c r="AF1854" s="1" t="str">
        <f>""</f>
        <v/>
      </c>
      <c r="AG1854" s="1" t="str">
        <f>""</f>
        <v/>
      </c>
      <c r="AH1854" s="1" t="str">
        <f>""</f>
        <v/>
      </c>
      <c r="AI1854" s="1" t="str">
        <f>""</f>
        <v/>
      </c>
      <c r="AJ1854" s="1" t="str">
        <f>""</f>
        <v/>
      </c>
      <c r="AK1854" s="1" t="str">
        <f>""</f>
        <v/>
      </c>
    </row>
    <row r="1855" spans="1:37" x14ac:dyDescent="0.2">
      <c r="A1855" s="1">
        <v>410020</v>
      </c>
      <c r="B1855" s="1">
        <v>951800088</v>
      </c>
      <c r="C1855" s="1" t="str">
        <f>"تخليه -خراسان رضوي -پروژه بانددوم محوربجستان -فردوس -روستاي آهنگ -آرادان"</f>
        <v>تخليه -خراسان رضوي -پروژه بانددوم محوربجستان -فردوس -روستاي آهنگ -آرادان</v>
      </c>
      <c r="D1855" s="1">
        <v>8323</v>
      </c>
      <c r="E1855" s="1">
        <v>392440</v>
      </c>
      <c r="F1855" s="1">
        <v>95</v>
      </c>
      <c r="G1855" s="1">
        <v>17580</v>
      </c>
      <c r="H1855" s="1" t="str">
        <f>"95/08/08"</f>
        <v>95/08/08</v>
      </c>
      <c r="I1855" s="1" t="str">
        <f t="shared" si="478"/>
        <v>كيلوگرم</v>
      </c>
      <c r="J1855" s="1" t="str">
        <f t="shared" ref="J1855:J1883" si="495">"0000000092"</f>
        <v>0000000092</v>
      </c>
      <c r="K1855" s="1" t="str">
        <f t="shared" ref="K1855:K1883" si="496">"قير  PG64-16"</f>
        <v>قير  PG64-16</v>
      </c>
      <c r="L1855" s="1">
        <v>100</v>
      </c>
      <c r="M1855" s="1" t="str">
        <f t="shared" si="483"/>
        <v>مخازن قير اصفهان</v>
      </c>
      <c r="N1855" s="1">
        <v>8049</v>
      </c>
      <c r="O1855" s="1">
        <v>50032332</v>
      </c>
      <c r="P1855" s="1" t="str">
        <f>"  ساختماني آرادان"</f>
        <v xml:space="preserve">  ساختماني آرادان</v>
      </c>
      <c r="Q1855" s="1">
        <v>18</v>
      </c>
      <c r="R1855" s="1" t="str">
        <f>"فروش داخلي تهران - وزارت راه - شرکت ساخت و توسعه راهها"</f>
        <v>فروش داخلي تهران - وزارت راه - شرکت ساخت و توسعه راهها</v>
      </c>
      <c r="S1855" s="1" t="str">
        <f t="shared" si="479"/>
        <v>قرارداد فروش</v>
      </c>
      <c r="T1855" s="1" t="str">
        <f t="shared" si="480"/>
        <v>ندارد</v>
      </c>
      <c r="U1855" s="1" t="str">
        <f>"فتاح زاده سيداحمد(3843011)"</f>
        <v>فتاح زاده سيداحمد(3843011)</v>
      </c>
      <c r="V1855" s="1">
        <v>951800088</v>
      </c>
      <c r="W1855" s="1">
        <v>951800088</v>
      </c>
      <c r="X1855" s="1" t="str">
        <f>"1395427782"</f>
        <v>1395427782</v>
      </c>
      <c r="Y1855" s="1" t="str">
        <f>"95/08/08"</f>
        <v>95/08/08</v>
      </c>
      <c r="Z1855" s="1" t="str">
        <f>"26507/510"</f>
        <v>26507/510</v>
      </c>
      <c r="AA1855" s="1" t="str">
        <f>"شركت  ساخت وتوسعه راهها"</f>
        <v>شركت  ساخت وتوسعه راهها</v>
      </c>
      <c r="AB1855" s="1" t="str">
        <f>"95/06/07"</f>
        <v>95/06/07</v>
      </c>
      <c r="AC1855" s="1" t="str">
        <f>"خراسان رضوي"</f>
        <v>خراسان رضوي</v>
      </c>
      <c r="AD1855" s="1" t="str">
        <f>"95/06/09"</f>
        <v>95/06/09</v>
      </c>
      <c r="AE1855" s="1" t="str">
        <f t="shared" si="488"/>
        <v>اختتام</v>
      </c>
      <c r="AF1855" s="1" t="str">
        <f>""</f>
        <v/>
      </c>
      <c r="AG1855" s="1" t="str">
        <f>""</f>
        <v/>
      </c>
      <c r="AH1855" s="1" t="str">
        <f>""</f>
        <v/>
      </c>
      <c r="AI1855" s="1" t="str">
        <f>""</f>
        <v/>
      </c>
      <c r="AJ1855" s="1" t="str">
        <f>""</f>
        <v/>
      </c>
      <c r="AK1855" s="1" t="str">
        <f>""</f>
        <v/>
      </c>
    </row>
    <row r="1856" spans="1:37" x14ac:dyDescent="0.2">
      <c r="A1856" s="1">
        <v>800000</v>
      </c>
      <c r="B1856" s="1">
        <v>951800047</v>
      </c>
      <c r="C1856" s="1" t="str">
        <f>"تخليه -يزد-كيلومتر75جاده تفت -ابركوه -كارخانه آسفالت شركت ناوديس"</f>
        <v>تخليه -يزد-كيلومتر75جاده تفت -ابركوه -كارخانه آسفالت شركت ناوديس</v>
      </c>
      <c r="D1856" s="1">
        <v>6726</v>
      </c>
      <c r="E1856" s="1">
        <v>798480</v>
      </c>
      <c r="F1856" s="1">
        <v>95</v>
      </c>
      <c r="G1856" s="1">
        <v>1520</v>
      </c>
      <c r="H1856" s="1" t="str">
        <f>"95/05/23"</f>
        <v>95/05/23</v>
      </c>
      <c r="I1856" s="1" t="str">
        <f t="shared" si="478"/>
        <v>كيلوگرم</v>
      </c>
      <c r="J1856" s="1" t="str">
        <f t="shared" si="495"/>
        <v>0000000092</v>
      </c>
      <c r="K1856" s="1" t="str">
        <f t="shared" si="496"/>
        <v>قير  PG64-16</v>
      </c>
      <c r="L1856" s="1">
        <v>100</v>
      </c>
      <c r="M1856" s="1" t="str">
        <f t="shared" si="483"/>
        <v>مخازن قير اصفهان</v>
      </c>
      <c r="N1856" s="1">
        <v>8083</v>
      </c>
      <c r="O1856" s="1">
        <v>50031489</v>
      </c>
      <c r="P1856" s="1" t="str">
        <f>"  ناوديس راه"</f>
        <v xml:space="preserve">  ناوديس راه</v>
      </c>
      <c r="Q1856" s="1">
        <v>18</v>
      </c>
      <c r="R1856" s="1" t="str">
        <f>"فروش داخلي تهران - وزارت راه - شرکت ساخت و توسعه راهها"</f>
        <v>فروش داخلي تهران - وزارت راه - شرکت ساخت و توسعه راهها</v>
      </c>
      <c r="S1856" s="1" t="str">
        <f t="shared" si="479"/>
        <v>قرارداد فروش</v>
      </c>
      <c r="T1856" s="1" t="str">
        <f t="shared" si="480"/>
        <v>ندارد</v>
      </c>
      <c r="U1856" s="1" t="str">
        <f>"عابدي محمود(1018ج89)"</f>
        <v>عابدي محمود(1018ج89)</v>
      </c>
      <c r="V1856" s="1">
        <v>951800047</v>
      </c>
      <c r="W1856" s="1">
        <v>951800047</v>
      </c>
      <c r="X1856" s="1" t="str">
        <f>"1395421981"</f>
        <v>1395421981</v>
      </c>
      <c r="Y1856" s="1" t="str">
        <f>"95/05/23"</f>
        <v>95/05/23</v>
      </c>
      <c r="Z1856" s="1" t="str">
        <f>"21037/510"</f>
        <v>21037/510</v>
      </c>
      <c r="AA1856" s="1" t="str">
        <f>"شركت  ساخت وتوسعه راهها"</f>
        <v>شركت  ساخت وتوسعه راهها</v>
      </c>
      <c r="AB1856" s="1" t="str">
        <f>"95/05/11"</f>
        <v>95/05/11</v>
      </c>
      <c r="AC1856" s="1" t="str">
        <f>"استان يزد"</f>
        <v>استان يزد</v>
      </c>
      <c r="AD1856" s="1" t="str">
        <f>"95/05/18"</f>
        <v>95/05/18</v>
      </c>
      <c r="AE1856" s="1" t="str">
        <f t="shared" si="488"/>
        <v>اختتام</v>
      </c>
      <c r="AF1856" s="1" t="str">
        <f>""</f>
        <v/>
      </c>
      <c r="AG1856" s="1" t="str">
        <f>""</f>
        <v/>
      </c>
      <c r="AH1856" s="1" t="str">
        <f>""</f>
        <v/>
      </c>
      <c r="AI1856" s="1" t="str">
        <f>""</f>
        <v/>
      </c>
      <c r="AJ1856" s="1" t="str">
        <f>""</f>
        <v/>
      </c>
      <c r="AK1856" s="1" t="str">
        <f>""</f>
        <v/>
      </c>
    </row>
    <row r="1857" spans="1:37" x14ac:dyDescent="0.2">
      <c r="A1857" s="1">
        <v>70000</v>
      </c>
      <c r="B1857" s="1">
        <v>951700200</v>
      </c>
      <c r="C1857" s="1" t="str">
        <f>"تخليه -اصفهان -نطنزكيلومتر5جاده گل آباد-روبروي ايستگاه راه آهن -كارخانه آسفالت ايران مترو"</f>
        <v>تخليه -اصفهان -نطنزكيلومتر5جاده گل آباد-روبروي ايستگاه راه آهن -كارخانه آسفالت ايران مترو</v>
      </c>
      <c r="D1857" s="1">
        <v>7176</v>
      </c>
      <c r="E1857" s="1">
        <v>68860</v>
      </c>
      <c r="F1857" s="1">
        <v>95</v>
      </c>
      <c r="G1857" s="1">
        <v>1140</v>
      </c>
      <c r="H1857" s="1" t="str">
        <f>"95/06/15"</f>
        <v>95/06/15</v>
      </c>
      <c r="I1857" s="1" t="str">
        <f t="shared" si="478"/>
        <v>كيلوگرم</v>
      </c>
      <c r="J1857" s="1" t="str">
        <f t="shared" si="495"/>
        <v>0000000092</v>
      </c>
      <c r="K1857" s="1" t="str">
        <f t="shared" si="496"/>
        <v>قير  PG64-16</v>
      </c>
      <c r="L1857" s="1">
        <v>100</v>
      </c>
      <c r="M1857" s="1" t="str">
        <f t="shared" si="483"/>
        <v>مخازن قير اصفهان</v>
      </c>
      <c r="N1857" s="1">
        <v>8091</v>
      </c>
      <c r="O1857" s="1">
        <v>50031801</v>
      </c>
      <c r="P1857" s="1" t="str">
        <f>"  اداره كل راه وشهرسازي اصفهان"</f>
        <v xml:space="preserve">  اداره كل راه وشهرسازي اصفهان</v>
      </c>
      <c r="Q1857" s="1">
        <v>17</v>
      </c>
      <c r="R1857" s="1" t="str">
        <f>"فروش داخلي تهران - وزارت راه - راه روستايي - روکش"</f>
        <v>فروش داخلي تهران - وزارت راه - راه روستايي - روکش</v>
      </c>
      <c r="S1857" s="1" t="str">
        <f t="shared" si="479"/>
        <v>قرارداد فروش</v>
      </c>
      <c r="T1857" s="1" t="str">
        <f t="shared" si="480"/>
        <v>ندارد</v>
      </c>
      <c r="U1857" s="1" t="str">
        <f>"معماريان سعيد(1004ج89)"</f>
        <v>معماريان سعيد(1004ج89)</v>
      </c>
      <c r="V1857" s="1">
        <v>951700200</v>
      </c>
      <c r="W1857" s="1">
        <v>951700200</v>
      </c>
      <c r="X1857" s="1" t="str">
        <f>"1395428994"</f>
        <v>1395428994</v>
      </c>
      <c r="Y1857" s="1" t="str">
        <f>"95/06/15"</f>
        <v>95/06/15</v>
      </c>
      <c r="Z1857" s="1" t="str">
        <f>"27492/510"</f>
        <v>27492/510</v>
      </c>
      <c r="AA1857" s="1" t="str">
        <f>"راه روستائي -روكش"</f>
        <v>راه روستائي -روكش</v>
      </c>
      <c r="AB1857" s="1" t="str">
        <f>"95/06/01"</f>
        <v>95/06/01</v>
      </c>
      <c r="AC1857" s="1" t="str">
        <f>"استان اصفهان"</f>
        <v>استان اصفهان</v>
      </c>
      <c r="AD1857" s="1" t="str">
        <f>"95/06/14"</f>
        <v>95/06/14</v>
      </c>
      <c r="AE1857" s="1" t="str">
        <f t="shared" si="488"/>
        <v>اختتام</v>
      </c>
      <c r="AF1857" s="1" t="str">
        <f>""</f>
        <v/>
      </c>
      <c r="AG1857" s="1" t="str">
        <f>""</f>
        <v/>
      </c>
      <c r="AH1857" s="1" t="str">
        <f>""</f>
        <v/>
      </c>
      <c r="AI1857" s="1" t="str">
        <f>""</f>
        <v/>
      </c>
      <c r="AJ1857" s="1" t="str">
        <f>""</f>
        <v/>
      </c>
      <c r="AK1857" s="1" t="str">
        <f>""</f>
        <v/>
      </c>
    </row>
    <row r="1858" spans="1:37" x14ac:dyDescent="0.2">
      <c r="A1858" s="1">
        <v>439280</v>
      </c>
      <c r="B1858" s="1">
        <v>951700280</v>
      </c>
      <c r="C1858" s="1" t="str">
        <f>"تخليه -اصفهان جاده اصفهان -جرقويه محورنيك آباد-حسن آبادكارخانه آسفالت شركت گل راه نقش جهان"</f>
        <v>تخليه -اصفهان جاده اصفهان -جرقويه محورنيك آباد-حسن آبادكارخانه آسفالت شركت گل راه نقش جهان</v>
      </c>
      <c r="D1858" s="1">
        <v>8323</v>
      </c>
      <c r="E1858" s="1">
        <v>438740</v>
      </c>
      <c r="F1858" s="1">
        <v>95</v>
      </c>
      <c r="G1858" s="1">
        <v>540</v>
      </c>
      <c r="H1858" s="1" t="str">
        <f>"95/08/09"</f>
        <v>95/08/09</v>
      </c>
      <c r="I1858" s="1" t="str">
        <f t="shared" ref="I1858:I1921" si="497">"كيلوگرم"</f>
        <v>كيلوگرم</v>
      </c>
      <c r="J1858" s="1" t="str">
        <f t="shared" si="495"/>
        <v>0000000092</v>
      </c>
      <c r="K1858" s="1" t="str">
        <f t="shared" si="496"/>
        <v>قير  PG64-16</v>
      </c>
      <c r="L1858" s="1">
        <v>100</v>
      </c>
      <c r="M1858" s="1" t="str">
        <f t="shared" si="483"/>
        <v>مخازن قير اصفهان</v>
      </c>
      <c r="N1858" s="1">
        <v>8091</v>
      </c>
      <c r="O1858" s="1">
        <v>50032418</v>
      </c>
      <c r="P1858" s="1" t="str">
        <f>"  اداره كل راه وشهرسازي اصفهان"</f>
        <v xml:space="preserve">  اداره كل راه وشهرسازي اصفهان</v>
      </c>
      <c r="Q1858" s="1">
        <v>17</v>
      </c>
      <c r="R1858" s="1" t="str">
        <f>"فروش داخلي تهران - وزارت راه - راه روستايي - روکش"</f>
        <v>فروش داخلي تهران - وزارت راه - راه روستايي - روکش</v>
      </c>
      <c r="S1858" s="1" t="str">
        <f t="shared" ref="S1858:S1921" si="498">"قرارداد فروش"</f>
        <v>قرارداد فروش</v>
      </c>
      <c r="T1858" s="1" t="str">
        <f t="shared" ref="T1858:T1921" si="499">"ندارد"</f>
        <v>ندارد</v>
      </c>
      <c r="U1858" s="1" t="str">
        <f>"اسماعيلي پور امين (1013ج89)"</f>
        <v>اسماعيلي پور امين (1013ج89)</v>
      </c>
      <c r="V1858" s="1">
        <v>951700280</v>
      </c>
      <c r="W1858" s="1">
        <v>951700280</v>
      </c>
      <c r="X1858" s="1" t="str">
        <f>"1395426942"</f>
        <v>1395426942</v>
      </c>
      <c r="Y1858" s="1" t="str">
        <f>"95/08/09"</f>
        <v>95/08/09</v>
      </c>
      <c r="Z1858" s="1" t="str">
        <f>"23382/510"</f>
        <v>23382/510</v>
      </c>
      <c r="AA1858" s="1" t="str">
        <f>"راه روستائي -روكش"</f>
        <v>راه روستائي -روكش</v>
      </c>
      <c r="AB1858" s="1" t="str">
        <f>"95/05/24"</f>
        <v>95/05/24</v>
      </c>
      <c r="AC1858" s="1" t="str">
        <f>"استان اصفهان"</f>
        <v>استان اصفهان</v>
      </c>
      <c r="AD1858" s="1" t="str">
        <f>"95/06/06"</f>
        <v>95/06/06</v>
      </c>
      <c r="AE1858" s="1" t="str">
        <f t="shared" si="488"/>
        <v>اختتام</v>
      </c>
      <c r="AF1858" s="1" t="str">
        <f>""</f>
        <v/>
      </c>
      <c r="AG1858" s="1" t="str">
        <f>""</f>
        <v/>
      </c>
      <c r="AH1858" s="1" t="str">
        <f>""</f>
        <v/>
      </c>
      <c r="AI1858" s="1" t="str">
        <f>""</f>
        <v/>
      </c>
      <c r="AJ1858" s="1" t="str">
        <f>""</f>
        <v/>
      </c>
      <c r="AK1858" s="1" t="str">
        <f>""</f>
        <v/>
      </c>
    </row>
    <row r="1859" spans="1:37" x14ac:dyDescent="0.2">
      <c r="A1859" s="1">
        <v>32900</v>
      </c>
      <c r="B1859" s="1">
        <v>951700296</v>
      </c>
      <c r="C1859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1859" s="1">
        <v>9061</v>
      </c>
      <c r="E1859" s="1">
        <v>32660</v>
      </c>
      <c r="F1859" s="1">
        <v>95</v>
      </c>
      <c r="G1859" s="1">
        <v>240</v>
      </c>
      <c r="H1859" s="1" t="str">
        <f>"95/10/05"</f>
        <v>95/10/05</v>
      </c>
      <c r="I1859" s="1" t="str">
        <f t="shared" si="497"/>
        <v>كيلوگرم</v>
      </c>
      <c r="J1859" s="1" t="str">
        <f t="shared" si="495"/>
        <v>0000000092</v>
      </c>
      <c r="K1859" s="1" t="str">
        <f t="shared" si="496"/>
        <v>قير  PG64-16</v>
      </c>
      <c r="L1859" s="1">
        <v>100</v>
      </c>
      <c r="M1859" s="1" t="str">
        <f t="shared" si="483"/>
        <v>مخازن قير اصفهان</v>
      </c>
      <c r="N1859" s="1">
        <v>8091</v>
      </c>
      <c r="O1859" s="1">
        <v>50033141</v>
      </c>
      <c r="P1859" s="1" t="str">
        <f>"  اداره كل راه وشهرسازي اصفهان"</f>
        <v xml:space="preserve">  اداره كل راه وشهرسازي اصفهان</v>
      </c>
      <c r="Q1859" s="1">
        <v>17</v>
      </c>
      <c r="R1859" s="1" t="str">
        <f>"فروش داخلي تهران - وزارت راه - راه روستايي - روکش"</f>
        <v>فروش داخلي تهران - وزارت راه - راه روستايي - روکش</v>
      </c>
      <c r="S1859" s="1" t="str">
        <f t="shared" si="498"/>
        <v>قرارداد فروش</v>
      </c>
      <c r="T1859" s="1" t="str">
        <f t="shared" si="499"/>
        <v>ندارد</v>
      </c>
      <c r="U1859" s="1" t="str">
        <f>"مرادي نجاتعلي(1020ج89)"</f>
        <v>مرادي نجاتعلي(1020ج89)</v>
      </c>
      <c r="V1859" s="1">
        <v>951700296</v>
      </c>
      <c r="W1859" s="1">
        <v>951700296</v>
      </c>
      <c r="X1859" s="1" t="str">
        <f>"1395441011"</f>
        <v>1395441011</v>
      </c>
      <c r="Y1859" s="1" t="str">
        <f>"95/10/05"</f>
        <v>95/10/05</v>
      </c>
      <c r="Z1859" s="1" t="str">
        <f>"37222/710"</f>
        <v>37222/710</v>
      </c>
      <c r="AA1859" s="1" t="str">
        <f>"راه روستائي -روكش"</f>
        <v>راه روستائي -روكش</v>
      </c>
      <c r="AB1859" s="1" t="str">
        <f>"95/08/03"</f>
        <v>95/08/03</v>
      </c>
      <c r="AC1859" s="1" t="str">
        <f>"استان اصفهان"</f>
        <v>استان اصفهان</v>
      </c>
      <c r="AD1859" s="1" t="str">
        <f>"95/08/05"</f>
        <v>95/08/05</v>
      </c>
      <c r="AE1859" s="1" t="str">
        <f t="shared" si="488"/>
        <v>اختتام</v>
      </c>
      <c r="AF1859" s="1" t="str">
        <f>""</f>
        <v/>
      </c>
      <c r="AG1859" s="1" t="str">
        <f>""</f>
        <v/>
      </c>
      <c r="AH1859" s="1" t="str">
        <f>""</f>
        <v/>
      </c>
      <c r="AI1859" s="1" t="str">
        <f>""</f>
        <v/>
      </c>
      <c r="AJ1859" s="1" t="str">
        <f>""</f>
        <v/>
      </c>
      <c r="AK1859" s="1" t="str">
        <f>""</f>
        <v/>
      </c>
    </row>
    <row r="1860" spans="1:37" x14ac:dyDescent="0.2">
      <c r="A1860" s="1">
        <v>500000</v>
      </c>
      <c r="B1860" s="1">
        <v>951800066</v>
      </c>
      <c r="C1860" s="1" t="str">
        <f>"تخليه -ساوه بعدازپليس راه ساوه -همدان كارخانه آسفالت ايران اپرون"</f>
        <v>تخليه -ساوه بعدازپليس راه ساوه -همدان كارخانه آسفالت ايران اپرون</v>
      </c>
      <c r="D1860" s="1">
        <v>7176</v>
      </c>
      <c r="E1860" s="1">
        <v>498140</v>
      </c>
      <c r="F1860" s="1">
        <v>95</v>
      </c>
      <c r="G1860" s="1">
        <v>1860</v>
      </c>
      <c r="H1860" s="1" t="str">
        <f>"95/06/09"</f>
        <v>95/06/09</v>
      </c>
      <c r="I1860" s="1" t="str">
        <f t="shared" si="497"/>
        <v>كيلوگرم</v>
      </c>
      <c r="J1860" s="1" t="str">
        <f t="shared" si="495"/>
        <v>0000000092</v>
      </c>
      <c r="K1860" s="1" t="str">
        <f t="shared" si="496"/>
        <v>قير  PG64-16</v>
      </c>
      <c r="L1860" s="1">
        <v>100</v>
      </c>
      <c r="M1860" s="1" t="str">
        <f t="shared" si="483"/>
        <v>مخازن قير اصفهان</v>
      </c>
      <c r="N1860" s="1">
        <v>8102</v>
      </c>
      <c r="O1860" s="1">
        <v>50031729</v>
      </c>
      <c r="P1860" s="1" t="str">
        <f>"  ايران اپرون"</f>
        <v xml:space="preserve">  ايران اپرون</v>
      </c>
      <c r="Q1860" s="1">
        <v>18</v>
      </c>
      <c r="R1860" s="1" t="str">
        <f>"فروش داخلي تهران - وزارت راه - شرکت ساخت و توسعه راهها"</f>
        <v>فروش داخلي تهران - وزارت راه - شرکت ساخت و توسعه راهها</v>
      </c>
      <c r="S1860" s="1" t="str">
        <f t="shared" si="498"/>
        <v>قرارداد فروش</v>
      </c>
      <c r="T1860" s="1" t="str">
        <f t="shared" si="499"/>
        <v>ندارد</v>
      </c>
      <c r="U1860" s="1" t="str">
        <f>"معماريان سعيد(1004ج89)"</f>
        <v>معماريان سعيد(1004ج89)</v>
      </c>
      <c r="V1860" s="1">
        <v>951800066</v>
      </c>
      <c r="W1860" s="1">
        <v>951800066</v>
      </c>
      <c r="X1860" s="1" t="str">
        <f>"1395427785"</f>
        <v>1395427785</v>
      </c>
      <c r="Y1860" s="1" t="str">
        <f>"95/06/09"</f>
        <v>95/06/09</v>
      </c>
      <c r="Z1860" s="1" t="str">
        <f>"26399/510"</f>
        <v>26399/510</v>
      </c>
      <c r="AA1860" s="1" t="str">
        <f>"شركت  ساخت وتوسعه راهها"</f>
        <v>شركت  ساخت وتوسعه راهها</v>
      </c>
      <c r="AB1860" s="1" t="str">
        <f>"95/06/07"</f>
        <v>95/06/07</v>
      </c>
      <c r="AC1860" s="1" t="str">
        <f>"استان مركزي"</f>
        <v>استان مركزي</v>
      </c>
      <c r="AD1860" s="1" t="str">
        <f>"95/06/09"</f>
        <v>95/06/09</v>
      </c>
      <c r="AE1860" s="1" t="str">
        <f t="shared" si="488"/>
        <v>اختتام</v>
      </c>
      <c r="AF1860" s="1" t="str">
        <f>""</f>
        <v/>
      </c>
      <c r="AG1860" s="1" t="str">
        <f>""</f>
        <v/>
      </c>
      <c r="AH1860" s="1" t="str">
        <f>""</f>
        <v/>
      </c>
      <c r="AI1860" s="1" t="str">
        <f>""</f>
        <v/>
      </c>
      <c r="AJ1860" s="1" t="str">
        <f>""</f>
        <v/>
      </c>
      <c r="AK1860" s="1" t="str">
        <f>""</f>
        <v/>
      </c>
    </row>
    <row r="1861" spans="1:37" x14ac:dyDescent="0.2">
      <c r="A1861" s="1">
        <v>15300</v>
      </c>
      <c r="B1861" s="1">
        <v>951900256</v>
      </c>
      <c r="C1861" s="1" t="str">
        <f>"تخليه - ايلام -روکش آسفالت محور شاهبداغ-پل سيمره حاج نوري"</f>
        <v>تخليه - ايلام -روکش آسفالت محور شاهبداغ-پل سيمره حاج نوري</v>
      </c>
      <c r="D1861" s="1">
        <v>9511</v>
      </c>
      <c r="E1861" s="1">
        <v>14780</v>
      </c>
      <c r="F1861" s="1">
        <v>95</v>
      </c>
      <c r="G1861" s="1">
        <v>520</v>
      </c>
      <c r="H1861" s="1" t="str">
        <f>"95/11/03"</f>
        <v>95/11/03</v>
      </c>
      <c r="I1861" s="1" t="str">
        <f t="shared" si="497"/>
        <v>كيلوگرم</v>
      </c>
      <c r="J1861" s="1" t="str">
        <f t="shared" si="495"/>
        <v>0000000092</v>
      </c>
      <c r="K1861" s="1" t="str">
        <f t="shared" si="496"/>
        <v>قير  PG64-16</v>
      </c>
      <c r="L1861" s="1">
        <v>100</v>
      </c>
      <c r="M1861" s="1" t="str">
        <f t="shared" si="483"/>
        <v>مخازن قير اصفهان</v>
      </c>
      <c r="N1861" s="1">
        <v>8293</v>
      </c>
      <c r="O1861" s="1">
        <v>50033470</v>
      </c>
      <c r="P1861" s="1" t="str">
        <f>"  آج راه غرب"</f>
        <v xml:space="preserve">  آج راه غرب</v>
      </c>
      <c r="Q1861" s="1">
        <v>19</v>
      </c>
      <c r="R186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1" s="1" t="str">
        <f t="shared" si="498"/>
        <v>قرارداد فروش</v>
      </c>
      <c r="T1861" s="1" t="str">
        <f t="shared" si="499"/>
        <v>ندارد</v>
      </c>
      <c r="U1861" s="1" t="str">
        <f>"قره باغي مجيد(1871065)"</f>
        <v>قره باغي مجيد(1871065)</v>
      </c>
      <c r="V1861" s="1">
        <v>951900256</v>
      </c>
      <c r="W1861" s="1">
        <v>951900256</v>
      </c>
      <c r="X1861" s="1" t="str">
        <f>"1395458705"</f>
        <v>1395458705</v>
      </c>
      <c r="Y1861" s="1" t="str">
        <f>"95/11/03"</f>
        <v>95/11/03</v>
      </c>
      <c r="Z1861" s="1" t="str">
        <f>"52241/710"</f>
        <v>52241/710</v>
      </c>
      <c r="AA1861" s="1" t="str">
        <f>"سازمان راهداري وحمل نقل جاده اي"</f>
        <v>سازمان راهداري وحمل نقل جاده اي</v>
      </c>
      <c r="AB1861" s="1" t="str">
        <f>"95/10/22"</f>
        <v>95/10/22</v>
      </c>
      <c r="AC1861" s="1" t="str">
        <f>"استان ايلام"</f>
        <v>استان ايلام</v>
      </c>
      <c r="AD1861" s="1" t="str">
        <f>"95/10/25"</f>
        <v>95/10/25</v>
      </c>
      <c r="AE1861" s="1" t="str">
        <f t="shared" si="488"/>
        <v>اختتام</v>
      </c>
      <c r="AF1861" s="1" t="str">
        <f>""</f>
        <v/>
      </c>
      <c r="AG1861" s="1" t="str">
        <f>""</f>
        <v/>
      </c>
      <c r="AH1861" s="1" t="str">
        <f>""</f>
        <v/>
      </c>
      <c r="AI1861" s="1" t="str">
        <f>""</f>
        <v/>
      </c>
      <c r="AJ1861" s="1" t="str">
        <f>""</f>
        <v/>
      </c>
      <c r="AK1861" s="1" t="str">
        <f>""</f>
        <v/>
      </c>
    </row>
    <row r="1862" spans="1:37" x14ac:dyDescent="0.2">
      <c r="A1862" s="1">
        <v>150000</v>
      </c>
      <c r="B1862" s="1">
        <v>951900086</v>
      </c>
      <c r="C1862" s="1" t="str">
        <f>"تخليه -خرم آباد-جاده كمربندي -جاده پيريجد-كيلومتر2"</f>
        <v>تخليه -خرم آباد-جاده كمربندي -جاده پيريجد-كيلومتر2</v>
      </c>
      <c r="D1862" s="1">
        <v>6726</v>
      </c>
      <c r="E1862" s="1">
        <v>150000</v>
      </c>
      <c r="F1862" s="1">
        <v>95</v>
      </c>
      <c r="G1862" s="1">
        <v>0</v>
      </c>
      <c r="H1862" s="1" t="str">
        <f>"95/05/13"</f>
        <v>95/05/13</v>
      </c>
      <c r="I1862" s="1" t="str">
        <f t="shared" si="497"/>
        <v>كيلوگرم</v>
      </c>
      <c r="J1862" s="1" t="str">
        <f t="shared" si="495"/>
        <v>0000000092</v>
      </c>
      <c r="K1862" s="1" t="str">
        <f t="shared" si="496"/>
        <v>قير  PG64-16</v>
      </c>
      <c r="L1862" s="1">
        <v>100</v>
      </c>
      <c r="M1862" s="1" t="str">
        <f t="shared" si="483"/>
        <v>مخازن قير اصفهان</v>
      </c>
      <c r="N1862" s="1">
        <v>8305</v>
      </c>
      <c r="O1862" s="1">
        <v>50031419</v>
      </c>
      <c r="P1862" s="1" t="str">
        <f>"  سپهربستر"</f>
        <v xml:space="preserve">  سپهربستر</v>
      </c>
      <c r="Q1862" s="1">
        <v>19</v>
      </c>
      <c r="R186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2" s="1" t="str">
        <f t="shared" si="498"/>
        <v>قرارداد فروش</v>
      </c>
      <c r="T1862" s="1" t="str">
        <f t="shared" si="499"/>
        <v>ندارد</v>
      </c>
      <c r="U1862" s="1" t="str">
        <f>"ريسماني حسن(1007ج89)"</f>
        <v>ريسماني حسن(1007ج89)</v>
      </c>
      <c r="V1862" s="1">
        <v>951900086</v>
      </c>
      <c r="W1862" s="1">
        <v>951900086</v>
      </c>
      <c r="X1862" s="1" t="str">
        <f>"1395421143"</f>
        <v>1395421143</v>
      </c>
      <c r="Y1862" s="1" t="str">
        <f>"95/05/13"</f>
        <v>95/05/13</v>
      </c>
      <c r="Z1862" s="1" t="str">
        <f>"19972/510"</f>
        <v>19972/510</v>
      </c>
      <c r="AA1862" s="1" t="str">
        <f>"سازمان راهداري وحمل نقل جاده اي"</f>
        <v>سازمان راهداري وحمل نقل جاده اي</v>
      </c>
      <c r="AB1862" s="1" t="str">
        <f>"95/05/05"</f>
        <v>95/05/05</v>
      </c>
      <c r="AC1862" s="1" t="str">
        <f>"لرستان"</f>
        <v>لرستان</v>
      </c>
      <c r="AD1862" s="1" t="str">
        <f>"95/05/13"</f>
        <v>95/05/13</v>
      </c>
      <c r="AE1862" s="1" t="str">
        <f t="shared" si="488"/>
        <v>اختتام</v>
      </c>
      <c r="AF1862" s="1" t="str">
        <f>""</f>
        <v/>
      </c>
      <c r="AG1862" s="1" t="str">
        <f>""</f>
        <v/>
      </c>
      <c r="AH1862" s="1" t="str">
        <f>""</f>
        <v/>
      </c>
      <c r="AI1862" s="1" t="str">
        <f>""</f>
        <v/>
      </c>
      <c r="AJ1862" s="1" t="str">
        <f>""</f>
        <v/>
      </c>
      <c r="AK1862" s="1" t="str">
        <f>""</f>
        <v/>
      </c>
    </row>
    <row r="1863" spans="1:37" x14ac:dyDescent="0.2">
      <c r="A1863" s="1">
        <v>100000</v>
      </c>
      <c r="B1863" s="1">
        <v>951700140</v>
      </c>
      <c r="C1863" s="1" t="str">
        <f>"تخليه -ايلام چرداول تقاطع كارخانه سيمان مخازن شركت خردادراهساز"</f>
        <v>تخليه -ايلام چرداول تقاطع كارخانه سيمان مخازن شركت خردادراهساز</v>
      </c>
      <c r="D1863" s="1">
        <v>6726</v>
      </c>
      <c r="E1863" s="1">
        <v>99320</v>
      </c>
      <c r="F1863" s="1">
        <v>95</v>
      </c>
      <c r="G1863" s="1">
        <v>680</v>
      </c>
      <c r="H1863" s="1" t="str">
        <f>"95/05/16"</f>
        <v>95/05/16</v>
      </c>
      <c r="I1863" s="1" t="str">
        <f t="shared" si="497"/>
        <v>كيلوگرم</v>
      </c>
      <c r="J1863" s="1" t="str">
        <f t="shared" si="495"/>
        <v>0000000092</v>
      </c>
      <c r="K1863" s="1" t="str">
        <f t="shared" si="496"/>
        <v>قير  PG64-16</v>
      </c>
      <c r="L1863" s="1">
        <v>100</v>
      </c>
      <c r="M1863" s="1" t="str">
        <f t="shared" si="483"/>
        <v>مخازن قير اصفهان</v>
      </c>
      <c r="N1863" s="1">
        <v>8353</v>
      </c>
      <c r="O1863" s="1">
        <v>50031439</v>
      </c>
      <c r="P1863" s="1" t="str">
        <f>"  اداره كل راه و شهرسازي  ايلام"</f>
        <v xml:space="preserve">  اداره كل راه و شهرسازي  ايلام</v>
      </c>
      <c r="Q1863" s="1">
        <v>17</v>
      </c>
      <c r="R1863" s="1" t="str">
        <f>"فروش داخلي تهران - وزارت راه - راه روستايي - روکش"</f>
        <v>فروش داخلي تهران - وزارت راه - راه روستايي - روکش</v>
      </c>
      <c r="S1863" s="1" t="str">
        <f t="shared" si="498"/>
        <v>قرارداد فروش</v>
      </c>
      <c r="T1863" s="1" t="str">
        <f t="shared" si="499"/>
        <v>ندارد</v>
      </c>
      <c r="U1863" s="1" t="str">
        <f>"عظيمي محمد(2842015)"</f>
        <v>عظيمي محمد(2842015)</v>
      </c>
      <c r="V1863" s="1">
        <v>951700140</v>
      </c>
      <c r="W1863" s="1">
        <v>951700140</v>
      </c>
      <c r="X1863" s="1" t="str">
        <f>"1395421158"</f>
        <v>1395421158</v>
      </c>
      <c r="Y1863" s="1" t="str">
        <f>"95/05/16"</f>
        <v>95/05/16</v>
      </c>
      <c r="Z1863" s="1" t="str">
        <f>"20815/510"</f>
        <v>20815/510</v>
      </c>
      <c r="AA1863" s="1" t="str">
        <f>"راه روستائي -روكش"</f>
        <v>راه روستائي -روكش</v>
      </c>
      <c r="AB1863" s="1" t="str">
        <f>"95/05/11"</f>
        <v>95/05/11</v>
      </c>
      <c r="AC1863" s="1" t="str">
        <f>"استان ايلام"</f>
        <v>استان ايلام</v>
      </c>
      <c r="AD1863" s="1" t="str">
        <f>"95/05/13"</f>
        <v>95/05/13</v>
      </c>
      <c r="AE1863" s="1" t="str">
        <f t="shared" si="488"/>
        <v>اختتام</v>
      </c>
      <c r="AF1863" s="1" t="str">
        <f>""</f>
        <v/>
      </c>
      <c r="AG1863" s="1" t="str">
        <f>""</f>
        <v/>
      </c>
      <c r="AH1863" s="1" t="str">
        <f>""</f>
        <v/>
      </c>
      <c r="AI1863" s="1" t="str">
        <f>""</f>
        <v/>
      </c>
      <c r="AJ1863" s="1" t="str">
        <f>""</f>
        <v/>
      </c>
      <c r="AK1863" s="1" t="str">
        <f>""</f>
        <v/>
      </c>
    </row>
    <row r="1864" spans="1:37" x14ac:dyDescent="0.2">
      <c r="A1864" s="1">
        <v>500000</v>
      </c>
      <c r="B1864" s="1">
        <v>951900037</v>
      </c>
      <c r="C1864" s="1" t="str">
        <f>"تخليه-آزادراه قم- کاشان-مقابل باغ فين-کارخانه تدبير راه صفاهان"</f>
        <v>تخليه-آزادراه قم- کاشان-مقابل باغ فين-کارخانه تدبير راه صفاهان</v>
      </c>
      <c r="D1864" s="1">
        <v>6250</v>
      </c>
      <c r="E1864" s="1">
        <v>500000</v>
      </c>
      <c r="F1864" s="1">
        <v>95</v>
      </c>
      <c r="G1864" s="1">
        <v>0</v>
      </c>
      <c r="H1864" s="1" t="str">
        <f>"95/04/15"</f>
        <v>95/04/15</v>
      </c>
      <c r="I1864" s="1" t="str">
        <f t="shared" si="497"/>
        <v>كيلوگرم</v>
      </c>
      <c r="J1864" s="1" t="str">
        <f t="shared" si="495"/>
        <v>0000000092</v>
      </c>
      <c r="K1864" s="1" t="str">
        <f t="shared" si="496"/>
        <v>قير  PG64-16</v>
      </c>
      <c r="L1864" s="1">
        <v>100</v>
      </c>
      <c r="M1864" s="1" t="str">
        <f t="shared" ref="M1864:M1927" si="500">"مخازن قير اصفهان"</f>
        <v>مخازن قير اصفهان</v>
      </c>
      <c r="N1864" s="1">
        <v>8508</v>
      </c>
      <c r="O1864" s="1">
        <v>50031248</v>
      </c>
      <c r="P1864" s="1" t="str">
        <f>"  آزادراه اميركبير"</f>
        <v xml:space="preserve">  آزادراه اميركبير</v>
      </c>
      <c r="Q1864" s="1">
        <v>19</v>
      </c>
      <c r="R186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4" s="1" t="str">
        <f t="shared" si="498"/>
        <v>قرارداد فروش</v>
      </c>
      <c r="T1864" s="1" t="str">
        <f t="shared" si="499"/>
        <v>ندارد</v>
      </c>
      <c r="U1864" s="1" t="str">
        <f>"علي عابدي ابوالقاسم(1003ج89)"</f>
        <v>علي عابدي ابوالقاسم(1003ج89)</v>
      </c>
      <c r="V1864" s="1">
        <v>951900037</v>
      </c>
      <c r="W1864" s="1">
        <v>951900037</v>
      </c>
      <c r="X1864" s="1" t="str">
        <f>"1395413316"</f>
        <v>1395413316</v>
      </c>
      <c r="Y1864" s="1" t="str">
        <f>"95/04/15"</f>
        <v>95/04/15</v>
      </c>
      <c r="Z1864" s="1" t="str">
        <f>"62500/510"</f>
        <v>62500/510</v>
      </c>
      <c r="AA1864" s="1" t="str">
        <f>"سازمان راهداري وحمل نقل جاده اي"</f>
        <v>سازمان راهداري وحمل نقل جاده اي</v>
      </c>
      <c r="AB1864" s="1" t="str">
        <f>"94/11/12"</f>
        <v>94/11/12</v>
      </c>
      <c r="AC1864" s="1" t="str">
        <f>"استان اصفهان"</f>
        <v>استان اصفهان</v>
      </c>
      <c r="AD1864" s="1" t="str">
        <f>"95/04/15"</f>
        <v>95/04/15</v>
      </c>
      <c r="AE1864" s="1" t="str">
        <f t="shared" si="488"/>
        <v>اختتام</v>
      </c>
      <c r="AF1864" s="1" t="str">
        <f>""</f>
        <v/>
      </c>
      <c r="AG1864" s="1" t="str">
        <f>""</f>
        <v/>
      </c>
      <c r="AH1864" s="1" t="str">
        <f>""</f>
        <v/>
      </c>
      <c r="AI1864" s="1" t="str">
        <f>""</f>
        <v/>
      </c>
      <c r="AJ1864" s="1" t="str">
        <f>""</f>
        <v/>
      </c>
      <c r="AK1864" s="1" t="str">
        <f>""</f>
        <v/>
      </c>
    </row>
    <row r="1865" spans="1:37" x14ac:dyDescent="0.2">
      <c r="A1865" s="1">
        <v>500000</v>
      </c>
      <c r="B1865" s="1">
        <v>951900261</v>
      </c>
      <c r="C1865" s="1" t="str">
        <f>"تخليه سيستان وبلوچستان شهرستان چابهاركيلومتر55محورچابهارايرانشهركارخانه آسفالت اسپادانا"</f>
        <v>تخليه سيستان وبلوچستان شهرستان چابهاركيلومتر55محورچابهارايرانشهركارخانه آسفالت اسپادانا</v>
      </c>
      <c r="D1865" s="1">
        <v>8998</v>
      </c>
      <c r="E1865" s="1">
        <v>499920</v>
      </c>
      <c r="F1865" s="1">
        <v>95</v>
      </c>
      <c r="G1865" s="1">
        <v>80</v>
      </c>
      <c r="H1865" s="1" t="str">
        <f>"95/11/27"</f>
        <v>95/11/27</v>
      </c>
      <c r="I1865" s="1" t="str">
        <f t="shared" si="497"/>
        <v>كيلوگرم</v>
      </c>
      <c r="J1865" s="1" t="str">
        <f t="shared" si="495"/>
        <v>0000000092</v>
      </c>
      <c r="K1865" s="1" t="str">
        <f t="shared" si="496"/>
        <v>قير  PG64-16</v>
      </c>
      <c r="L1865" s="1">
        <v>100</v>
      </c>
      <c r="M1865" s="1" t="str">
        <f t="shared" si="500"/>
        <v>مخازن قير اصفهان</v>
      </c>
      <c r="N1865" s="1">
        <v>8729</v>
      </c>
      <c r="O1865" s="1">
        <v>50033775</v>
      </c>
      <c r="P1865" s="1" t="str">
        <f>"  بناپارس چابهار"</f>
        <v xml:space="preserve">  بناپارس چابهار</v>
      </c>
      <c r="Q1865" s="1">
        <v>19</v>
      </c>
      <c r="R18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5" s="1" t="str">
        <f t="shared" si="498"/>
        <v>قرارداد فروش</v>
      </c>
      <c r="T1865" s="1" t="str">
        <f t="shared" si="499"/>
        <v>ندارد</v>
      </c>
      <c r="U1865" s="1" t="str">
        <f>"هيزچي مرتضي(1841036)"</f>
        <v>هيزچي مرتضي(1841036)</v>
      </c>
      <c r="V1865" s="1">
        <v>951900261</v>
      </c>
      <c r="W1865" s="1">
        <v>951900261</v>
      </c>
      <c r="X1865" s="1" t="str">
        <f>"1395465845"</f>
        <v>1395465845</v>
      </c>
      <c r="Y1865" s="1" t="str">
        <f>"95/11/27"</f>
        <v>95/11/27</v>
      </c>
      <c r="Z1865" s="1" t="str">
        <f>"58549/710"</f>
        <v>58549/710</v>
      </c>
      <c r="AA1865" s="1" t="str">
        <f>"سازمان راهداري وحمل نقل جاده اي"</f>
        <v>سازمان راهداري وحمل نقل جاده اي</v>
      </c>
      <c r="AB1865" s="1" t="str">
        <f>"95/11/24"</f>
        <v>95/11/24</v>
      </c>
      <c r="AC1865" s="1" t="str">
        <f>"استان سيستان بلوچستان"</f>
        <v>استان سيستان بلوچستان</v>
      </c>
      <c r="AD1865" s="1" t="str">
        <f>"95/11/27"</f>
        <v>95/11/27</v>
      </c>
      <c r="AE1865" s="1" t="str">
        <f t="shared" si="488"/>
        <v>اختتام</v>
      </c>
      <c r="AF1865" s="1" t="str">
        <f>""</f>
        <v/>
      </c>
      <c r="AG1865" s="1" t="str">
        <f>""</f>
        <v/>
      </c>
      <c r="AH1865" s="1" t="str">
        <f>""</f>
        <v/>
      </c>
      <c r="AI1865" s="1" t="str">
        <f>""</f>
        <v/>
      </c>
      <c r="AJ1865" s="1" t="str">
        <f>""</f>
        <v/>
      </c>
      <c r="AK1865" s="1" t="str">
        <f>""</f>
        <v/>
      </c>
    </row>
    <row r="1866" spans="1:37" x14ac:dyDescent="0.2">
      <c r="A1866" s="1">
        <v>600000</v>
      </c>
      <c r="B1866" s="1">
        <v>951900270</v>
      </c>
      <c r="C1866" s="1" t="str">
        <f>"تخليه 100كيلومترمانده به چابهار-محورجكيگور-چابهار-فني مهندسي راهدارصنعت"</f>
        <v>تخليه 100كيلومترمانده به چابهار-محورجكيگور-چابهار-فني مهندسي راهدارصنعت</v>
      </c>
      <c r="D1866" s="1">
        <v>9354</v>
      </c>
      <c r="E1866" s="1">
        <v>599620</v>
      </c>
      <c r="F1866" s="1">
        <v>95</v>
      </c>
      <c r="G1866" s="1">
        <v>380</v>
      </c>
      <c r="H1866" s="1" t="str">
        <f>"95/12/10"</f>
        <v>95/12/10</v>
      </c>
      <c r="I1866" s="1" t="str">
        <f t="shared" si="497"/>
        <v>كيلوگرم</v>
      </c>
      <c r="J1866" s="1" t="str">
        <f t="shared" si="495"/>
        <v>0000000092</v>
      </c>
      <c r="K1866" s="1" t="str">
        <f t="shared" si="496"/>
        <v>قير  PG64-16</v>
      </c>
      <c r="L1866" s="1">
        <v>100</v>
      </c>
      <c r="M1866" s="1" t="str">
        <f t="shared" si="500"/>
        <v>مخازن قير اصفهان</v>
      </c>
      <c r="N1866" s="1">
        <v>9406</v>
      </c>
      <c r="O1866" s="1">
        <v>50033933</v>
      </c>
      <c r="P1866" s="1" t="str">
        <f>"  فني مهندسي راهدارصنعت"</f>
        <v xml:space="preserve">  فني مهندسي راهدارصنعت</v>
      </c>
      <c r="Q1866" s="1">
        <v>19</v>
      </c>
      <c r="R186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6" s="1" t="str">
        <f t="shared" si="498"/>
        <v>قرارداد فروش</v>
      </c>
      <c r="T1866" s="1" t="str">
        <f t="shared" si="499"/>
        <v>ندارد</v>
      </c>
      <c r="U1866" s="1" t="str">
        <f>"شهبازي محمدرضا(1029ج89)"</f>
        <v>شهبازي محمدرضا(1029ج89)</v>
      </c>
      <c r="V1866" s="1">
        <v>951900270</v>
      </c>
      <c r="W1866" s="1">
        <v>951900270</v>
      </c>
      <c r="X1866" s="1" t="str">
        <f>"1395468352"</f>
        <v>1395468352</v>
      </c>
      <c r="Y1866" s="1" t="str">
        <f>"95/12/10"</f>
        <v>95/12/10</v>
      </c>
      <c r="Z1866" s="1" t="str">
        <f>"62387/710"</f>
        <v>62387/710</v>
      </c>
      <c r="AA1866" s="1" t="str">
        <f>"سازمان راهداري وحمل نقل جاده اي"</f>
        <v>سازمان راهداري وحمل نقل جاده اي</v>
      </c>
      <c r="AB1866" s="1" t="str">
        <f>"95/12/09"</f>
        <v>95/12/09</v>
      </c>
      <c r="AC1866" s="1" t="str">
        <f>"ايرانشهر"</f>
        <v>ايرانشهر</v>
      </c>
      <c r="AD1866" s="1" t="str">
        <f>"95/12/10"</f>
        <v>95/12/10</v>
      </c>
      <c r="AE1866" s="1" t="str">
        <f t="shared" si="488"/>
        <v>اختتام</v>
      </c>
      <c r="AF1866" s="1" t="str">
        <f>""</f>
        <v/>
      </c>
      <c r="AG1866" s="1" t="str">
        <f>""</f>
        <v/>
      </c>
      <c r="AH1866" s="1" t="str">
        <f>""</f>
        <v/>
      </c>
      <c r="AI1866" s="1" t="str">
        <f>""</f>
        <v/>
      </c>
      <c r="AJ1866" s="1" t="str">
        <f>""</f>
        <v/>
      </c>
      <c r="AK1866" s="1" t="str">
        <f>""</f>
        <v/>
      </c>
    </row>
    <row r="1867" spans="1:37" x14ac:dyDescent="0.2">
      <c r="A1867" s="1">
        <v>1000000</v>
      </c>
      <c r="B1867" s="1">
        <v>951600071</v>
      </c>
      <c r="C1867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1867" s="1">
        <v>9061</v>
      </c>
      <c r="E1867" s="1">
        <v>999520</v>
      </c>
      <c r="F1867" s="1">
        <v>95</v>
      </c>
      <c r="G1867" s="1">
        <v>480</v>
      </c>
      <c r="H1867" s="1" t="str">
        <f>"95/10/15"</f>
        <v>95/10/15</v>
      </c>
      <c r="I1867" s="1" t="str">
        <f t="shared" si="497"/>
        <v>كيلوگرم</v>
      </c>
      <c r="J1867" s="1" t="str">
        <f t="shared" si="495"/>
        <v>0000000092</v>
      </c>
      <c r="K1867" s="1" t="str">
        <f t="shared" si="496"/>
        <v>قير  PG64-16</v>
      </c>
      <c r="L1867" s="1">
        <v>100</v>
      </c>
      <c r="M1867" s="1" t="str">
        <f t="shared" si="500"/>
        <v>مخازن قير اصفهان</v>
      </c>
      <c r="N1867" s="1">
        <v>9459</v>
      </c>
      <c r="O1867" s="1">
        <v>50033296</v>
      </c>
      <c r="P1867" s="1" t="str">
        <f>"  عمران سازه كاشيگري"</f>
        <v xml:space="preserve">  عمران سازه كاشيگري</v>
      </c>
      <c r="Q1867" s="1">
        <v>16</v>
      </c>
      <c r="R1867" s="1" t="str">
        <f>"فروش داخلي تهران - وزارت راه - معاونت اقتصاد"</f>
        <v>فروش داخلي تهران - وزارت راه - معاونت اقتصاد</v>
      </c>
      <c r="S1867" s="1" t="str">
        <f t="shared" si="498"/>
        <v>قرارداد فروش</v>
      </c>
      <c r="T1867" s="1" t="str">
        <f t="shared" si="499"/>
        <v>ندارد</v>
      </c>
      <c r="U1867" s="1" t="str">
        <f>"فتحي حميد(1901090)"</f>
        <v>فتحي حميد(1901090)</v>
      </c>
      <c r="V1867" s="1">
        <v>951600071</v>
      </c>
      <c r="W1867" s="1">
        <v>951600071</v>
      </c>
      <c r="X1867" s="1" t="str">
        <f>"1395457281"</f>
        <v>1395457281</v>
      </c>
      <c r="Y1867" s="1" t="str">
        <f>"95/10/15"</f>
        <v>95/10/15</v>
      </c>
      <c r="Z1867" s="1" t="str">
        <f>"46195/710"</f>
        <v>46195/710</v>
      </c>
      <c r="AA1867" s="1" t="str">
        <f>"معاونت اقتصادوزارت راه وشهرسازي"</f>
        <v>معاونت اقتصادوزارت راه وشهرسازي</v>
      </c>
      <c r="AB1867" s="1" t="str">
        <f>"95/09/22"</f>
        <v>95/09/22</v>
      </c>
      <c r="AC1867" s="1" t="str">
        <f>"استان هرمزگان"</f>
        <v>استان هرمزگان</v>
      </c>
      <c r="AD1867" s="1" t="str">
        <f>"95/10/15"</f>
        <v>95/10/15</v>
      </c>
      <c r="AE1867" s="1" t="str">
        <f t="shared" si="488"/>
        <v>اختتام</v>
      </c>
      <c r="AF1867" s="1" t="str">
        <f>""</f>
        <v/>
      </c>
      <c r="AG1867" s="1" t="str">
        <f>""</f>
        <v/>
      </c>
      <c r="AH1867" s="1" t="str">
        <f>""</f>
        <v/>
      </c>
      <c r="AI1867" s="1" t="str">
        <f>""</f>
        <v/>
      </c>
      <c r="AJ1867" s="1" t="str">
        <f>""</f>
        <v/>
      </c>
      <c r="AK1867" s="1" t="str">
        <f>""</f>
        <v/>
      </c>
    </row>
    <row r="1868" spans="1:37" x14ac:dyDescent="0.2">
      <c r="A1868" s="1">
        <v>1000000</v>
      </c>
      <c r="B1868" s="1">
        <v>951600095</v>
      </c>
      <c r="C1868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1868" s="1">
        <v>9068</v>
      </c>
      <c r="E1868" s="1">
        <v>998960</v>
      </c>
      <c r="F1868" s="1">
        <v>95</v>
      </c>
      <c r="G1868" s="1">
        <v>1040</v>
      </c>
      <c r="H1868" s="1" t="str">
        <f>"95/12/16"</f>
        <v>95/12/16</v>
      </c>
      <c r="I1868" s="1" t="str">
        <f t="shared" si="497"/>
        <v>كيلوگرم</v>
      </c>
      <c r="J1868" s="1" t="str">
        <f t="shared" si="495"/>
        <v>0000000092</v>
      </c>
      <c r="K1868" s="1" t="str">
        <f t="shared" si="496"/>
        <v>قير  PG64-16</v>
      </c>
      <c r="L1868" s="1">
        <v>100</v>
      </c>
      <c r="M1868" s="1" t="str">
        <f t="shared" si="500"/>
        <v>مخازن قير اصفهان</v>
      </c>
      <c r="N1868" s="1">
        <v>9459</v>
      </c>
      <c r="O1868" s="1">
        <v>50034022</v>
      </c>
      <c r="P1868" s="1" t="str">
        <f>"  عمران سازه كاشيگري"</f>
        <v xml:space="preserve">  عمران سازه كاشيگري</v>
      </c>
      <c r="Q1868" s="1">
        <v>16</v>
      </c>
      <c r="R1868" s="1" t="str">
        <f>"فروش داخلي تهران - وزارت راه - معاونت اقتصاد"</f>
        <v>فروش داخلي تهران - وزارت راه - معاونت اقتصاد</v>
      </c>
      <c r="S1868" s="1" t="str">
        <f t="shared" si="498"/>
        <v>قرارداد فروش</v>
      </c>
      <c r="T1868" s="1" t="str">
        <f t="shared" si="499"/>
        <v>ندارد</v>
      </c>
      <c r="U1868" s="1" t="str">
        <f>"فتحي حميد(1901090)"</f>
        <v>فتحي حميد(1901090)</v>
      </c>
      <c r="V1868" s="1">
        <v>951600095</v>
      </c>
      <c r="W1868" s="1">
        <v>951600095</v>
      </c>
      <c r="X1868" s="1" t="str">
        <f>"1395469191"</f>
        <v>1395469191</v>
      </c>
      <c r="Y1868" s="1" t="str">
        <f>"95/12/16"</f>
        <v>95/12/16</v>
      </c>
      <c r="Z1868" s="1" t="str">
        <f>"61926/710"</f>
        <v>61926/710</v>
      </c>
      <c r="AA1868" s="1" t="str">
        <f>"معاونت اقتصادوزارت راه وشهرسازي"</f>
        <v>معاونت اقتصادوزارت راه وشهرسازي</v>
      </c>
      <c r="AB1868" s="1" t="str">
        <f>"95/12/08"</f>
        <v>95/12/08</v>
      </c>
      <c r="AC1868" s="1" t="str">
        <f>"استان هرمزگان"</f>
        <v>استان هرمزگان</v>
      </c>
      <c r="AD1868" s="1" t="str">
        <f>"95/12/16"</f>
        <v>95/12/16</v>
      </c>
      <c r="AE1868" s="1" t="str">
        <f t="shared" si="488"/>
        <v>اختتام</v>
      </c>
      <c r="AF1868" s="1" t="str">
        <f>""</f>
        <v/>
      </c>
      <c r="AG1868" s="1" t="str">
        <f>""</f>
        <v/>
      </c>
      <c r="AH1868" s="1" t="str">
        <f>""</f>
        <v/>
      </c>
      <c r="AI1868" s="1" t="str">
        <f>""</f>
        <v/>
      </c>
      <c r="AJ1868" s="1" t="str">
        <f>""</f>
        <v/>
      </c>
      <c r="AK1868" s="1" t="str">
        <f>""</f>
        <v/>
      </c>
    </row>
    <row r="1869" spans="1:37" x14ac:dyDescent="0.2">
      <c r="A1869" s="1">
        <v>350000</v>
      </c>
      <c r="B1869" s="1">
        <v>951900081</v>
      </c>
      <c r="C1869" s="1" t="str">
        <f>"تخليه : لرستان - خرم آباد کيلومتر 50جاده پل قديمي کشکان روبروي پاسگاه انتظامي کارخانه آسفالت بهاروند"</f>
        <v>تخليه : لرستان - خرم آباد کيلومتر 50جاده پل قديمي کشکان روبروي پاسگاه انتظامي کارخانه آسفالت بهاروند</v>
      </c>
      <c r="D1869" s="1">
        <v>6726</v>
      </c>
      <c r="E1869" s="1">
        <v>350000</v>
      </c>
      <c r="F1869" s="1">
        <v>95</v>
      </c>
      <c r="G1869" s="1">
        <v>0</v>
      </c>
      <c r="H1869" s="1" t="str">
        <f>"95/05/11"</f>
        <v>95/05/11</v>
      </c>
      <c r="I1869" s="1" t="str">
        <f t="shared" si="497"/>
        <v>كيلوگرم</v>
      </c>
      <c r="J1869" s="1" t="str">
        <f t="shared" si="495"/>
        <v>0000000092</v>
      </c>
      <c r="K1869" s="1" t="str">
        <f t="shared" si="496"/>
        <v>قير  PG64-16</v>
      </c>
      <c r="L1869" s="1">
        <v>100</v>
      </c>
      <c r="M1869" s="1" t="str">
        <f t="shared" si="500"/>
        <v>مخازن قير اصفهان</v>
      </c>
      <c r="N1869" s="1">
        <v>9527</v>
      </c>
      <c r="O1869" s="1">
        <v>50031395</v>
      </c>
      <c r="P1869" s="1" t="str">
        <f>"  آبادگران راه خرم"</f>
        <v xml:space="preserve">  آبادگران راه خرم</v>
      </c>
      <c r="Q1869" s="1">
        <v>19</v>
      </c>
      <c r="R186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9" s="1" t="str">
        <f t="shared" si="498"/>
        <v>قرارداد فروش</v>
      </c>
      <c r="T1869" s="1" t="str">
        <f t="shared" si="499"/>
        <v>ندارد</v>
      </c>
      <c r="U1869" s="1" t="str">
        <f>"ريسماني حسن(1007ج89)"</f>
        <v>ريسماني حسن(1007ج89)</v>
      </c>
      <c r="V1869" s="1">
        <v>951900081</v>
      </c>
      <c r="W1869" s="1">
        <v>951900081</v>
      </c>
      <c r="X1869" s="1" t="str">
        <f>"1395419807"</f>
        <v>1395419807</v>
      </c>
      <c r="Y1869" s="1" t="str">
        <f>"95/05/11"</f>
        <v>95/05/11</v>
      </c>
      <c r="Z1869" s="1" t="str">
        <f>"19974/510"</f>
        <v>19974/510</v>
      </c>
      <c r="AA1869" s="1" t="str">
        <f>"سازمان راهداري وحمل نقل جاده اي"</f>
        <v>سازمان راهداري وحمل نقل جاده اي</v>
      </c>
      <c r="AB1869" s="1" t="str">
        <f>"95/05/05"</f>
        <v>95/05/05</v>
      </c>
      <c r="AC1869" s="1" t="str">
        <f>"لرستان"</f>
        <v>لرستان</v>
      </c>
      <c r="AD1869" s="1" t="str">
        <f>"95/05/11"</f>
        <v>95/05/11</v>
      </c>
      <c r="AE1869" s="1" t="str">
        <f t="shared" si="488"/>
        <v>اختتام</v>
      </c>
      <c r="AF1869" s="1" t="str">
        <f>""</f>
        <v/>
      </c>
      <c r="AG1869" s="1" t="str">
        <f>""</f>
        <v/>
      </c>
      <c r="AH1869" s="1" t="str">
        <f>""</f>
        <v/>
      </c>
      <c r="AI1869" s="1" t="str">
        <f>""</f>
        <v/>
      </c>
      <c r="AJ1869" s="1" t="str">
        <f>""</f>
        <v/>
      </c>
      <c r="AK1869" s="1" t="str">
        <f>""</f>
        <v/>
      </c>
    </row>
    <row r="1870" spans="1:37" x14ac:dyDescent="0.2">
      <c r="A1870" s="1">
        <v>300000</v>
      </c>
      <c r="B1870" s="1">
        <v>951900193</v>
      </c>
      <c r="C1870" s="1" t="str">
        <f>"تخليه -لرستان -كوهدشت -كارخانه آسفالت آبادگران راه خرم"</f>
        <v>تخليه -لرستان -كوهدشت -كارخانه آسفالت آبادگران راه خرم</v>
      </c>
      <c r="D1870" s="1">
        <v>8323</v>
      </c>
      <c r="E1870" s="1">
        <v>294000</v>
      </c>
      <c r="F1870" s="1">
        <v>95</v>
      </c>
      <c r="G1870" s="1">
        <v>6000</v>
      </c>
      <c r="H1870" s="1" t="str">
        <f>"95/08/26"</f>
        <v>95/08/26</v>
      </c>
      <c r="I1870" s="1" t="str">
        <f t="shared" si="497"/>
        <v>كيلوگرم</v>
      </c>
      <c r="J1870" s="1" t="str">
        <f t="shared" si="495"/>
        <v>0000000092</v>
      </c>
      <c r="K1870" s="1" t="str">
        <f t="shared" si="496"/>
        <v>قير  PG64-16</v>
      </c>
      <c r="L1870" s="1">
        <v>100</v>
      </c>
      <c r="M1870" s="1" t="str">
        <f t="shared" si="500"/>
        <v>مخازن قير اصفهان</v>
      </c>
      <c r="N1870" s="1">
        <v>9527</v>
      </c>
      <c r="O1870" s="1">
        <v>50032616</v>
      </c>
      <c r="P1870" s="1" t="str">
        <f>"  آبادگران راه خرم"</f>
        <v xml:space="preserve">  آبادگران راه خرم</v>
      </c>
      <c r="Q1870" s="1">
        <v>19</v>
      </c>
      <c r="R187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70" s="1" t="str">
        <f t="shared" si="498"/>
        <v>قرارداد فروش</v>
      </c>
      <c r="T1870" s="1" t="str">
        <f t="shared" si="499"/>
        <v>ندارد</v>
      </c>
      <c r="U1870" s="1" t="str">
        <f>"ريسماني حسن(1007ج89)"</f>
        <v>ريسماني حسن(1007ج89)</v>
      </c>
      <c r="V1870" s="1">
        <v>951900193</v>
      </c>
      <c r="W1870" s="1">
        <v>951900193</v>
      </c>
      <c r="X1870" s="1" t="str">
        <f>"1395446079"</f>
        <v>1395446079</v>
      </c>
      <c r="Y1870" s="1" t="str">
        <f>"95/08/26"</f>
        <v>95/08/26</v>
      </c>
      <c r="Z1870" s="1" t="str">
        <f>"39771/710"</f>
        <v>39771/710</v>
      </c>
      <c r="AA1870" s="1" t="str">
        <f>"سازمان راهداري وحمل نقل جاده اي"</f>
        <v>سازمان راهداري وحمل نقل جاده اي</v>
      </c>
      <c r="AB1870" s="1" t="str">
        <f>"95/08/15"</f>
        <v>95/08/15</v>
      </c>
      <c r="AC1870" s="1" t="str">
        <f>"لرستان"</f>
        <v>لرستان</v>
      </c>
      <c r="AD1870" s="1" t="str">
        <f>"95/08/26"</f>
        <v>95/08/26</v>
      </c>
      <c r="AE1870" s="1" t="str">
        <f t="shared" si="488"/>
        <v>اختتام</v>
      </c>
      <c r="AF1870" s="1" t="str">
        <f>""</f>
        <v/>
      </c>
      <c r="AG1870" s="1" t="str">
        <f>""</f>
        <v/>
      </c>
      <c r="AH1870" s="1" t="str">
        <f>""</f>
        <v/>
      </c>
      <c r="AI1870" s="1" t="str">
        <f>""</f>
        <v/>
      </c>
      <c r="AJ1870" s="1" t="str">
        <f>""</f>
        <v/>
      </c>
      <c r="AK1870" s="1" t="str">
        <f>""</f>
        <v/>
      </c>
    </row>
    <row r="1871" spans="1:37" x14ac:dyDescent="0.2">
      <c r="A1871" s="1">
        <v>1000000</v>
      </c>
      <c r="B1871" s="1">
        <v>951800064</v>
      </c>
      <c r="C1871" s="1" t="str">
        <f>"تخليه -اصفهان -داران -سه راه فريدون شهر-كيلومتريك به سمت بوئين مياندشت"</f>
        <v>تخليه -اصفهان -داران -سه راه فريدون شهر-كيلومتريك به سمت بوئين مياندشت</v>
      </c>
      <c r="D1871" s="1">
        <v>7176</v>
      </c>
      <c r="E1871" s="1">
        <v>1000000</v>
      </c>
      <c r="F1871" s="1">
        <v>95</v>
      </c>
      <c r="G1871" s="1">
        <v>0</v>
      </c>
      <c r="H1871" s="1" t="str">
        <f>"95/06/09"</f>
        <v>95/06/09</v>
      </c>
      <c r="I1871" s="1" t="str">
        <f t="shared" si="497"/>
        <v>كيلوگرم</v>
      </c>
      <c r="J1871" s="1" t="str">
        <f t="shared" si="495"/>
        <v>0000000092</v>
      </c>
      <c r="K1871" s="1" t="str">
        <f t="shared" si="496"/>
        <v>قير  PG64-16</v>
      </c>
      <c r="L1871" s="1">
        <v>100</v>
      </c>
      <c r="M1871" s="1" t="str">
        <f t="shared" si="500"/>
        <v>مخازن قير اصفهان</v>
      </c>
      <c r="N1871" s="1">
        <v>9639</v>
      </c>
      <c r="O1871" s="1">
        <v>50031722</v>
      </c>
      <c r="P1871" s="1" t="str">
        <f>"  بهاران بتن فراگيران"</f>
        <v xml:space="preserve">  بهاران بتن فراگيران</v>
      </c>
      <c r="Q1871" s="1">
        <v>18</v>
      </c>
      <c r="R1871" s="1" t="str">
        <f>"فروش داخلي تهران - وزارت راه - شرکت ساخت و توسعه راهها"</f>
        <v>فروش داخلي تهران - وزارت راه - شرکت ساخت و توسعه راهها</v>
      </c>
      <c r="S1871" s="1" t="str">
        <f t="shared" si="498"/>
        <v>قرارداد فروش</v>
      </c>
      <c r="T1871" s="1" t="str">
        <f t="shared" si="499"/>
        <v>ندارد</v>
      </c>
      <c r="U1871" s="1" t="str">
        <f>"مرادي نجاتعلي(1020ج89)"</f>
        <v>مرادي نجاتعلي(1020ج89)</v>
      </c>
      <c r="V1871" s="1">
        <v>951800064</v>
      </c>
      <c r="W1871" s="1">
        <v>951800064</v>
      </c>
      <c r="X1871" s="1" t="str">
        <f>"1395427786"</f>
        <v>1395427786</v>
      </c>
      <c r="Y1871" s="1" t="str">
        <f>"95/06/09"</f>
        <v>95/06/09</v>
      </c>
      <c r="Z1871" s="1" t="str">
        <f>"26633/510"</f>
        <v>26633/510</v>
      </c>
      <c r="AA1871" s="1" t="str">
        <f>"شركت  ساخت وتوسعه راهها"</f>
        <v>شركت  ساخت وتوسعه راهها</v>
      </c>
      <c r="AB1871" s="1" t="str">
        <f>"95/06/08"</f>
        <v>95/06/08</v>
      </c>
      <c r="AC1871" s="1" t="str">
        <f>"استان اصفهان"</f>
        <v>استان اصفهان</v>
      </c>
      <c r="AD1871" s="1" t="str">
        <f>"95/06/09"</f>
        <v>95/06/09</v>
      </c>
      <c r="AE1871" s="1" t="str">
        <f t="shared" si="488"/>
        <v>اختتام</v>
      </c>
      <c r="AF1871" s="1" t="str">
        <f>""</f>
        <v/>
      </c>
      <c r="AG1871" s="1" t="str">
        <f>""</f>
        <v/>
      </c>
      <c r="AH1871" s="1" t="str">
        <f>""</f>
        <v/>
      </c>
      <c r="AI1871" s="1" t="str">
        <f>""</f>
        <v/>
      </c>
      <c r="AJ1871" s="1" t="str">
        <f>""</f>
        <v/>
      </c>
      <c r="AK1871" s="1" t="str">
        <f>""</f>
        <v/>
      </c>
    </row>
    <row r="1872" spans="1:37" x14ac:dyDescent="0.2">
      <c r="A1872" s="1">
        <v>700000</v>
      </c>
      <c r="B1872" s="1">
        <v>951800069</v>
      </c>
      <c r="C1872" s="1" t="str">
        <f>"تخليه -اصفهان -داران -سه راه فريدون شهر-كيلومتريك به سمت بوئين مياندشت"</f>
        <v>تخليه -اصفهان -داران -سه راه فريدون شهر-كيلومتريك به سمت بوئين مياندشت</v>
      </c>
      <c r="D1872" s="1">
        <v>7176</v>
      </c>
      <c r="E1872" s="1">
        <v>698540</v>
      </c>
      <c r="F1872" s="1">
        <v>95</v>
      </c>
      <c r="G1872" s="1">
        <v>1460</v>
      </c>
      <c r="H1872" s="1" t="str">
        <f>"95/06/17"</f>
        <v>95/06/17</v>
      </c>
      <c r="I1872" s="1" t="str">
        <f t="shared" si="497"/>
        <v>كيلوگرم</v>
      </c>
      <c r="J1872" s="1" t="str">
        <f t="shared" si="495"/>
        <v>0000000092</v>
      </c>
      <c r="K1872" s="1" t="str">
        <f t="shared" si="496"/>
        <v>قير  PG64-16</v>
      </c>
      <c r="L1872" s="1">
        <v>100</v>
      </c>
      <c r="M1872" s="1" t="str">
        <f t="shared" si="500"/>
        <v>مخازن قير اصفهان</v>
      </c>
      <c r="N1872" s="1">
        <v>9639</v>
      </c>
      <c r="O1872" s="1">
        <v>50031827</v>
      </c>
      <c r="P1872" s="1" t="str">
        <f>"  بهاران بتن فراگيران"</f>
        <v xml:space="preserve">  بهاران بتن فراگيران</v>
      </c>
      <c r="Q1872" s="1">
        <v>18</v>
      </c>
      <c r="R1872" s="1" t="str">
        <f>"فروش داخلي تهران - وزارت راه - شرکت ساخت و توسعه راهها"</f>
        <v>فروش داخلي تهران - وزارت راه - شرکت ساخت و توسعه راهها</v>
      </c>
      <c r="S1872" s="1" t="str">
        <f t="shared" si="498"/>
        <v>قرارداد فروش</v>
      </c>
      <c r="T1872" s="1" t="str">
        <f t="shared" si="499"/>
        <v>ندارد</v>
      </c>
      <c r="U1872" s="1" t="str">
        <f>"مرادي نجاتعلي(1020ج89)"</f>
        <v>مرادي نجاتعلي(1020ج89)</v>
      </c>
      <c r="V1872" s="1">
        <v>951800069</v>
      </c>
      <c r="W1872" s="1">
        <v>951800069</v>
      </c>
      <c r="X1872" s="1" t="str">
        <f>"1395430314"</f>
        <v>1395430314</v>
      </c>
      <c r="Y1872" s="1" t="str">
        <f>"95/06/17"</f>
        <v>95/06/17</v>
      </c>
      <c r="Z1872" s="1" t="str">
        <f>"28817/510"</f>
        <v>28817/510</v>
      </c>
      <c r="AA1872" s="1" t="str">
        <f>"شركت  ساخت وتوسعه راهها"</f>
        <v>شركت  ساخت وتوسعه راهها</v>
      </c>
      <c r="AB1872" s="1" t="str">
        <f>"95/06/16"</f>
        <v>95/06/16</v>
      </c>
      <c r="AC1872" s="1" t="str">
        <f>"استان اصفهان"</f>
        <v>استان اصفهان</v>
      </c>
      <c r="AD1872" s="1" t="str">
        <f>"95/06/17"</f>
        <v>95/06/17</v>
      </c>
      <c r="AE1872" s="1" t="str">
        <f t="shared" si="488"/>
        <v>اختتام</v>
      </c>
      <c r="AF1872" s="1" t="str">
        <f>""</f>
        <v/>
      </c>
      <c r="AG1872" s="1" t="str">
        <f>""</f>
        <v/>
      </c>
      <c r="AH1872" s="1" t="str">
        <f>""</f>
        <v/>
      </c>
      <c r="AI1872" s="1" t="str">
        <f>""</f>
        <v/>
      </c>
      <c r="AJ1872" s="1" t="str">
        <f>""</f>
        <v/>
      </c>
      <c r="AK1872" s="1" t="str">
        <f>""</f>
        <v/>
      </c>
    </row>
    <row r="1873" spans="1:37" x14ac:dyDescent="0.2">
      <c r="A1873" s="1">
        <v>549000</v>
      </c>
      <c r="B1873" s="1">
        <v>951300003</v>
      </c>
      <c r="C1873" s="1" t="str">
        <f>"تخليه اصفهان جاده سيمان سپاهان خيابان 11شركت راه آژند"</f>
        <v>تخليه اصفهان جاده سيمان سپاهان خيابان 11شركت راه آژند</v>
      </c>
      <c r="D1873" s="1">
        <v>5650</v>
      </c>
      <c r="E1873" s="1">
        <v>548040</v>
      </c>
      <c r="F1873" s="1">
        <v>95</v>
      </c>
      <c r="G1873" s="1">
        <v>960</v>
      </c>
      <c r="H1873" s="1" t="str">
        <f>"95/02/15"</f>
        <v>95/02/15</v>
      </c>
      <c r="I1873" s="1" t="str">
        <f t="shared" si="497"/>
        <v>كيلوگرم</v>
      </c>
      <c r="J1873" s="1" t="str">
        <f t="shared" si="495"/>
        <v>0000000092</v>
      </c>
      <c r="K1873" s="1" t="str">
        <f t="shared" si="496"/>
        <v>قير  PG64-16</v>
      </c>
      <c r="L1873" s="1">
        <v>100</v>
      </c>
      <c r="M1873" s="1" t="str">
        <f t="shared" si="500"/>
        <v>مخازن قير اصفهان</v>
      </c>
      <c r="N1873" s="1">
        <v>9814</v>
      </c>
      <c r="O1873" s="1">
        <v>50030742</v>
      </c>
      <c r="P1873" s="1" t="str">
        <f>"  بنيادمسكن انقلاب اسلامي اصفهان"</f>
        <v xml:space="preserve">  بنيادمسكن انقلاب اسلامي اصفهان</v>
      </c>
      <c r="Q1873" s="1">
        <v>13</v>
      </c>
      <c r="R1873" s="1" t="str">
        <f>"فروش داخلي - وزارت راه - حوزه بنياد مسكن"</f>
        <v>فروش داخلي - وزارت راه - حوزه بنياد مسكن</v>
      </c>
      <c r="S1873" s="1" t="str">
        <f t="shared" si="498"/>
        <v>قرارداد فروش</v>
      </c>
      <c r="T1873" s="1" t="str">
        <f t="shared" si="499"/>
        <v>ندارد</v>
      </c>
      <c r="U1873" s="1" t="str">
        <f>"سيفي پور عبدالمجيد(1009ج89)"</f>
        <v>سيفي پور عبدالمجيد(1009ج89)</v>
      </c>
      <c r="V1873" s="1">
        <v>951300003</v>
      </c>
      <c r="W1873" s="1">
        <v>951300003</v>
      </c>
      <c r="X1873" s="1" t="str">
        <f>"1395401949"</f>
        <v>1395401949</v>
      </c>
      <c r="Y1873" s="1" t="str">
        <f>"95/02/15"</f>
        <v>95/02/15</v>
      </c>
      <c r="Z1873" s="1" t="str">
        <f>"64222/510"</f>
        <v>64222/510</v>
      </c>
      <c r="AA1873" s="1" t="str">
        <f>"بنياد مسكن -مسكن مهر"</f>
        <v>بنياد مسكن -مسكن مهر</v>
      </c>
      <c r="AB1873" s="1" t="str">
        <f>"94/11/20"</f>
        <v>94/11/20</v>
      </c>
      <c r="AC1873" s="1" t="str">
        <f>"استان اصفهان"</f>
        <v>استان اصفهان</v>
      </c>
      <c r="AD1873" s="1" t="str">
        <f>"95/02/11"</f>
        <v>95/02/11</v>
      </c>
      <c r="AE1873" s="1" t="str">
        <f t="shared" si="488"/>
        <v>اختتام</v>
      </c>
      <c r="AF1873" s="1" t="str">
        <f>""</f>
        <v/>
      </c>
      <c r="AG1873" s="1" t="str">
        <f>""</f>
        <v/>
      </c>
      <c r="AH1873" s="1" t="str">
        <f>""</f>
        <v/>
      </c>
      <c r="AI1873" s="1" t="str">
        <f>""</f>
        <v/>
      </c>
      <c r="AJ1873" s="1" t="str">
        <f>""</f>
        <v/>
      </c>
      <c r="AK1873" s="1" t="str">
        <f>""</f>
        <v/>
      </c>
    </row>
    <row r="1874" spans="1:37" x14ac:dyDescent="0.2">
      <c r="A1874" s="1">
        <v>166000</v>
      </c>
      <c r="B1874" s="1">
        <v>951300030</v>
      </c>
      <c r="C1874" s="1" t="str">
        <f>"تخليه اصفهان جاده مباركه بروجن بالاترازشهرك مجلسي ابتداي روستاي قميشلوكارخانه آسفالت تك شن"</f>
        <v>تخليه اصفهان جاده مباركه بروجن بالاترازشهرك مجلسي ابتداي روستاي قميشلوكارخانه آسفالت تك شن</v>
      </c>
      <c r="D1874" s="1">
        <v>8998</v>
      </c>
      <c r="E1874" s="1">
        <v>164640</v>
      </c>
      <c r="F1874" s="1">
        <v>95</v>
      </c>
      <c r="G1874" s="1">
        <v>1360</v>
      </c>
      <c r="H1874" s="1" t="str">
        <f>"95/12/18"</f>
        <v>95/12/18</v>
      </c>
      <c r="I1874" s="1" t="str">
        <f t="shared" si="497"/>
        <v>كيلوگرم</v>
      </c>
      <c r="J1874" s="1" t="str">
        <f t="shared" si="495"/>
        <v>0000000092</v>
      </c>
      <c r="K1874" s="1" t="str">
        <f t="shared" si="496"/>
        <v>قير  PG64-16</v>
      </c>
      <c r="L1874" s="1">
        <v>100</v>
      </c>
      <c r="M1874" s="1" t="str">
        <f t="shared" si="500"/>
        <v>مخازن قير اصفهان</v>
      </c>
      <c r="N1874" s="1">
        <v>9814</v>
      </c>
      <c r="O1874" s="1">
        <v>50034052</v>
      </c>
      <c r="P1874" s="1" t="str">
        <f>"  بنيادمسكن انقلاب اسلامي اصفهان"</f>
        <v xml:space="preserve">  بنيادمسكن انقلاب اسلامي اصفهان</v>
      </c>
      <c r="Q1874" s="1">
        <v>13</v>
      </c>
      <c r="R1874" s="1" t="str">
        <f>"فروش داخلي - وزارت راه - حوزه بنياد مسكن"</f>
        <v>فروش داخلي - وزارت راه - حوزه بنياد مسكن</v>
      </c>
      <c r="S1874" s="1" t="str">
        <f t="shared" si="498"/>
        <v>قرارداد فروش</v>
      </c>
      <c r="T1874" s="1" t="str">
        <f t="shared" si="499"/>
        <v>ندارد</v>
      </c>
      <c r="U1874" s="1" t="str">
        <f>"قره باغي مجيد(1871065)"</f>
        <v>قره باغي مجيد(1871065)</v>
      </c>
      <c r="V1874" s="1">
        <v>951300030</v>
      </c>
      <c r="W1874" s="1">
        <v>951300030</v>
      </c>
      <c r="X1874" s="1" t="str">
        <f>"1395469560"</f>
        <v>1395469560</v>
      </c>
      <c r="Y1874" s="1" t="str">
        <f>"95/12/18"</f>
        <v>95/12/18</v>
      </c>
      <c r="Z1874" s="1" t="str">
        <f>"63511/710"</f>
        <v>63511/710</v>
      </c>
      <c r="AA1874" s="1" t="str">
        <f>"بنياد مسكن -مسكن مهر"</f>
        <v>بنياد مسكن -مسكن مهر</v>
      </c>
      <c r="AB1874" s="1" t="str">
        <f>"95/12/14"</f>
        <v>95/12/14</v>
      </c>
      <c r="AC1874" s="1" t="str">
        <f>"استان اصفهان"</f>
        <v>استان اصفهان</v>
      </c>
      <c r="AD1874" s="1" t="str">
        <f>"95/12/17"</f>
        <v>95/12/17</v>
      </c>
      <c r="AE1874" s="1" t="str">
        <f t="shared" si="488"/>
        <v>اختتام</v>
      </c>
      <c r="AF1874" s="1" t="str">
        <f>""</f>
        <v/>
      </c>
      <c r="AG1874" s="1" t="str">
        <f>""</f>
        <v/>
      </c>
      <c r="AH1874" s="1" t="str">
        <f>""</f>
        <v/>
      </c>
      <c r="AI1874" s="1" t="str">
        <f>""</f>
        <v/>
      </c>
      <c r="AJ1874" s="1" t="str">
        <f>""</f>
        <v/>
      </c>
      <c r="AK1874" s="1" t="str">
        <f>""</f>
        <v/>
      </c>
    </row>
    <row r="1875" spans="1:37" x14ac:dyDescent="0.2">
      <c r="A1875" s="1">
        <v>300000</v>
      </c>
      <c r="B1875" s="1">
        <v>951900120</v>
      </c>
      <c r="C1875" s="1" t="str">
        <f>"تخليه -ايلام -ايوان سه راهي زرنه -سومار"</f>
        <v>تخليه -ايلام -ايوان سه راهي زرنه -سومار</v>
      </c>
      <c r="D1875" s="1">
        <v>6726</v>
      </c>
      <c r="E1875" s="1">
        <v>299640</v>
      </c>
      <c r="F1875" s="1">
        <v>95</v>
      </c>
      <c r="G1875" s="1">
        <v>360</v>
      </c>
      <c r="H1875" s="1" t="str">
        <f>"95/05/24"</f>
        <v>95/05/24</v>
      </c>
      <c r="I1875" s="1" t="str">
        <f t="shared" si="497"/>
        <v>كيلوگرم</v>
      </c>
      <c r="J1875" s="1" t="str">
        <f t="shared" si="495"/>
        <v>0000000092</v>
      </c>
      <c r="K1875" s="1" t="str">
        <f t="shared" si="496"/>
        <v>قير  PG64-16</v>
      </c>
      <c r="L1875" s="1">
        <v>100</v>
      </c>
      <c r="M1875" s="1" t="str">
        <f t="shared" si="500"/>
        <v>مخازن قير اصفهان</v>
      </c>
      <c r="N1875" s="1">
        <v>9857</v>
      </c>
      <c r="O1875" s="1">
        <v>50031518</v>
      </c>
      <c r="P1875" s="1" t="str">
        <f>"  پيمان پويا ايوان"</f>
        <v xml:space="preserve">  پيمان پويا ايوان</v>
      </c>
      <c r="Q1875" s="1">
        <v>19</v>
      </c>
      <c r="R187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75" s="1" t="str">
        <f t="shared" si="498"/>
        <v>قرارداد فروش</v>
      </c>
      <c r="T1875" s="1" t="str">
        <f t="shared" si="499"/>
        <v>ندارد</v>
      </c>
      <c r="U1875" s="1" t="str">
        <f>"عظيمي محمد(2842015)"</f>
        <v>عظيمي محمد(2842015)</v>
      </c>
      <c r="V1875" s="1">
        <v>951900120</v>
      </c>
      <c r="W1875" s="1">
        <v>951900120</v>
      </c>
      <c r="X1875" s="1" t="str">
        <f>"1395423457"</f>
        <v>1395423457</v>
      </c>
      <c r="Y1875" s="1" t="str">
        <f>"95/05/24"</f>
        <v>95/05/24</v>
      </c>
      <c r="Z1875" s="1" t="str">
        <f>"21911/510"</f>
        <v>21911/510</v>
      </c>
      <c r="AA1875" s="1" t="str">
        <f>"سازمان راهداري وحمل نقل جاده اي"</f>
        <v>سازمان راهداري وحمل نقل جاده اي</v>
      </c>
      <c r="AB1875" s="1" t="str">
        <f>"95/05/16"</f>
        <v>95/05/16</v>
      </c>
      <c r="AC1875" s="1" t="str">
        <f>"استان ايلام"</f>
        <v>استان ايلام</v>
      </c>
      <c r="AD1875" s="1" t="str">
        <f>"95/05/23"</f>
        <v>95/05/23</v>
      </c>
      <c r="AE1875" s="1" t="str">
        <f t="shared" si="488"/>
        <v>اختتام</v>
      </c>
      <c r="AF1875" s="1" t="str">
        <f>""</f>
        <v/>
      </c>
      <c r="AG1875" s="1" t="str">
        <f>""</f>
        <v/>
      </c>
      <c r="AH1875" s="1" t="str">
        <f>""</f>
        <v/>
      </c>
      <c r="AI1875" s="1" t="str">
        <f>""</f>
        <v/>
      </c>
      <c r="AJ1875" s="1" t="str">
        <f>""</f>
        <v/>
      </c>
      <c r="AK1875" s="1" t="str">
        <f>""</f>
        <v/>
      </c>
    </row>
    <row r="1876" spans="1:37" x14ac:dyDescent="0.2">
      <c r="A1876" s="1">
        <v>1000000</v>
      </c>
      <c r="B1876" s="1">
        <v>951600028</v>
      </c>
      <c r="C1876" s="1" t="str">
        <f>"تخليه -لرستان آسفالت سازمان همياري شهرداريهاي استان لرستان"</f>
        <v>تخليه -لرستان آسفالت سازمان همياري شهرداريهاي استان لرستان</v>
      </c>
      <c r="D1876" s="1">
        <v>7176</v>
      </c>
      <c r="E1876" s="1">
        <v>998420</v>
      </c>
      <c r="F1876" s="1">
        <v>95</v>
      </c>
      <c r="G1876" s="1">
        <v>1580</v>
      </c>
      <c r="H1876" s="1" t="str">
        <f>"95/06/17"</f>
        <v>95/06/17</v>
      </c>
      <c r="I1876" s="1" t="str">
        <f t="shared" si="497"/>
        <v>كيلوگرم</v>
      </c>
      <c r="J1876" s="1" t="str">
        <f t="shared" si="495"/>
        <v>0000000092</v>
      </c>
      <c r="K1876" s="1" t="str">
        <f t="shared" si="496"/>
        <v>قير  PG64-16</v>
      </c>
      <c r="L1876" s="1">
        <v>100</v>
      </c>
      <c r="M1876" s="1" t="str">
        <f t="shared" si="500"/>
        <v>مخازن قير اصفهان</v>
      </c>
      <c r="N1876" s="1">
        <v>9952</v>
      </c>
      <c r="O1876" s="1">
        <v>50031825</v>
      </c>
      <c r="P1876" s="1" t="str">
        <f>"  قرارگاه سازندگي خاتم الانبياء-موسسه اميدپارس"</f>
        <v xml:space="preserve">  قرارگاه سازندگي خاتم الانبياء-موسسه اميدپارس</v>
      </c>
      <c r="Q1876" s="1">
        <v>16</v>
      </c>
      <c r="R1876" s="1" t="str">
        <f>"فروش داخلي تهران - وزارت راه - معاونت اقتصاد"</f>
        <v>فروش داخلي تهران - وزارت راه - معاونت اقتصاد</v>
      </c>
      <c r="S1876" s="1" t="str">
        <f t="shared" si="498"/>
        <v>قرارداد فروش</v>
      </c>
      <c r="T1876" s="1" t="str">
        <f t="shared" si="499"/>
        <v>ندارد</v>
      </c>
      <c r="U1876" s="1" t="str">
        <f>"رضائي كلهر حسن (1901099)"</f>
        <v>رضائي كلهر حسن (1901099)</v>
      </c>
      <c r="V1876" s="1">
        <v>951600028</v>
      </c>
      <c r="W1876" s="1">
        <v>951600028</v>
      </c>
      <c r="X1876" s="1" t="str">
        <f>"1395430318"</f>
        <v>1395430318</v>
      </c>
      <c r="Y1876" s="1" t="str">
        <f>"95/06/17"</f>
        <v>95/06/17</v>
      </c>
      <c r="Z1876" s="1" t="str">
        <f>"28499/510"</f>
        <v>28499/510</v>
      </c>
      <c r="AA1876" s="1" t="str">
        <f>"معاونت اقتصادوزارت راه وشهرسازي"</f>
        <v>معاونت اقتصادوزارت راه وشهرسازي</v>
      </c>
      <c r="AB1876" s="1" t="str">
        <f>"95/06/15"</f>
        <v>95/06/15</v>
      </c>
      <c r="AC1876" s="1" t="str">
        <f>"لرستان"</f>
        <v>لرستان</v>
      </c>
      <c r="AD1876" s="1" t="str">
        <f>"95/06/17"</f>
        <v>95/06/17</v>
      </c>
      <c r="AE1876" s="1" t="str">
        <f t="shared" si="488"/>
        <v>اختتام</v>
      </c>
      <c r="AF1876" s="1" t="str">
        <f>""</f>
        <v/>
      </c>
      <c r="AG1876" s="1" t="str">
        <f>""</f>
        <v/>
      </c>
      <c r="AH1876" s="1" t="str">
        <f>""</f>
        <v/>
      </c>
      <c r="AI1876" s="1" t="str">
        <f>""</f>
        <v/>
      </c>
      <c r="AJ1876" s="1" t="str">
        <f>""</f>
        <v/>
      </c>
      <c r="AK1876" s="1" t="str">
        <f>""</f>
        <v/>
      </c>
    </row>
    <row r="1877" spans="1:37" x14ac:dyDescent="0.2">
      <c r="A1877" s="1">
        <v>1075000</v>
      </c>
      <c r="B1877" s="1">
        <v>951400018</v>
      </c>
      <c r="C1877" s="1" t="str">
        <f>"تخليه ايرانشهرشهرستان فنوج"</f>
        <v>تخليه ايرانشهرشهرستان فنوج</v>
      </c>
      <c r="D1877" s="1">
        <v>6050</v>
      </c>
      <c r="E1877" s="1">
        <v>1073060</v>
      </c>
      <c r="F1877" s="1">
        <v>95</v>
      </c>
      <c r="G1877" s="1">
        <v>1940</v>
      </c>
      <c r="H1877" s="1" t="str">
        <f>"95/03/25"</f>
        <v>95/03/25</v>
      </c>
      <c r="I1877" s="1" t="str">
        <f t="shared" si="497"/>
        <v>كيلوگرم</v>
      </c>
      <c r="J1877" s="1" t="str">
        <f t="shared" si="495"/>
        <v>0000000092</v>
      </c>
      <c r="K1877" s="1" t="str">
        <f t="shared" si="496"/>
        <v>قير  PG64-16</v>
      </c>
      <c r="L1877" s="1">
        <v>100</v>
      </c>
      <c r="M1877" s="1" t="str">
        <f t="shared" si="500"/>
        <v>مخازن قير اصفهان</v>
      </c>
      <c r="N1877" s="1">
        <v>10484</v>
      </c>
      <c r="O1877" s="1">
        <v>50031044</v>
      </c>
      <c r="P1877" s="1" t="str">
        <f>"  مهندسي مثلث راه آب"</f>
        <v xml:space="preserve">  مهندسي مثلث راه آب</v>
      </c>
      <c r="Q1877" s="1">
        <v>14</v>
      </c>
      <c r="R1877" s="1" t="str">
        <f>"فروش داخلي - وزارت راه - حوزه راه روستايي ساخت"</f>
        <v>فروش داخلي - وزارت راه - حوزه راه روستايي ساخت</v>
      </c>
      <c r="S1877" s="1" t="str">
        <f t="shared" si="498"/>
        <v>قرارداد فروش</v>
      </c>
      <c r="T1877" s="1" t="str">
        <f t="shared" si="499"/>
        <v>ندارد</v>
      </c>
      <c r="U1877" s="1" t="str">
        <f>"پورباقري ترابر (4914036)"</f>
        <v>پورباقري ترابر (4914036)</v>
      </c>
      <c r="V1877" s="1">
        <v>951400018</v>
      </c>
      <c r="W1877" s="1">
        <v>951400018</v>
      </c>
      <c r="X1877" s="1" t="str">
        <f>"1395409213"</f>
        <v>1395409213</v>
      </c>
      <c r="Y1877" s="1" t="str">
        <f>"95/03/25"</f>
        <v>95/03/25</v>
      </c>
      <c r="Z1877" s="1" t="str">
        <f>"11094/510"</f>
        <v>11094/510</v>
      </c>
      <c r="AA1877" s="1" t="str">
        <f>"راه وروستايي -ساخت"</f>
        <v>راه وروستايي -ساخت</v>
      </c>
      <c r="AB1877" s="1" t="str">
        <f>"95/03/18"</f>
        <v>95/03/18</v>
      </c>
      <c r="AC1877" s="1" t="str">
        <f>"ايرانشهر"</f>
        <v>ايرانشهر</v>
      </c>
      <c r="AD1877" s="1" t="str">
        <f>"93/03/25"</f>
        <v>93/03/25</v>
      </c>
      <c r="AE1877" s="1" t="str">
        <f t="shared" si="488"/>
        <v>اختتام</v>
      </c>
      <c r="AF1877" s="1" t="str">
        <f>""</f>
        <v/>
      </c>
      <c r="AG1877" s="1" t="str">
        <f>""</f>
        <v/>
      </c>
      <c r="AH1877" s="1" t="str">
        <f>""</f>
        <v/>
      </c>
      <c r="AI1877" s="1" t="str">
        <f>""</f>
        <v/>
      </c>
      <c r="AJ1877" s="1" t="str">
        <f>""</f>
        <v/>
      </c>
      <c r="AK1877" s="1" t="str">
        <f>""</f>
        <v/>
      </c>
    </row>
    <row r="1878" spans="1:37" x14ac:dyDescent="0.2">
      <c r="A1878" s="1">
        <v>678000</v>
      </c>
      <c r="B1878" s="1">
        <v>951700208</v>
      </c>
      <c r="C1878" s="1" t="str">
        <f>"تخليه -لرستان -اليگودرز-شول آباد-جنب راهدارخانه -كارخانه آسفالت زيباسازان پايداراراك"</f>
        <v>تخليه -لرستان -اليگودرز-شول آباد-جنب راهدارخانه -كارخانه آسفالت زيباسازان پايداراراك</v>
      </c>
      <c r="D1878" s="1">
        <v>7176</v>
      </c>
      <c r="E1878" s="1">
        <v>676240</v>
      </c>
      <c r="F1878" s="1">
        <v>95</v>
      </c>
      <c r="G1878" s="1">
        <v>1760</v>
      </c>
      <c r="H1878" s="1" t="str">
        <f>"95/06/23"</f>
        <v>95/06/23</v>
      </c>
      <c r="I1878" s="1" t="str">
        <f t="shared" si="497"/>
        <v>كيلوگرم</v>
      </c>
      <c r="J1878" s="1" t="str">
        <f t="shared" si="495"/>
        <v>0000000092</v>
      </c>
      <c r="K1878" s="1" t="str">
        <f t="shared" si="496"/>
        <v>قير  PG64-16</v>
      </c>
      <c r="L1878" s="1">
        <v>100</v>
      </c>
      <c r="M1878" s="1" t="str">
        <f t="shared" si="500"/>
        <v>مخازن قير اصفهان</v>
      </c>
      <c r="N1878" s="1">
        <v>10507</v>
      </c>
      <c r="O1878" s="1">
        <v>50031859</v>
      </c>
      <c r="P1878" s="1" t="str">
        <f>"  زيباسازان پايداراراك"</f>
        <v xml:space="preserve">  زيباسازان پايداراراك</v>
      </c>
      <c r="Q1878" s="1">
        <v>17</v>
      </c>
      <c r="R1878" s="1" t="str">
        <f>"فروش داخلي تهران - وزارت راه - راه روستايي - روکش"</f>
        <v>فروش داخلي تهران - وزارت راه - راه روستايي - روکش</v>
      </c>
      <c r="S1878" s="1" t="str">
        <f t="shared" si="498"/>
        <v>قرارداد فروش</v>
      </c>
      <c r="T1878" s="1" t="str">
        <f t="shared" si="499"/>
        <v>ندارد</v>
      </c>
      <c r="U1878" s="1" t="str">
        <f>"اميري علي(2842011)"</f>
        <v>اميري علي(2842011)</v>
      </c>
      <c r="V1878" s="1">
        <v>951700208</v>
      </c>
      <c r="W1878" s="1">
        <v>951700208</v>
      </c>
      <c r="X1878" s="1" t="str">
        <f>"1395430745"</f>
        <v>1395430745</v>
      </c>
      <c r="Y1878" s="1" t="str">
        <f>"95/06/23"</f>
        <v>95/06/23</v>
      </c>
      <c r="Z1878" s="1" t="str">
        <f>"29024/510"</f>
        <v>29024/510</v>
      </c>
      <c r="AA1878" s="1" t="str">
        <f>"راه روستائي -روكش"</f>
        <v>راه روستائي -روكش</v>
      </c>
      <c r="AB1878" s="1" t="str">
        <f>"95/06/17"</f>
        <v>95/06/17</v>
      </c>
      <c r="AC1878" s="1" t="str">
        <f>"لرستان"</f>
        <v>لرستان</v>
      </c>
      <c r="AD1878" s="1" t="str">
        <f>"95/06/21"</f>
        <v>95/06/21</v>
      </c>
      <c r="AE1878" s="1" t="str">
        <f t="shared" si="488"/>
        <v>اختتام</v>
      </c>
      <c r="AF1878" s="1" t="str">
        <f>""</f>
        <v/>
      </c>
      <c r="AG1878" s="1" t="str">
        <f>""</f>
        <v/>
      </c>
      <c r="AH1878" s="1" t="str">
        <f>""</f>
        <v/>
      </c>
      <c r="AI1878" s="1" t="str">
        <f>""</f>
        <v/>
      </c>
      <c r="AJ1878" s="1" t="str">
        <f>""</f>
        <v/>
      </c>
      <c r="AK1878" s="1" t="str">
        <f>""</f>
        <v/>
      </c>
    </row>
    <row r="1879" spans="1:37" x14ac:dyDescent="0.2">
      <c r="A1879" s="1">
        <v>140000</v>
      </c>
      <c r="B1879" s="1">
        <v>951700211</v>
      </c>
      <c r="C1879" s="1" t="str">
        <f>"تخليه -لرستان -شهرستان دلفان -روستاي تنگ پري -شركت ايمن كارسمير"</f>
        <v>تخليه -لرستان -شهرستان دلفان -روستاي تنگ پري -شركت ايمن كارسمير</v>
      </c>
      <c r="D1879" s="1">
        <v>7276</v>
      </c>
      <c r="E1879" s="1">
        <v>139360</v>
      </c>
      <c r="F1879" s="1">
        <v>95</v>
      </c>
      <c r="G1879" s="1">
        <v>640</v>
      </c>
      <c r="H1879" s="1" t="str">
        <f>"95/07/04"</f>
        <v>95/07/04</v>
      </c>
      <c r="I1879" s="1" t="str">
        <f t="shared" si="497"/>
        <v>كيلوگرم</v>
      </c>
      <c r="J1879" s="1" t="str">
        <f t="shared" si="495"/>
        <v>0000000092</v>
      </c>
      <c r="K1879" s="1" t="str">
        <f t="shared" si="496"/>
        <v>قير  PG64-16</v>
      </c>
      <c r="L1879" s="1">
        <v>100</v>
      </c>
      <c r="M1879" s="1" t="str">
        <f t="shared" si="500"/>
        <v>مخازن قير اصفهان</v>
      </c>
      <c r="N1879" s="1">
        <v>10511</v>
      </c>
      <c r="O1879" s="1">
        <v>50031925</v>
      </c>
      <c r="P1879" s="1" t="str">
        <f>"  ايمن كارسمير"</f>
        <v xml:space="preserve">  ايمن كارسمير</v>
      </c>
      <c r="Q1879" s="1">
        <v>17</v>
      </c>
      <c r="R1879" s="1" t="str">
        <f>"فروش داخلي تهران - وزارت راه - راه روستايي - روکش"</f>
        <v>فروش داخلي تهران - وزارت راه - راه روستايي - روکش</v>
      </c>
      <c r="S1879" s="1" t="str">
        <f t="shared" si="498"/>
        <v>قرارداد فروش</v>
      </c>
      <c r="T1879" s="1" t="str">
        <f t="shared" si="499"/>
        <v>ندارد</v>
      </c>
      <c r="U1879" s="1" t="str">
        <f>"ريسماني حسن(1007ج89)"</f>
        <v>ريسماني حسن(1007ج89)</v>
      </c>
      <c r="V1879" s="1">
        <v>951700211</v>
      </c>
      <c r="W1879" s="1">
        <v>951700211</v>
      </c>
      <c r="X1879" s="1" t="str">
        <f>"1395433640"</f>
        <v>1395433640</v>
      </c>
      <c r="Y1879" s="1" t="str">
        <f>"95/07/04"</f>
        <v>95/07/04</v>
      </c>
      <c r="Z1879" s="1" t="str">
        <f>"31050/510"</f>
        <v>31050/510</v>
      </c>
      <c r="AA1879" s="1" t="str">
        <f>"راه روستائي -روكش"</f>
        <v>راه روستائي -روكش</v>
      </c>
      <c r="AB1879" s="1" t="str">
        <f>"95/06/29"</f>
        <v>95/06/29</v>
      </c>
      <c r="AC1879" s="1" t="str">
        <f>"لرستان"</f>
        <v>لرستان</v>
      </c>
      <c r="AD1879" s="1" t="str">
        <f>"95/07/04"</f>
        <v>95/07/04</v>
      </c>
      <c r="AE1879" s="1" t="str">
        <f t="shared" si="488"/>
        <v>اختتام</v>
      </c>
      <c r="AF1879" s="1" t="str">
        <f>""</f>
        <v/>
      </c>
      <c r="AG1879" s="1" t="str">
        <f>""</f>
        <v/>
      </c>
      <c r="AH1879" s="1" t="str">
        <f>""</f>
        <v/>
      </c>
      <c r="AI1879" s="1" t="str">
        <f>""</f>
        <v/>
      </c>
      <c r="AJ1879" s="1" t="str">
        <f>""</f>
        <v/>
      </c>
      <c r="AK1879" s="1" t="str">
        <f>""</f>
        <v/>
      </c>
    </row>
    <row r="1880" spans="1:37" x14ac:dyDescent="0.2">
      <c r="A1880" s="1">
        <v>200000</v>
      </c>
      <c r="B1880" s="1">
        <v>951900204</v>
      </c>
      <c r="C1880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1880" s="1">
        <v>8323</v>
      </c>
      <c r="E1880" s="1">
        <v>175880</v>
      </c>
      <c r="F1880" s="1">
        <v>95</v>
      </c>
      <c r="G1880" s="1">
        <v>24120</v>
      </c>
      <c r="H1880" s="1" t="str">
        <f>"95/08/29"</f>
        <v>95/08/29</v>
      </c>
      <c r="I1880" s="1" t="str">
        <f t="shared" si="497"/>
        <v>كيلوگرم</v>
      </c>
      <c r="J1880" s="1" t="str">
        <f t="shared" si="495"/>
        <v>0000000092</v>
      </c>
      <c r="K1880" s="1" t="str">
        <f t="shared" si="496"/>
        <v>قير  PG64-16</v>
      </c>
      <c r="L1880" s="1">
        <v>100</v>
      </c>
      <c r="M1880" s="1" t="str">
        <f t="shared" si="500"/>
        <v>مخازن قير اصفهان</v>
      </c>
      <c r="N1880" s="1">
        <v>10521</v>
      </c>
      <c r="O1880" s="1">
        <v>50032637</v>
      </c>
      <c r="P1880" s="1" t="str">
        <f>"  ساختماني يافته كوه"</f>
        <v xml:space="preserve">  ساختماني يافته كوه</v>
      </c>
      <c r="Q1880" s="1">
        <v>19</v>
      </c>
      <c r="R18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0" s="1" t="str">
        <f t="shared" si="498"/>
        <v>قرارداد فروش</v>
      </c>
      <c r="T1880" s="1" t="str">
        <f t="shared" si="499"/>
        <v>ندارد</v>
      </c>
      <c r="U1880" s="1" t="str">
        <f>"ريسماني حسن(1007ج89)"</f>
        <v>ريسماني حسن(1007ج89)</v>
      </c>
      <c r="V1880" s="1">
        <v>951900204</v>
      </c>
      <c r="W1880" s="1">
        <v>951900204</v>
      </c>
      <c r="X1880" s="1" t="str">
        <f>"1395446287"</f>
        <v>1395446287</v>
      </c>
      <c r="Y1880" s="1" t="str">
        <f>"95/08/29"</f>
        <v>95/08/29</v>
      </c>
      <c r="Z1880" s="1" t="str">
        <f>"39769/710"</f>
        <v>39769/710</v>
      </c>
      <c r="AA1880" s="1" t="str">
        <f>"سازمان راهداري وحمل نقل جاده اي"</f>
        <v>سازمان راهداري وحمل نقل جاده اي</v>
      </c>
      <c r="AB1880" s="1" t="str">
        <f>"95/08/15"</f>
        <v>95/08/15</v>
      </c>
      <c r="AC1880" s="1" t="str">
        <f>"لرستان"</f>
        <v>لرستان</v>
      </c>
      <c r="AD1880" s="1" t="str">
        <f>"95/08/29"</f>
        <v>95/08/29</v>
      </c>
      <c r="AE1880" s="1" t="str">
        <f t="shared" si="488"/>
        <v>اختتام</v>
      </c>
      <c r="AF1880" s="1" t="str">
        <f>""</f>
        <v/>
      </c>
      <c r="AG1880" s="1" t="str">
        <f>""</f>
        <v/>
      </c>
      <c r="AH1880" s="1" t="str">
        <f>""</f>
        <v/>
      </c>
      <c r="AI1880" s="1" t="str">
        <f>""</f>
        <v/>
      </c>
      <c r="AJ1880" s="1" t="str">
        <f>""</f>
        <v/>
      </c>
      <c r="AK1880" s="1" t="str">
        <f>""</f>
        <v/>
      </c>
    </row>
    <row r="1881" spans="1:37" x14ac:dyDescent="0.2">
      <c r="A1881" s="1">
        <v>1065000</v>
      </c>
      <c r="B1881" s="1">
        <v>951400066</v>
      </c>
      <c r="C1881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881" s="1">
        <v>7176</v>
      </c>
      <c r="E1881" s="1">
        <v>1064440</v>
      </c>
      <c r="F1881" s="1">
        <v>95</v>
      </c>
      <c r="G1881" s="1">
        <v>560</v>
      </c>
      <c r="H1881" s="1" t="str">
        <f>"95/06/11"</f>
        <v>95/06/11</v>
      </c>
      <c r="I1881" s="1" t="str">
        <f t="shared" si="497"/>
        <v>كيلوگرم</v>
      </c>
      <c r="J1881" s="1" t="str">
        <f t="shared" si="495"/>
        <v>0000000092</v>
      </c>
      <c r="K1881" s="1" t="str">
        <f t="shared" si="496"/>
        <v>قير  PG64-16</v>
      </c>
      <c r="L1881" s="1">
        <v>100</v>
      </c>
      <c r="M1881" s="1" t="str">
        <f t="shared" si="500"/>
        <v>مخازن قير اصفهان</v>
      </c>
      <c r="N1881" s="1">
        <v>10547</v>
      </c>
      <c r="O1881" s="1">
        <v>50031749</v>
      </c>
      <c r="P1881" s="1" t="str">
        <f>"  پي و پل جنوب"</f>
        <v xml:space="preserve">  پي و پل جنوب</v>
      </c>
      <c r="Q1881" s="1">
        <v>14</v>
      </c>
      <c r="R1881" s="1" t="str">
        <f>"فروش داخلي - وزارت راه - حوزه راه روستايي ساخت"</f>
        <v>فروش داخلي - وزارت راه - حوزه راه روستايي ساخت</v>
      </c>
      <c r="S1881" s="1" t="str">
        <f t="shared" si="498"/>
        <v>قرارداد فروش</v>
      </c>
      <c r="T1881" s="1" t="str">
        <f t="shared" si="499"/>
        <v>ندارد</v>
      </c>
      <c r="U1881" s="1" t="str">
        <f>"حاصليان ترابرجنوب مرتضي حاصلي (4844006)"</f>
        <v>حاصليان ترابرجنوب مرتضي حاصلي (4844006)</v>
      </c>
      <c r="V1881" s="1">
        <v>951400066</v>
      </c>
      <c r="W1881" s="1">
        <v>951400066</v>
      </c>
      <c r="X1881" s="1" t="str">
        <f>"1395428492"</f>
        <v>1395428492</v>
      </c>
      <c r="Y1881" s="1" t="str">
        <f>"95/06/11"</f>
        <v>95/06/11</v>
      </c>
      <c r="Z1881" s="1" t="str">
        <f>"27012/510"</f>
        <v>27012/510</v>
      </c>
      <c r="AA1881" s="1" t="str">
        <f>"راه وروستايي -ساخت"</f>
        <v>راه وروستايي -ساخت</v>
      </c>
      <c r="AB1881" s="1" t="str">
        <f>"95/06/09"</f>
        <v>95/06/09</v>
      </c>
      <c r="AC1881" s="1" t="str">
        <f>"استان هرمزگان"</f>
        <v>استان هرمزگان</v>
      </c>
      <c r="AD1881" s="1" t="str">
        <f>"95/06/10"</f>
        <v>95/06/10</v>
      </c>
      <c r="AE1881" s="1" t="str">
        <f t="shared" si="488"/>
        <v>اختتام</v>
      </c>
      <c r="AF1881" s="1" t="str">
        <f>""</f>
        <v/>
      </c>
      <c r="AG1881" s="1" t="str">
        <f>""</f>
        <v/>
      </c>
      <c r="AH1881" s="1" t="str">
        <f>""</f>
        <v/>
      </c>
      <c r="AI1881" s="1" t="str">
        <f>""</f>
        <v/>
      </c>
      <c r="AJ1881" s="1" t="str">
        <f>""</f>
        <v/>
      </c>
      <c r="AK1881" s="1" t="str">
        <f>""</f>
        <v/>
      </c>
    </row>
    <row r="1882" spans="1:37" x14ac:dyDescent="0.2">
      <c r="A1882" s="1">
        <v>1500000</v>
      </c>
      <c r="B1882" s="1">
        <v>951900262</v>
      </c>
      <c r="C1882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882" s="1">
        <v>8998</v>
      </c>
      <c r="E1882" s="1">
        <v>1500000</v>
      </c>
      <c r="F1882" s="1">
        <v>95</v>
      </c>
      <c r="G1882" s="1">
        <v>0</v>
      </c>
      <c r="H1882" s="1" t="str">
        <f>"95/12/03"</f>
        <v>95/12/03</v>
      </c>
      <c r="I1882" s="1" t="str">
        <f t="shared" si="497"/>
        <v>كيلوگرم</v>
      </c>
      <c r="J1882" s="1" t="str">
        <f t="shared" si="495"/>
        <v>0000000092</v>
      </c>
      <c r="K1882" s="1" t="str">
        <f t="shared" si="496"/>
        <v>قير  PG64-16</v>
      </c>
      <c r="L1882" s="1">
        <v>100</v>
      </c>
      <c r="M1882" s="1" t="str">
        <f t="shared" si="500"/>
        <v>مخازن قير اصفهان</v>
      </c>
      <c r="N1882" s="1">
        <v>10547</v>
      </c>
      <c r="O1882" s="1">
        <v>50033807</v>
      </c>
      <c r="P1882" s="1" t="str">
        <f>"  پي و پل جنوب"</f>
        <v xml:space="preserve">  پي و پل جنوب</v>
      </c>
      <c r="Q1882" s="1">
        <v>19</v>
      </c>
      <c r="R188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2" s="1" t="str">
        <f t="shared" si="498"/>
        <v>قرارداد فروش</v>
      </c>
      <c r="T1882" s="1" t="str">
        <f t="shared" si="499"/>
        <v>ندارد</v>
      </c>
      <c r="U1882" s="1" t="str">
        <f>"قره باغي مجيد(1871065)"</f>
        <v>قره باغي مجيد(1871065)</v>
      </c>
      <c r="V1882" s="1">
        <v>951900262</v>
      </c>
      <c r="W1882" s="1">
        <v>951900262</v>
      </c>
      <c r="X1882" s="1" t="str">
        <f>"1395466578"</f>
        <v>1395466578</v>
      </c>
      <c r="Y1882" s="1" t="str">
        <f>"95/12/03"</f>
        <v>95/12/03</v>
      </c>
      <c r="Z1882" s="1" t="str">
        <f>"59161/710"</f>
        <v>59161/710</v>
      </c>
      <c r="AA1882" s="1" t="str">
        <f>"سازمان راهداري وحمل نقل جاده اي"</f>
        <v>سازمان راهداري وحمل نقل جاده اي</v>
      </c>
      <c r="AB1882" s="1" t="str">
        <f>"95/11/26"</f>
        <v>95/11/26</v>
      </c>
      <c r="AC1882" s="1" t="str">
        <f>"جنوب کرمان"</f>
        <v>جنوب کرمان</v>
      </c>
      <c r="AD1882" s="1" t="str">
        <f>"95/12/03"</f>
        <v>95/12/03</v>
      </c>
      <c r="AE1882" s="1" t="str">
        <f t="shared" si="488"/>
        <v>اختتام</v>
      </c>
      <c r="AF1882" s="1" t="str">
        <f>""</f>
        <v/>
      </c>
      <c r="AG1882" s="1" t="str">
        <f>""</f>
        <v/>
      </c>
      <c r="AH1882" s="1" t="str">
        <f>""</f>
        <v/>
      </c>
      <c r="AI1882" s="1" t="str">
        <f>""</f>
        <v/>
      </c>
      <c r="AJ1882" s="1" t="str">
        <f>""</f>
        <v/>
      </c>
      <c r="AK1882" s="1" t="str">
        <f>""</f>
        <v/>
      </c>
    </row>
    <row r="1883" spans="1:37" x14ac:dyDescent="0.2">
      <c r="A1883" s="1">
        <v>1000000</v>
      </c>
      <c r="B1883" s="1">
        <v>951900263</v>
      </c>
      <c r="C1883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883" s="1">
        <v>8998</v>
      </c>
      <c r="E1883" s="1">
        <v>1000000</v>
      </c>
      <c r="F1883" s="1">
        <v>95</v>
      </c>
      <c r="G1883" s="1">
        <v>0</v>
      </c>
      <c r="H1883" s="1" t="str">
        <f>"95/12/03"</f>
        <v>95/12/03</v>
      </c>
      <c r="I1883" s="1" t="str">
        <f t="shared" si="497"/>
        <v>كيلوگرم</v>
      </c>
      <c r="J1883" s="1" t="str">
        <f t="shared" si="495"/>
        <v>0000000092</v>
      </c>
      <c r="K1883" s="1" t="str">
        <f t="shared" si="496"/>
        <v>قير  PG64-16</v>
      </c>
      <c r="L1883" s="1">
        <v>100</v>
      </c>
      <c r="M1883" s="1" t="str">
        <f t="shared" si="500"/>
        <v>مخازن قير اصفهان</v>
      </c>
      <c r="N1883" s="1">
        <v>10547</v>
      </c>
      <c r="O1883" s="1">
        <v>50033811</v>
      </c>
      <c r="P1883" s="1" t="str">
        <f>"  پي و پل جنوب"</f>
        <v xml:space="preserve">  پي و پل جنوب</v>
      </c>
      <c r="Q1883" s="1">
        <v>19</v>
      </c>
      <c r="R188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3" s="1" t="str">
        <f t="shared" si="498"/>
        <v>قرارداد فروش</v>
      </c>
      <c r="T1883" s="1" t="str">
        <f t="shared" si="499"/>
        <v>ندارد</v>
      </c>
      <c r="U1883" s="1" t="str">
        <f>"قره باغي مجيد(1871065)"</f>
        <v>قره باغي مجيد(1871065)</v>
      </c>
      <c r="V1883" s="1">
        <v>951900263</v>
      </c>
      <c r="W1883" s="1">
        <v>951900263</v>
      </c>
      <c r="X1883" s="1" t="str">
        <f>"1395466578"</f>
        <v>1395466578</v>
      </c>
      <c r="Y1883" s="1" t="str">
        <f>"95/12/03"</f>
        <v>95/12/03</v>
      </c>
      <c r="Z1883" s="1" t="str">
        <f>"59151/710"</f>
        <v>59151/710</v>
      </c>
      <c r="AA1883" s="1" t="str">
        <f>"سازمان راهداري وحمل نقل جاده اي"</f>
        <v>سازمان راهداري وحمل نقل جاده اي</v>
      </c>
      <c r="AB1883" s="1" t="str">
        <f>"95/11/26"</f>
        <v>95/11/26</v>
      </c>
      <c r="AC1883" s="1" t="str">
        <f>"استان هرمزگان"</f>
        <v>استان هرمزگان</v>
      </c>
      <c r="AD1883" s="1" t="str">
        <f>"95/12/03"</f>
        <v>95/12/03</v>
      </c>
      <c r="AE1883" s="1" t="str">
        <f t="shared" si="488"/>
        <v>اختتام</v>
      </c>
      <c r="AF1883" s="1" t="str">
        <f>""</f>
        <v/>
      </c>
      <c r="AG1883" s="1" t="str">
        <f>""</f>
        <v/>
      </c>
      <c r="AH1883" s="1" t="str">
        <f>""</f>
        <v/>
      </c>
      <c r="AI1883" s="1" t="str">
        <f>""</f>
        <v/>
      </c>
      <c r="AJ1883" s="1" t="str">
        <f>""</f>
        <v/>
      </c>
      <c r="AK1883" s="1" t="str">
        <f>""</f>
        <v/>
      </c>
    </row>
    <row r="1884" spans="1:37" x14ac:dyDescent="0.2">
      <c r="A1884" s="1">
        <v>100000</v>
      </c>
      <c r="B1884" s="1">
        <v>951100075</v>
      </c>
      <c r="C1884" s="1" t="str">
        <f>"تخليه -جاده خلخال -كيلومتر5كورانيم -كارخانه آسفالت وسنگ شكن اردبيل"</f>
        <v>تخليه -جاده خلخال -كيلومتر5كورانيم -كارخانه آسفالت وسنگ شكن اردبيل</v>
      </c>
      <c r="D1884" s="1">
        <v>9860</v>
      </c>
      <c r="E1884" s="1">
        <v>100000</v>
      </c>
      <c r="F1884" s="1">
        <v>95</v>
      </c>
      <c r="G1884" s="1">
        <v>0</v>
      </c>
      <c r="H1884" s="1" t="str">
        <f>"95/04/05"</f>
        <v>95/04/05</v>
      </c>
      <c r="I1884" s="1" t="str">
        <f t="shared" si="497"/>
        <v>كيلوگرم</v>
      </c>
      <c r="J1884" s="1" t="str">
        <f>"1000000003"</f>
        <v>1000000003</v>
      </c>
      <c r="K1884" s="1" t="str">
        <f>"قير MC250"</f>
        <v>قير MC250</v>
      </c>
      <c r="L1884" s="1">
        <v>100</v>
      </c>
      <c r="M1884" s="1" t="str">
        <f t="shared" si="500"/>
        <v>مخازن قير اصفهان</v>
      </c>
      <c r="N1884" s="1">
        <v>4200</v>
      </c>
      <c r="O1884" s="1">
        <v>50031095</v>
      </c>
      <c r="P1884" s="1" t="str">
        <f>"  شهرداري اردبيل"</f>
        <v xml:space="preserve">  شهرداري اردبيل</v>
      </c>
      <c r="Q1884" s="1">
        <v>11</v>
      </c>
      <c r="R1884" s="1" t="str">
        <f>"فروش داخلي تهران - بورس"</f>
        <v>فروش داخلي تهران - بورس</v>
      </c>
      <c r="S1884" s="1" t="str">
        <f t="shared" si="498"/>
        <v>قرارداد فروش</v>
      </c>
      <c r="T1884" s="1" t="str">
        <f t="shared" si="499"/>
        <v>ندارد</v>
      </c>
      <c r="U1884" s="1" t="str">
        <f>"علافي اسكويي محمد تقي(3843004)"</f>
        <v>علافي اسكويي محمد تقي(3843004)</v>
      </c>
      <c r="V1884" s="1">
        <v>951100075</v>
      </c>
      <c r="W1884" s="1">
        <v>951100075</v>
      </c>
      <c r="X1884" s="1" t="str">
        <f>"1395410064"</f>
        <v>1395410064</v>
      </c>
      <c r="Y1884" s="1" t="str">
        <f>"95/04/05"</f>
        <v>95/04/05</v>
      </c>
      <c r="Z1884" s="1" t="str">
        <f>"95-34534"</f>
        <v>95-34534</v>
      </c>
      <c r="AA1884" s="1" t="str">
        <f>"شهرداريها"</f>
        <v>شهرداريها</v>
      </c>
      <c r="AB1884" s="1" t="str">
        <f>"95/04/02"</f>
        <v>95/04/02</v>
      </c>
      <c r="AC1884" s="1" t="str">
        <f>"استان اردبيل"</f>
        <v>استان اردبيل</v>
      </c>
      <c r="AD1884" s="1" t="str">
        <f>"95/03/29"</f>
        <v>95/03/29</v>
      </c>
      <c r="AE1884" s="1" t="str">
        <f t="shared" si="488"/>
        <v>اختتام</v>
      </c>
      <c r="AF1884" s="1" t="str">
        <f>""</f>
        <v/>
      </c>
      <c r="AG1884" s="1" t="str">
        <f>""</f>
        <v/>
      </c>
      <c r="AH1884" s="1" t="str">
        <f>""</f>
        <v/>
      </c>
      <c r="AI1884" s="1" t="str">
        <f>""</f>
        <v/>
      </c>
      <c r="AJ1884" s="1" t="str">
        <f>""</f>
        <v/>
      </c>
      <c r="AK1884" s="1" t="str">
        <f>""</f>
        <v/>
      </c>
    </row>
    <row r="1885" spans="1:37" x14ac:dyDescent="0.2">
      <c r="A1885" s="1">
        <v>500000</v>
      </c>
      <c r="B1885" s="1">
        <v>951900198</v>
      </c>
      <c r="C1885" s="1" t="str">
        <f>"تخليه-ايلام-جاده ايلام-بدره کارخانه آسفالت شرکت ايلام راه بان"</f>
        <v>تخليه-ايلام-جاده ايلام-بدره کارخانه آسفالت شرکت ايلام راه بان</v>
      </c>
      <c r="D1885" s="1">
        <v>8323</v>
      </c>
      <c r="E1885" s="1">
        <v>86440</v>
      </c>
      <c r="F1885" s="1">
        <v>95</v>
      </c>
      <c r="G1885" s="1">
        <v>413560</v>
      </c>
      <c r="H1885" s="1" t="str">
        <f>"95/08/26"</f>
        <v>95/08/26</v>
      </c>
      <c r="I1885" s="1" t="str">
        <f t="shared" si="497"/>
        <v>كيلوگرم</v>
      </c>
      <c r="J1885" s="1" t="str">
        <f t="shared" ref="J1885:J1896" si="501">"0000000092"</f>
        <v>0000000092</v>
      </c>
      <c r="K1885" s="1" t="str">
        <f t="shared" ref="K1885:K1896" si="502">"قير  PG64-16"</f>
        <v>قير  PG64-16</v>
      </c>
      <c r="L1885" s="1">
        <v>100</v>
      </c>
      <c r="M1885" s="1" t="str">
        <f t="shared" si="500"/>
        <v>مخازن قير اصفهان</v>
      </c>
      <c r="N1885" s="1">
        <v>10629</v>
      </c>
      <c r="O1885" s="1">
        <v>50032622</v>
      </c>
      <c r="P1885" s="1" t="str">
        <f>"  سازه كاران ايلام"</f>
        <v xml:space="preserve">  سازه كاران ايلام</v>
      </c>
      <c r="Q1885" s="1">
        <v>19</v>
      </c>
      <c r="R18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5" s="1" t="str">
        <f t="shared" si="498"/>
        <v>قرارداد فروش</v>
      </c>
      <c r="T1885" s="1" t="str">
        <f t="shared" si="499"/>
        <v>ندارد</v>
      </c>
      <c r="U1885" s="1" t="str">
        <f>"عظيمي محمد(2842015)"</f>
        <v>عظيمي محمد(2842015)</v>
      </c>
      <c r="V1885" s="1">
        <v>951900198</v>
      </c>
      <c r="W1885" s="1">
        <v>951900198</v>
      </c>
      <c r="X1885" s="1" t="str">
        <f>"1395446086"</f>
        <v>1395446086</v>
      </c>
      <c r="Y1885" s="1" t="str">
        <f>"95/08/26"</f>
        <v>95/08/26</v>
      </c>
      <c r="Z1885" s="1" t="str">
        <f>"38481/710"</f>
        <v>38481/710</v>
      </c>
      <c r="AA1885" s="1" t="str">
        <f>"سازمان راهداري وحمل نقل جاده اي"</f>
        <v>سازمان راهداري وحمل نقل جاده اي</v>
      </c>
      <c r="AB1885" s="1" t="str">
        <f>"95/08/10"</f>
        <v>95/08/10</v>
      </c>
      <c r="AC1885" s="1" t="str">
        <f>"استان ايلام"</f>
        <v>استان ايلام</v>
      </c>
      <c r="AD1885" s="1" t="str">
        <f>"95/08/26"</f>
        <v>95/08/26</v>
      </c>
      <c r="AE1885" s="1" t="str">
        <f t="shared" si="488"/>
        <v>اختتام</v>
      </c>
      <c r="AF1885" s="1" t="str">
        <f>""</f>
        <v/>
      </c>
      <c r="AG1885" s="1" t="str">
        <f>""</f>
        <v/>
      </c>
      <c r="AH1885" s="1" t="str">
        <f>""</f>
        <v/>
      </c>
      <c r="AI1885" s="1" t="str">
        <f>""</f>
        <v/>
      </c>
      <c r="AJ1885" s="1" t="str">
        <f>""</f>
        <v/>
      </c>
      <c r="AK1885" s="1" t="str">
        <f>""</f>
        <v/>
      </c>
    </row>
    <row r="1886" spans="1:37" x14ac:dyDescent="0.2">
      <c r="A1886" s="1">
        <v>180000</v>
      </c>
      <c r="B1886" s="1">
        <v>951300010</v>
      </c>
      <c r="C1886" s="1" t="str">
        <f>"تخليه- شهرستان قاين- مخزن ذخيره شهرداري"</f>
        <v>تخليه- شهرستان قاين- مخزن ذخيره شهرداري</v>
      </c>
      <c r="D1886" s="1">
        <v>6250</v>
      </c>
      <c r="E1886" s="1">
        <v>179720</v>
      </c>
      <c r="F1886" s="1">
        <v>95</v>
      </c>
      <c r="G1886" s="1">
        <v>280</v>
      </c>
      <c r="H1886" s="1" t="str">
        <f>"95/04/22"</f>
        <v>95/04/22</v>
      </c>
      <c r="I1886" s="1" t="str">
        <f t="shared" si="497"/>
        <v>كيلوگرم</v>
      </c>
      <c r="J1886" s="1" t="str">
        <f t="shared" si="501"/>
        <v>0000000092</v>
      </c>
      <c r="K1886" s="1" t="str">
        <f t="shared" si="502"/>
        <v>قير  PG64-16</v>
      </c>
      <c r="L1886" s="1">
        <v>100</v>
      </c>
      <c r="M1886" s="1" t="str">
        <f t="shared" si="500"/>
        <v>مخازن قير اصفهان</v>
      </c>
      <c r="N1886" s="1">
        <v>10682</v>
      </c>
      <c r="O1886" s="1">
        <v>50031271</v>
      </c>
      <c r="P1886" s="1" t="str">
        <f>"  بنياد مسکن انقلاب  اسلامي خراسان جنوبي"</f>
        <v xml:space="preserve">  بنياد مسکن انقلاب  اسلامي خراسان جنوبي</v>
      </c>
      <c r="Q1886" s="1">
        <v>13</v>
      </c>
      <c r="R1886" s="1" t="str">
        <f>"فروش داخلي - وزارت راه - حوزه بنياد مسكن"</f>
        <v>فروش داخلي - وزارت راه - حوزه بنياد مسكن</v>
      </c>
      <c r="S1886" s="1" t="str">
        <f t="shared" si="498"/>
        <v>قرارداد فروش</v>
      </c>
      <c r="T1886" s="1" t="str">
        <f t="shared" si="499"/>
        <v>ندارد</v>
      </c>
      <c r="U1886" s="1" t="str">
        <f>"كاردان اسپادان راه مصطفي  (1911100)"</f>
        <v>كاردان اسپادان راه مصطفي  (1911100)</v>
      </c>
      <c r="V1886" s="1">
        <v>951300010</v>
      </c>
      <c r="W1886" s="1">
        <v>951300010</v>
      </c>
      <c r="X1886" s="1" t="str">
        <f>"1395414429"</f>
        <v>1395414429</v>
      </c>
      <c r="Y1886" s="1" t="str">
        <f>"95/04/21"</f>
        <v>95/04/21</v>
      </c>
      <c r="Z1886" s="1" t="str">
        <f>"15770/510"</f>
        <v>15770/510</v>
      </c>
      <c r="AA1886" s="1" t="str">
        <f>"بنياد مسكن -مسكن مهر"</f>
        <v>بنياد مسكن -مسكن مهر</v>
      </c>
      <c r="AB1886" s="1" t="str">
        <f>"95/04/13"</f>
        <v>95/04/13</v>
      </c>
      <c r="AC1886" s="1" t="str">
        <f>"خراسان جنوبي"</f>
        <v>خراسان جنوبي</v>
      </c>
      <c r="AD1886" s="1" t="str">
        <f>"95/04/21"</f>
        <v>95/04/21</v>
      </c>
      <c r="AE1886" s="1" t="str">
        <f t="shared" si="488"/>
        <v>اختتام</v>
      </c>
      <c r="AF1886" s="1" t="str">
        <f>""</f>
        <v/>
      </c>
      <c r="AG1886" s="1" t="str">
        <f>""</f>
        <v/>
      </c>
      <c r="AH1886" s="1" t="str">
        <f>""</f>
        <v/>
      </c>
      <c r="AI1886" s="1" t="str">
        <f>""</f>
        <v/>
      </c>
      <c r="AJ1886" s="1" t="str">
        <f>""</f>
        <v/>
      </c>
      <c r="AK1886" s="1" t="str">
        <f>""</f>
        <v/>
      </c>
    </row>
    <row r="1887" spans="1:37" x14ac:dyDescent="0.2">
      <c r="A1887" s="1">
        <v>200000</v>
      </c>
      <c r="B1887" s="1">
        <v>951900027</v>
      </c>
      <c r="C1887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887" s="1">
        <v>6250</v>
      </c>
      <c r="E1887" s="1">
        <v>199820</v>
      </c>
      <c r="F1887" s="1">
        <v>95</v>
      </c>
      <c r="G1887" s="1">
        <v>180</v>
      </c>
      <c r="H1887" s="1" t="str">
        <f>"95/04/06"</f>
        <v>95/04/06</v>
      </c>
      <c r="I1887" s="1" t="str">
        <f t="shared" si="497"/>
        <v>كيلوگرم</v>
      </c>
      <c r="J1887" s="1" t="str">
        <f t="shared" si="501"/>
        <v>0000000092</v>
      </c>
      <c r="K1887" s="1" t="str">
        <f t="shared" si="502"/>
        <v>قير  PG64-16</v>
      </c>
      <c r="L1887" s="1">
        <v>100</v>
      </c>
      <c r="M1887" s="1" t="str">
        <f t="shared" si="500"/>
        <v>مخازن قير اصفهان</v>
      </c>
      <c r="N1887" s="1">
        <v>10693</v>
      </c>
      <c r="O1887" s="1">
        <v>50031129</v>
      </c>
      <c r="P1887" s="1" t="str">
        <f>"  شناشيل سازان آبدانان"</f>
        <v xml:space="preserve">  شناشيل سازان آبدانان</v>
      </c>
      <c r="Q1887" s="1">
        <v>19</v>
      </c>
      <c r="R18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7" s="1" t="str">
        <f t="shared" si="498"/>
        <v>قرارداد فروش</v>
      </c>
      <c r="T1887" s="1" t="str">
        <f t="shared" si="499"/>
        <v>ندارد</v>
      </c>
      <c r="U1887" s="1" t="str">
        <f>"عظيمي محمد(2842015)"</f>
        <v>عظيمي محمد(2842015)</v>
      </c>
      <c r="V1887" s="1">
        <v>951900027</v>
      </c>
      <c r="W1887" s="1">
        <v>951900027</v>
      </c>
      <c r="X1887" s="1" t="str">
        <f>"1395411200"</f>
        <v>1395411200</v>
      </c>
      <c r="Y1887" s="1" t="str">
        <f>"95/04/06"</f>
        <v>95/04/06</v>
      </c>
      <c r="Z1887" s="1" t="str">
        <f>"13567/510"</f>
        <v>13567/510</v>
      </c>
      <c r="AA1887" s="1" t="str">
        <f>"سازمان راهداري وحمل نقل جاده اي"</f>
        <v>سازمان راهداري وحمل نقل جاده اي</v>
      </c>
      <c r="AB1887" s="1" t="str">
        <f>"95/03/31"</f>
        <v>95/03/31</v>
      </c>
      <c r="AC1887" s="1" t="str">
        <f>"استان ايلام"</f>
        <v>استان ايلام</v>
      </c>
      <c r="AD1887" s="1" t="str">
        <f>"95/04/05"</f>
        <v>95/04/05</v>
      </c>
      <c r="AE1887" s="1" t="str">
        <f t="shared" si="488"/>
        <v>اختتام</v>
      </c>
      <c r="AF1887" s="1" t="str">
        <f>""</f>
        <v/>
      </c>
      <c r="AG1887" s="1" t="str">
        <f>""</f>
        <v/>
      </c>
      <c r="AH1887" s="1" t="str">
        <f>""</f>
        <v/>
      </c>
      <c r="AI1887" s="1" t="str">
        <f>""</f>
        <v/>
      </c>
      <c r="AJ1887" s="1" t="str">
        <f>""</f>
        <v/>
      </c>
      <c r="AK1887" s="1" t="str">
        <f>""</f>
        <v/>
      </c>
    </row>
    <row r="1888" spans="1:37" x14ac:dyDescent="0.2">
      <c r="A1888" s="1">
        <v>838000</v>
      </c>
      <c r="B1888" s="1">
        <v>951700345</v>
      </c>
      <c r="C1888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888" s="1">
        <v>8998</v>
      </c>
      <c r="E1888" s="1">
        <v>838000</v>
      </c>
      <c r="F1888" s="1">
        <v>95</v>
      </c>
      <c r="G1888" s="1">
        <v>0</v>
      </c>
      <c r="H1888" s="1" t="str">
        <f>"95/12/09"</f>
        <v>95/12/09</v>
      </c>
      <c r="I1888" s="1" t="str">
        <f t="shared" si="497"/>
        <v>كيلوگرم</v>
      </c>
      <c r="J1888" s="1" t="str">
        <f t="shared" si="501"/>
        <v>0000000092</v>
      </c>
      <c r="K1888" s="1" t="str">
        <f t="shared" si="502"/>
        <v>قير  PG64-16</v>
      </c>
      <c r="L1888" s="1">
        <v>100</v>
      </c>
      <c r="M1888" s="1" t="str">
        <f t="shared" si="500"/>
        <v>مخازن قير اصفهان</v>
      </c>
      <c r="N1888" s="1">
        <v>10693</v>
      </c>
      <c r="O1888" s="1">
        <v>50033920</v>
      </c>
      <c r="P1888" s="1" t="str">
        <f>"  شناشيل سازان آبدانان"</f>
        <v xml:space="preserve">  شناشيل سازان آبدانان</v>
      </c>
      <c r="Q1888" s="1">
        <v>17</v>
      </c>
      <c r="R1888" s="1" t="str">
        <f>"فروش داخلي تهران - وزارت راه - راه روستايي - روکش"</f>
        <v>فروش داخلي تهران - وزارت راه - راه روستايي - روکش</v>
      </c>
      <c r="S1888" s="1" t="str">
        <f t="shared" si="498"/>
        <v>قرارداد فروش</v>
      </c>
      <c r="T1888" s="1" t="str">
        <f t="shared" si="499"/>
        <v>ندارد</v>
      </c>
      <c r="U1888" s="1" t="str">
        <f>"عظيمي محمد(2842015)"</f>
        <v>عظيمي محمد(2842015)</v>
      </c>
      <c r="V1888" s="1">
        <v>951700345</v>
      </c>
      <c r="W1888" s="1">
        <v>951700345</v>
      </c>
      <c r="X1888" s="1" t="str">
        <f>"1395467969"</f>
        <v>1395467969</v>
      </c>
      <c r="Y1888" s="1" t="str">
        <f>"95/12/09"</f>
        <v>95/12/09</v>
      </c>
      <c r="Z1888" s="1" t="str">
        <f>"61901/710"</f>
        <v>61901/710</v>
      </c>
      <c r="AA1888" s="1" t="str">
        <f>"راه روستائي -روكش"</f>
        <v>راه روستائي -روكش</v>
      </c>
      <c r="AB1888" s="1" t="str">
        <f>"95/12/08"</f>
        <v>95/12/08</v>
      </c>
      <c r="AC1888" s="1" t="str">
        <f>"استان ايلام"</f>
        <v>استان ايلام</v>
      </c>
      <c r="AD1888" s="1" t="str">
        <f>"95/12/09"</f>
        <v>95/12/09</v>
      </c>
      <c r="AE1888" s="1" t="str">
        <f t="shared" si="488"/>
        <v>اختتام</v>
      </c>
      <c r="AF1888" s="1" t="str">
        <f>""</f>
        <v/>
      </c>
      <c r="AG1888" s="1" t="str">
        <f>""</f>
        <v/>
      </c>
      <c r="AH1888" s="1" t="str">
        <f>""</f>
        <v/>
      </c>
      <c r="AI1888" s="1" t="str">
        <f>""</f>
        <v/>
      </c>
      <c r="AJ1888" s="1" t="str">
        <f>""</f>
        <v/>
      </c>
      <c r="AK1888" s="1" t="str">
        <f>""</f>
        <v/>
      </c>
    </row>
    <row r="1889" spans="1:37" x14ac:dyDescent="0.2">
      <c r="A1889" s="1">
        <v>1000000</v>
      </c>
      <c r="B1889" s="1">
        <v>951900070</v>
      </c>
      <c r="C1889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1889" s="1">
        <v>6726</v>
      </c>
      <c r="E1889" s="1">
        <v>999600</v>
      </c>
      <c r="F1889" s="1">
        <v>95</v>
      </c>
      <c r="G1889" s="1">
        <v>400</v>
      </c>
      <c r="H1889" s="1" t="str">
        <f>"95/05/05"</f>
        <v>95/05/05</v>
      </c>
      <c r="I1889" s="1" t="str">
        <f t="shared" si="497"/>
        <v>كيلوگرم</v>
      </c>
      <c r="J1889" s="1" t="str">
        <f t="shared" si="501"/>
        <v>0000000092</v>
      </c>
      <c r="K1889" s="1" t="str">
        <f t="shared" si="502"/>
        <v>قير  PG64-16</v>
      </c>
      <c r="L1889" s="1">
        <v>100</v>
      </c>
      <c r="M1889" s="1" t="str">
        <f t="shared" si="500"/>
        <v>مخازن قير اصفهان</v>
      </c>
      <c r="N1889" s="1">
        <v>11012</v>
      </c>
      <c r="O1889" s="1">
        <v>50031355</v>
      </c>
      <c r="P1889" s="1" t="str">
        <f>"  راه سازگوده"</f>
        <v xml:space="preserve">  راه سازگوده</v>
      </c>
      <c r="Q1889" s="1">
        <v>19</v>
      </c>
      <c r="R188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9" s="1" t="str">
        <f t="shared" si="498"/>
        <v>قرارداد فروش</v>
      </c>
      <c r="T1889" s="1" t="str">
        <f t="shared" si="499"/>
        <v>ندارد</v>
      </c>
      <c r="U1889" s="1" t="str">
        <f>"حاصليان ترابرجنوب مرتضي حاصلي (4844006)"</f>
        <v>حاصليان ترابرجنوب مرتضي حاصلي (4844006)</v>
      </c>
      <c r="V1889" s="1">
        <v>951900070</v>
      </c>
      <c r="W1889" s="1">
        <v>951900070</v>
      </c>
      <c r="X1889" s="1" t="str">
        <f>"1395418072"</f>
        <v>1395418072</v>
      </c>
      <c r="Y1889" s="1" t="str">
        <f>"95/05/05"</f>
        <v>95/05/05</v>
      </c>
      <c r="Z1889" s="1" t="str">
        <f>"18722/510"</f>
        <v>18722/510</v>
      </c>
      <c r="AA1889" s="1" t="str">
        <f>"سازمان راهداري وحمل نقل جاده اي"</f>
        <v>سازمان راهداري وحمل نقل جاده اي</v>
      </c>
      <c r="AB1889" s="1" t="str">
        <f>"95/04/29"</f>
        <v>95/04/29</v>
      </c>
      <c r="AC1889" s="1" t="str">
        <f>"استان هرمزگان"</f>
        <v>استان هرمزگان</v>
      </c>
      <c r="AD1889" s="1" t="str">
        <f>"95/05/05"</f>
        <v>95/05/05</v>
      </c>
      <c r="AE1889" s="1" t="str">
        <f t="shared" si="488"/>
        <v>اختتام</v>
      </c>
      <c r="AF1889" s="1" t="str">
        <f>""</f>
        <v/>
      </c>
      <c r="AG1889" s="1" t="str">
        <f>""</f>
        <v/>
      </c>
      <c r="AH1889" s="1" t="str">
        <f>""</f>
        <v/>
      </c>
      <c r="AI1889" s="1" t="str">
        <f>""</f>
        <v/>
      </c>
      <c r="AJ1889" s="1" t="str">
        <f>""</f>
        <v/>
      </c>
      <c r="AK1889" s="1" t="str">
        <f>""</f>
        <v/>
      </c>
    </row>
    <row r="1890" spans="1:37" x14ac:dyDescent="0.2">
      <c r="A1890" s="1">
        <v>1000000</v>
      </c>
      <c r="B1890" s="1">
        <v>951400180</v>
      </c>
      <c r="C1890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890" s="1">
        <v>9068</v>
      </c>
      <c r="E1890" s="1">
        <v>998640</v>
      </c>
      <c r="F1890" s="1">
        <v>95</v>
      </c>
      <c r="G1890" s="1">
        <v>1360</v>
      </c>
      <c r="H1890" s="1" t="str">
        <f>"95/12/23"</f>
        <v>95/12/23</v>
      </c>
      <c r="I1890" s="1" t="str">
        <f t="shared" si="497"/>
        <v>كيلوگرم</v>
      </c>
      <c r="J1890" s="1" t="str">
        <f t="shared" si="501"/>
        <v>0000000092</v>
      </c>
      <c r="K1890" s="1" t="str">
        <f t="shared" si="502"/>
        <v>قير  PG64-16</v>
      </c>
      <c r="L1890" s="1">
        <v>100</v>
      </c>
      <c r="M1890" s="1" t="str">
        <f t="shared" si="500"/>
        <v>مخازن قير اصفهان</v>
      </c>
      <c r="N1890" s="1">
        <v>11038</v>
      </c>
      <c r="O1890" s="1">
        <v>50034162</v>
      </c>
      <c r="P1890" s="1" t="str">
        <f>"  پل پي ساحل"</f>
        <v xml:space="preserve">  پل پي ساحل</v>
      </c>
      <c r="Q1890" s="1">
        <v>14</v>
      </c>
      <c r="R1890" s="1" t="str">
        <f>"فروش داخلي - وزارت راه - حوزه راه روستايي ساخت"</f>
        <v>فروش داخلي - وزارت راه - حوزه راه روستايي ساخت</v>
      </c>
      <c r="S1890" s="1" t="str">
        <f t="shared" si="498"/>
        <v>قرارداد فروش</v>
      </c>
      <c r="T1890" s="1" t="str">
        <f t="shared" si="499"/>
        <v>ندارد</v>
      </c>
      <c r="U1890" s="1" t="str">
        <f>"حاصليان ترابرجنوب مرتضي حاصلي (4844006)"</f>
        <v>حاصليان ترابرجنوب مرتضي حاصلي (4844006)</v>
      </c>
      <c r="V1890" s="1">
        <v>951400180</v>
      </c>
      <c r="W1890" s="1">
        <v>951400180</v>
      </c>
      <c r="X1890" s="1" t="str">
        <f>"1395470893"</f>
        <v>1395470893</v>
      </c>
      <c r="Y1890" s="1" t="str">
        <f>"95/12/23"</f>
        <v>95/12/23</v>
      </c>
      <c r="Z1890" s="1" t="str">
        <f>"65802/710"</f>
        <v>65802/710</v>
      </c>
      <c r="AA1890" s="1" t="str">
        <f>"راه وروستايي -ساخت"</f>
        <v>راه وروستايي -ساخت</v>
      </c>
      <c r="AB1890" s="1" t="str">
        <f>"95/12/22"</f>
        <v>95/12/22</v>
      </c>
      <c r="AC1890" s="1" t="str">
        <f>"استان هرمزگان"</f>
        <v>استان هرمزگان</v>
      </c>
      <c r="AD1890" s="1" t="str">
        <f>"95/12/23"</f>
        <v>95/12/23</v>
      </c>
      <c r="AE1890" s="1" t="str">
        <f t="shared" si="488"/>
        <v>اختتام</v>
      </c>
      <c r="AF1890" s="1" t="str">
        <f>""</f>
        <v/>
      </c>
      <c r="AG1890" s="1" t="str">
        <f>""</f>
        <v/>
      </c>
      <c r="AH1890" s="1" t="str">
        <f>""</f>
        <v/>
      </c>
      <c r="AI1890" s="1" t="str">
        <f>""</f>
        <v/>
      </c>
      <c r="AJ1890" s="1" t="str">
        <f>""</f>
        <v/>
      </c>
      <c r="AK1890" s="1" t="str">
        <f>""</f>
        <v/>
      </c>
    </row>
    <row r="1891" spans="1:37" x14ac:dyDescent="0.2">
      <c r="A1891" s="1">
        <v>200000</v>
      </c>
      <c r="B1891" s="1">
        <v>951900106</v>
      </c>
      <c r="C1891" s="1" t="str">
        <f>"تخليه -اصفهان -نايين انارك 5كيلومتري انارك كارخانه آسفالت شركت فردسازه سپاهان"</f>
        <v>تخليه -اصفهان -نايين انارك 5كيلومتري انارك كارخانه آسفالت شركت فردسازه سپاهان</v>
      </c>
      <c r="D1891" s="1">
        <v>6726</v>
      </c>
      <c r="E1891" s="1">
        <v>199360</v>
      </c>
      <c r="F1891" s="1">
        <v>95</v>
      </c>
      <c r="G1891" s="1">
        <v>640</v>
      </c>
      <c r="H1891" s="1" t="str">
        <f>"95/05/18"</f>
        <v>95/05/18</v>
      </c>
      <c r="I1891" s="1" t="str">
        <f t="shared" si="497"/>
        <v>كيلوگرم</v>
      </c>
      <c r="J1891" s="1" t="str">
        <f t="shared" si="501"/>
        <v>0000000092</v>
      </c>
      <c r="K1891" s="1" t="str">
        <f t="shared" si="502"/>
        <v>قير  PG64-16</v>
      </c>
      <c r="L1891" s="1">
        <v>100</v>
      </c>
      <c r="M1891" s="1" t="str">
        <f t="shared" si="500"/>
        <v>مخازن قير اصفهان</v>
      </c>
      <c r="N1891" s="1">
        <v>11068</v>
      </c>
      <c r="O1891" s="1">
        <v>50031483</v>
      </c>
      <c r="P1891" s="1" t="str">
        <f>"  بتن گسترسبزسپاهان"</f>
        <v xml:space="preserve">  بتن گسترسبزسپاهان</v>
      </c>
      <c r="Q1891" s="1">
        <v>19</v>
      </c>
      <c r="R18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91" s="1" t="str">
        <f t="shared" si="498"/>
        <v>قرارداد فروش</v>
      </c>
      <c r="T1891" s="1" t="str">
        <f t="shared" si="499"/>
        <v>ندارد</v>
      </c>
      <c r="U1891" s="1" t="str">
        <f>"علي عابدي ابوالقاسم(1003ج89)"</f>
        <v>علي عابدي ابوالقاسم(1003ج89)</v>
      </c>
      <c r="V1891" s="1">
        <v>951900106</v>
      </c>
      <c r="W1891" s="1">
        <v>951900106</v>
      </c>
      <c r="X1891" s="1" t="str">
        <f>"1395421988"</f>
        <v>1395421988</v>
      </c>
      <c r="Y1891" s="1" t="str">
        <f>"95/05/18"</f>
        <v>95/05/18</v>
      </c>
      <c r="Z1891" s="1" t="str">
        <f>"21877/510"</f>
        <v>21877/510</v>
      </c>
      <c r="AA1891" s="1" t="str">
        <f>"سازمان راهداري وحمل نقل جاده اي"</f>
        <v>سازمان راهداري وحمل نقل جاده اي</v>
      </c>
      <c r="AB1891" s="1" t="str">
        <f>"95/05/16"</f>
        <v>95/05/16</v>
      </c>
      <c r="AC1891" s="1" t="str">
        <f>"استان اصفهان"</f>
        <v>استان اصفهان</v>
      </c>
      <c r="AD1891" s="1" t="str">
        <f>"95/05/18"</f>
        <v>95/05/18</v>
      </c>
      <c r="AE1891" s="1" t="str">
        <f t="shared" si="488"/>
        <v>اختتام</v>
      </c>
      <c r="AF1891" s="1" t="str">
        <f>""</f>
        <v/>
      </c>
      <c r="AG1891" s="1" t="str">
        <f>""</f>
        <v/>
      </c>
      <c r="AH1891" s="1" t="str">
        <f>""</f>
        <v/>
      </c>
      <c r="AI1891" s="1" t="str">
        <f>""</f>
        <v/>
      </c>
      <c r="AJ1891" s="1" t="str">
        <f>""</f>
        <v/>
      </c>
      <c r="AK1891" s="1" t="str">
        <f>""</f>
        <v/>
      </c>
    </row>
    <row r="1892" spans="1:37" x14ac:dyDescent="0.2">
      <c r="A1892" s="1">
        <v>500000</v>
      </c>
      <c r="B1892" s="1">
        <v>951900028</v>
      </c>
      <c r="C1892" s="1" t="str">
        <f>"تخليه ايلام شهرك سرطاف جاده قديم صالح آبادكارخانه ايلام قيرپاش"</f>
        <v>تخليه ايلام شهرك سرطاف جاده قديم صالح آبادكارخانه ايلام قيرپاش</v>
      </c>
      <c r="D1892" s="1">
        <v>6250</v>
      </c>
      <c r="E1892" s="1">
        <v>499520</v>
      </c>
      <c r="F1892" s="1">
        <v>95</v>
      </c>
      <c r="G1892" s="1">
        <v>480</v>
      </c>
      <c r="H1892" s="1" t="str">
        <f>"95/04/06"</f>
        <v>95/04/06</v>
      </c>
      <c r="I1892" s="1" t="str">
        <f t="shared" si="497"/>
        <v>كيلوگرم</v>
      </c>
      <c r="J1892" s="1" t="str">
        <f t="shared" si="501"/>
        <v>0000000092</v>
      </c>
      <c r="K1892" s="1" t="str">
        <f t="shared" si="502"/>
        <v>قير  PG64-16</v>
      </c>
      <c r="L1892" s="1">
        <v>100</v>
      </c>
      <c r="M1892" s="1" t="str">
        <f t="shared" si="500"/>
        <v>مخازن قير اصفهان</v>
      </c>
      <c r="N1892" s="1">
        <v>11120</v>
      </c>
      <c r="O1892" s="1">
        <v>50031130</v>
      </c>
      <c r="P1892" s="1" t="str">
        <f>"  بهاران نصرتوسعه"</f>
        <v xml:space="preserve">  بهاران نصرتوسعه</v>
      </c>
      <c r="Q1892" s="1">
        <v>19</v>
      </c>
      <c r="R18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92" s="1" t="str">
        <f t="shared" si="498"/>
        <v>قرارداد فروش</v>
      </c>
      <c r="T1892" s="1" t="str">
        <f t="shared" si="499"/>
        <v>ندارد</v>
      </c>
      <c r="U1892" s="1" t="str">
        <f>"عظيمي محمد(2842015)"</f>
        <v>عظيمي محمد(2842015)</v>
      </c>
      <c r="V1892" s="1">
        <v>951900028</v>
      </c>
      <c r="W1892" s="1">
        <v>951900028</v>
      </c>
      <c r="X1892" s="1" t="str">
        <f>"1395411201"</f>
        <v>1395411201</v>
      </c>
      <c r="Y1892" s="1" t="str">
        <f>"95/04/06"</f>
        <v>95/04/06</v>
      </c>
      <c r="Z1892" s="1" t="str">
        <f>"13018/510"</f>
        <v>13018/510</v>
      </c>
      <c r="AA1892" s="1" t="str">
        <f>"سازمان راهداري وحمل نقل جاده اي"</f>
        <v>سازمان راهداري وحمل نقل جاده اي</v>
      </c>
      <c r="AB1892" s="1" t="str">
        <f>"95/03/29"</f>
        <v>95/03/29</v>
      </c>
      <c r="AC1892" s="1" t="str">
        <f>"استان ايلام"</f>
        <v>استان ايلام</v>
      </c>
      <c r="AD1892" s="1" t="str">
        <f>"95/04/05"</f>
        <v>95/04/05</v>
      </c>
      <c r="AE1892" s="1" t="str">
        <f t="shared" si="488"/>
        <v>اختتام</v>
      </c>
      <c r="AF1892" s="1" t="str">
        <f>""</f>
        <v/>
      </c>
      <c r="AG1892" s="1" t="str">
        <f>""</f>
        <v/>
      </c>
      <c r="AH1892" s="1" t="str">
        <f>""</f>
        <v/>
      </c>
      <c r="AI1892" s="1" t="str">
        <f>""</f>
        <v/>
      </c>
      <c r="AJ1892" s="1" t="str">
        <f>""</f>
        <v/>
      </c>
      <c r="AK1892" s="1" t="str">
        <f>""</f>
        <v/>
      </c>
    </row>
    <row r="1893" spans="1:37" x14ac:dyDescent="0.2">
      <c r="A1893" s="1">
        <v>700000</v>
      </c>
      <c r="B1893" s="1">
        <v>951600054</v>
      </c>
      <c r="C1893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893" s="1">
        <v>7276</v>
      </c>
      <c r="E1893" s="1">
        <v>699180</v>
      </c>
      <c r="F1893" s="1">
        <v>95</v>
      </c>
      <c r="G1893" s="1">
        <v>820</v>
      </c>
      <c r="H1893" s="1" t="str">
        <f>"95/09/07"</f>
        <v>95/09/07</v>
      </c>
      <c r="I1893" s="1" t="str">
        <f t="shared" si="497"/>
        <v>كيلوگرم</v>
      </c>
      <c r="J1893" s="1" t="str">
        <f t="shared" si="501"/>
        <v>0000000092</v>
      </c>
      <c r="K1893" s="1" t="str">
        <f t="shared" si="502"/>
        <v>قير  PG64-16</v>
      </c>
      <c r="L1893" s="1">
        <v>100</v>
      </c>
      <c r="M1893" s="1" t="str">
        <f t="shared" si="500"/>
        <v>مخازن قير اصفهان</v>
      </c>
      <c r="N1893" s="1">
        <v>11212</v>
      </c>
      <c r="O1893" s="1">
        <v>50032711</v>
      </c>
      <c r="P1893" s="1" t="str">
        <f>"  راهسازي وساختماني سازه سازان سمنگان"</f>
        <v xml:space="preserve">  راهسازي وساختماني سازه سازان سمنگان</v>
      </c>
      <c r="Q1893" s="1">
        <v>16</v>
      </c>
      <c r="R1893" s="1" t="str">
        <f>"فروش داخلي تهران - وزارت راه - معاونت اقتصاد"</f>
        <v>فروش داخلي تهران - وزارت راه - معاونت اقتصاد</v>
      </c>
      <c r="S1893" s="1" t="str">
        <f t="shared" si="498"/>
        <v>قرارداد فروش</v>
      </c>
      <c r="T1893" s="1" t="str">
        <f t="shared" si="499"/>
        <v>ندارد</v>
      </c>
      <c r="U1893" s="1" t="str">
        <f>"قره باغي مجيد(1871065)"</f>
        <v>قره باغي مجيد(1871065)</v>
      </c>
      <c r="V1893" s="1">
        <v>951600054</v>
      </c>
      <c r="W1893" s="1">
        <v>951600054</v>
      </c>
      <c r="X1893" s="1" t="str">
        <f>"1395447794"</f>
        <v>1395447794</v>
      </c>
      <c r="Y1893" s="1" t="str">
        <f>"95/09/07"</f>
        <v>95/09/07</v>
      </c>
      <c r="Z1893" s="1" t="str">
        <f>"42062/710"</f>
        <v>42062/710</v>
      </c>
      <c r="AA1893" s="1" t="str">
        <f>"معاونت اقتصادوزارت راه وشهرسازي"</f>
        <v>معاونت اقتصادوزارت راه وشهرسازي</v>
      </c>
      <c r="AB1893" s="1" t="str">
        <f>"95/08/29"</f>
        <v>95/08/29</v>
      </c>
      <c r="AC1893" s="1" t="str">
        <f>"استان هرمزگان"</f>
        <v>استان هرمزگان</v>
      </c>
      <c r="AD1893" s="1" t="str">
        <f>"95/09/07"</f>
        <v>95/09/07</v>
      </c>
      <c r="AE1893" s="1" t="str">
        <f t="shared" ref="AE1893:AE1913" si="503">"اختتام"</f>
        <v>اختتام</v>
      </c>
      <c r="AF1893" s="1" t="str">
        <f>""</f>
        <v/>
      </c>
      <c r="AG1893" s="1" t="str">
        <f>""</f>
        <v/>
      </c>
      <c r="AH1893" s="1" t="str">
        <f>""</f>
        <v/>
      </c>
      <c r="AI1893" s="1" t="str">
        <f>""</f>
        <v/>
      </c>
      <c r="AJ1893" s="1" t="str">
        <f>""</f>
        <v/>
      </c>
      <c r="AK1893" s="1" t="str">
        <f>""</f>
        <v/>
      </c>
    </row>
    <row r="1894" spans="1:37" x14ac:dyDescent="0.2">
      <c r="A1894" s="1">
        <v>1000000</v>
      </c>
      <c r="B1894" s="1">
        <v>951600089</v>
      </c>
      <c r="C1894" s="1" t="str">
        <f>"تخليه هرمزگان پروژه احداث بانددوم گهكم  فورك كارخانه آسفالت شركت سازه سازان سمنگان"</f>
        <v>تخليه هرمزگان پروژه احداث بانددوم گهكم  فورك كارخانه آسفالت شركت سازه سازان سمنگان</v>
      </c>
      <c r="D1894" s="1">
        <v>8998</v>
      </c>
      <c r="E1894" s="1">
        <v>999900</v>
      </c>
      <c r="F1894" s="1">
        <v>95</v>
      </c>
      <c r="G1894" s="1">
        <v>100</v>
      </c>
      <c r="H1894" s="1" t="str">
        <f>"95/11/16"</f>
        <v>95/11/16</v>
      </c>
      <c r="I1894" s="1" t="str">
        <f t="shared" si="497"/>
        <v>كيلوگرم</v>
      </c>
      <c r="J1894" s="1" t="str">
        <f t="shared" si="501"/>
        <v>0000000092</v>
      </c>
      <c r="K1894" s="1" t="str">
        <f t="shared" si="502"/>
        <v>قير  PG64-16</v>
      </c>
      <c r="L1894" s="1">
        <v>100</v>
      </c>
      <c r="M1894" s="1" t="str">
        <f t="shared" si="500"/>
        <v>مخازن قير اصفهان</v>
      </c>
      <c r="N1894" s="1">
        <v>11212</v>
      </c>
      <c r="O1894" s="1">
        <v>50033596</v>
      </c>
      <c r="P1894" s="1" t="str">
        <f>"  راهسازي وساختماني سازه سازان سمنگان"</f>
        <v xml:space="preserve">  راهسازي وساختماني سازه سازان سمنگان</v>
      </c>
      <c r="Q1894" s="1">
        <v>16</v>
      </c>
      <c r="R1894" s="1" t="str">
        <f>"فروش داخلي تهران - وزارت راه - معاونت اقتصاد"</f>
        <v>فروش داخلي تهران - وزارت راه - معاونت اقتصاد</v>
      </c>
      <c r="S1894" s="1" t="str">
        <f t="shared" si="498"/>
        <v>قرارداد فروش</v>
      </c>
      <c r="T1894" s="1" t="str">
        <f t="shared" si="499"/>
        <v>ندارد</v>
      </c>
      <c r="U1894" s="1" t="str">
        <f>"قره باغي مجيد(1871065)"</f>
        <v>قره باغي مجيد(1871065)</v>
      </c>
      <c r="V1894" s="1">
        <v>951600089</v>
      </c>
      <c r="W1894" s="1">
        <v>951600089</v>
      </c>
      <c r="X1894" s="1" t="str">
        <f>"1395462694"</f>
        <v>1395462694</v>
      </c>
      <c r="Y1894" s="1" t="str">
        <f>"95/11/16"</f>
        <v>95/11/16</v>
      </c>
      <c r="Z1894" s="1" t="str">
        <f>"55063/710"</f>
        <v>55063/710</v>
      </c>
      <c r="AA1894" s="1" t="str">
        <f>"معاونت اقتصادوزارت راه وشهرسازي"</f>
        <v>معاونت اقتصادوزارت راه وشهرسازي</v>
      </c>
      <c r="AB1894" s="1" t="str">
        <f>"95/11/06"</f>
        <v>95/11/06</v>
      </c>
      <c r="AC1894" s="1" t="str">
        <f>"استان هرمزگان"</f>
        <v>استان هرمزگان</v>
      </c>
      <c r="AD1894" s="1" t="str">
        <f>"95/11/13"</f>
        <v>95/11/13</v>
      </c>
      <c r="AE1894" s="1" t="str">
        <f t="shared" si="503"/>
        <v>اختتام</v>
      </c>
      <c r="AF1894" s="1" t="str">
        <f>""</f>
        <v/>
      </c>
      <c r="AG1894" s="1" t="str">
        <f>""</f>
        <v/>
      </c>
      <c r="AH1894" s="1" t="str">
        <f>""</f>
        <v/>
      </c>
      <c r="AI1894" s="1" t="str">
        <f>""</f>
        <v/>
      </c>
      <c r="AJ1894" s="1" t="str">
        <f>""</f>
        <v/>
      </c>
      <c r="AK1894" s="1" t="str">
        <f>""</f>
        <v/>
      </c>
    </row>
    <row r="1895" spans="1:37" x14ac:dyDescent="0.2">
      <c r="A1895" s="1">
        <v>600000</v>
      </c>
      <c r="B1895" s="1">
        <v>951900273</v>
      </c>
      <c r="C1895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895" s="1">
        <v>8998</v>
      </c>
      <c r="E1895" s="1">
        <v>600000</v>
      </c>
      <c r="F1895" s="1">
        <v>95</v>
      </c>
      <c r="G1895" s="1">
        <v>0</v>
      </c>
      <c r="H1895" s="1" t="str">
        <f>"95/12/11"</f>
        <v>95/12/11</v>
      </c>
      <c r="I1895" s="1" t="str">
        <f t="shared" si="497"/>
        <v>كيلوگرم</v>
      </c>
      <c r="J1895" s="1" t="str">
        <f t="shared" si="501"/>
        <v>0000000092</v>
      </c>
      <c r="K1895" s="1" t="str">
        <f t="shared" si="502"/>
        <v>قير  PG64-16</v>
      </c>
      <c r="L1895" s="1">
        <v>100</v>
      </c>
      <c r="M1895" s="1" t="str">
        <f t="shared" si="500"/>
        <v>مخازن قير اصفهان</v>
      </c>
      <c r="N1895" s="1">
        <v>11212</v>
      </c>
      <c r="O1895" s="1">
        <v>50033967</v>
      </c>
      <c r="P1895" s="1" t="str">
        <f>"  راهسازي وساختماني سازه سازان سمنگان"</f>
        <v xml:space="preserve">  راهسازي وساختماني سازه سازان سمنگان</v>
      </c>
      <c r="Q1895" s="1">
        <v>19</v>
      </c>
      <c r="R189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95" s="1" t="str">
        <f t="shared" si="498"/>
        <v>قرارداد فروش</v>
      </c>
      <c r="T1895" s="1" t="str">
        <f t="shared" si="499"/>
        <v>ندارد</v>
      </c>
      <c r="U1895" s="1" t="str">
        <f>"حاصليان ترابرجنوب مرتضي حاصلي (4844006)"</f>
        <v>حاصليان ترابرجنوب مرتضي حاصلي (4844006)</v>
      </c>
      <c r="V1895" s="1">
        <v>951900273</v>
      </c>
      <c r="W1895" s="1">
        <v>951900273</v>
      </c>
      <c r="X1895" s="1" t="str">
        <f>"1395468781"</f>
        <v>1395468781</v>
      </c>
      <c r="Y1895" s="1" t="str">
        <f>"95/12/11"</f>
        <v>95/12/11</v>
      </c>
      <c r="Z1895" s="1" t="str">
        <f>"62405/710"</f>
        <v>62405/710</v>
      </c>
      <c r="AA1895" s="1" t="str">
        <f>"سازمان راهداري وحمل نقل جاده اي"</f>
        <v>سازمان راهداري وحمل نقل جاده اي</v>
      </c>
      <c r="AB1895" s="1" t="str">
        <f>"95/12/09"</f>
        <v>95/12/09</v>
      </c>
      <c r="AC1895" s="1" t="str">
        <f>"استان هرمزگان"</f>
        <v>استان هرمزگان</v>
      </c>
      <c r="AD1895" s="1" t="str">
        <f>"95/12/11"</f>
        <v>95/12/11</v>
      </c>
      <c r="AE1895" s="1" t="str">
        <f t="shared" si="503"/>
        <v>اختتام</v>
      </c>
      <c r="AF1895" s="1" t="str">
        <f>""</f>
        <v/>
      </c>
      <c r="AG1895" s="1" t="str">
        <f>""</f>
        <v/>
      </c>
      <c r="AH1895" s="1" t="str">
        <f>""</f>
        <v/>
      </c>
      <c r="AI1895" s="1" t="str">
        <f>""</f>
        <v/>
      </c>
      <c r="AJ1895" s="1" t="str">
        <f>""</f>
        <v/>
      </c>
      <c r="AK1895" s="1" t="str">
        <f>""</f>
        <v/>
      </c>
    </row>
    <row r="1896" spans="1:37" x14ac:dyDescent="0.2">
      <c r="A1896" s="1">
        <v>500000</v>
      </c>
      <c r="B1896" s="1">
        <v>951600098</v>
      </c>
      <c r="C1896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1896" s="1">
        <v>9068</v>
      </c>
      <c r="E1896" s="1">
        <v>500000</v>
      </c>
      <c r="F1896" s="1">
        <v>95</v>
      </c>
      <c r="G1896" s="1">
        <v>0</v>
      </c>
      <c r="H1896" s="1" t="str">
        <f>"95/12/25"</f>
        <v>95/12/25</v>
      </c>
      <c r="I1896" s="1" t="str">
        <f t="shared" si="497"/>
        <v>كيلوگرم</v>
      </c>
      <c r="J1896" s="1" t="str">
        <f t="shared" si="501"/>
        <v>0000000092</v>
      </c>
      <c r="K1896" s="1" t="str">
        <f t="shared" si="502"/>
        <v>قير  PG64-16</v>
      </c>
      <c r="L1896" s="1">
        <v>100</v>
      </c>
      <c r="M1896" s="1" t="str">
        <f t="shared" si="500"/>
        <v>مخازن قير اصفهان</v>
      </c>
      <c r="N1896" s="1">
        <v>11212</v>
      </c>
      <c r="O1896" s="1">
        <v>50034265</v>
      </c>
      <c r="P1896" s="1" t="str">
        <f>"  راهسازي وساختماني سازه سازان سمنگان"</f>
        <v xml:space="preserve">  راهسازي وساختماني سازه سازان سمنگان</v>
      </c>
      <c r="Q1896" s="1">
        <v>16</v>
      </c>
      <c r="R1896" s="1" t="str">
        <f>"فروش داخلي تهران - وزارت راه - معاونت اقتصاد"</f>
        <v>فروش داخلي تهران - وزارت راه - معاونت اقتصاد</v>
      </c>
      <c r="S1896" s="1" t="str">
        <f t="shared" si="498"/>
        <v>قرارداد فروش</v>
      </c>
      <c r="T1896" s="1" t="str">
        <f t="shared" si="499"/>
        <v>ندارد</v>
      </c>
      <c r="U1896" s="1" t="str">
        <f>"حاصليان ترابرجنوب مرتضي حاصلي (4844006)"</f>
        <v>حاصليان ترابرجنوب مرتضي حاصلي (4844006)</v>
      </c>
      <c r="V1896" s="1">
        <v>951600098</v>
      </c>
      <c r="W1896" s="1">
        <v>951600098</v>
      </c>
      <c r="X1896" s="1" t="str">
        <f>"1395470955"</f>
        <v>1395470955</v>
      </c>
      <c r="Y1896" s="1" t="str">
        <f>"95/12/25"</f>
        <v>95/12/25</v>
      </c>
      <c r="Z1896" s="1" t="str">
        <f>"65727/710"</f>
        <v>65727/710</v>
      </c>
      <c r="AA1896" s="1" t="str">
        <f>"معاونت اقتصادوزارت راه وشهرسازي"</f>
        <v>معاونت اقتصادوزارت راه وشهرسازي</v>
      </c>
      <c r="AB1896" s="1" t="str">
        <f>"95/12/22"</f>
        <v>95/12/22</v>
      </c>
      <c r="AC1896" s="1" t="str">
        <f>"استان هرمزگان"</f>
        <v>استان هرمزگان</v>
      </c>
      <c r="AD1896" s="1" t="str">
        <f>"95/12/24"</f>
        <v>95/12/24</v>
      </c>
      <c r="AE1896" s="1" t="str">
        <f t="shared" si="503"/>
        <v>اختتام</v>
      </c>
      <c r="AF1896" s="1" t="str">
        <f>""</f>
        <v/>
      </c>
      <c r="AG1896" s="1" t="str">
        <f>""</f>
        <v/>
      </c>
      <c r="AH1896" s="1" t="str">
        <f>""</f>
        <v/>
      </c>
      <c r="AI1896" s="1" t="str">
        <f>""</f>
        <v/>
      </c>
      <c r="AJ1896" s="1" t="str">
        <f>""</f>
        <v/>
      </c>
      <c r="AK1896" s="1" t="str">
        <f>""</f>
        <v/>
      </c>
    </row>
    <row r="1897" spans="1:37" x14ac:dyDescent="0.2">
      <c r="A1897" s="1">
        <v>851000</v>
      </c>
      <c r="B1897" s="1">
        <v>951700054</v>
      </c>
      <c r="C1897" s="1" t="str">
        <f>"تخليه-بندرگز-روبروي روستاي ول افرا کارخانه شرکت عمران راه گلستان"</f>
        <v>تخليه-بندرگز-روبروي روستاي ول افرا کارخانه شرکت عمران راه گلستان</v>
      </c>
      <c r="D1897" s="1">
        <v>6250</v>
      </c>
      <c r="E1897" s="1">
        <v>836160</v>
      </c>
      <c r="F1897" s="1">
        <v>95</v>
      </c>
      <c r="G1897" s="1">
        <v>14840</v>
      </c>
      <c r="H1897" s="1" t="str">
        <f>"95/04/06"</f>
        <v>95/04/06</v>
      </c>
      <c r="I1897" s="1" t="str">
        <f t="shared" si="497"/>
        <v>كيلوگرم</v>
      </c>
      <c r="J1897" s="1" t="str">
        <f t="shared" ref="J1897:J1909" si="504">"0000000093"</f>
        <v>0000000093</v>
      </c>
      <c r="K1897" s="1" t="str">
        <f t="shared" ref="K1897:K1909" si="505">"قير  PG64-10"</f>
        <v>قير  PG64-10</v>
      </c>
      <c r="L1897" s="1">
        <v>100</v>
      </c>
      <c r="M1897" s="1" t="str">
        <f t="shared" si="500"/>
        <v>مخازن قير اصفهان</v>
      </c>
      <c r="N1897" s="1">
        <v>4101</v>
      </c>
      <c r="O1897" s="1">
        <v>50031120</v>
      </c>
      <c r="P1897" s="1" t="str">
        <f>"  اداره كل راه و شهرسازي گلستان"</f>
        <v xml:space="preserve">  اداره كل راه و شهرسازي گلستان</v>
      </c>
      <c r="Q1897" s="1">
        <v>17</v>
      </c>
      <c r="R1897" s="1" t="str">
        <f>"فروش داخلي تهران - وزارت راه - راه روستايي - روکش"</f>
        <v>فروش داخلي تهران - وزارت راه - راه روستايي - روکش</v>
      </c>
      <c r="S1897" s="1" t="str">
        <f t="shared" si="498"/>
        <v>قرارداد فروش</v>
      </c>
      <c r="T1897" s="1" t="str">
        <f t="shared" si="499"/>
        <v>ندارد</v>
      </c>
      <c r="U1897" s="1" t="str">
        <f>"شيشه بر كريم(1841016)"</f>
        <v>شيشه بر كريم(1841016)</v>
      </c>
      <c r="V1897" s="1">
        <v>951700054</v>
      </c>
      <c r="W1897" s="1">
        <v>951700054</v>
      </c>
      <c r="X1897" s="1" t="str">
        <f>"1395411207"</f>
        <v>1395411207</v>
      </c>
      <c r="Y1897" s="1" t="str">
        <f>"95/04/06"</f>
        <v>95/04/06</v>
      </c>
      <c r="Z1897" s="1" t="str">
        <f>"13251/510"</f>
        <v>13251/510</v>
      </c>
      <c r="AA1897" s="1" t="str">
        <f>"راه روستائي -روكش"</f>
        <v>راه روستائي -روكش</v>
      </c>
      <c r="AB1897" s="1" t="str">
        <f>"95/03/30"</f>
        <v>95/03/30</v>
      </c>
      <c r="AC1897" s="1" t="str">
        <f>"استان گلستان"</f>
        <v>استان گلستان</v>
      </c>
      <c r="AD1897" s="1" t="str">
        <f>"95/04/05"</f>
        <v>95/04/05</v>
      </c>
      <c r="AE1897" s="1" t="str">
        <f t="shared" si="503"/>
        <v>اختتام</v>
      </c>
      <c r="AF1897" s="1" t="str">
        <f>""</f>
        <v/>
      </c>
      <c r="AG1897" s="1" t="str">
        <f>""</f>
        <v/>
      </c>
      <c r="AH1897" s="1" t="str">
        <f>""</f>
        <v/>
      </c>
      <c r="AI1897" s="1" t="str">
        <f>""</f>
        <v/>
      </c>
      <c r="AJ1897" s="1" t="str">
        <f>""</f>
        <v/>
      </c>
      <c r="AK1897" s="1" t="str">
        <f>""</f>
        <v/>
      </c>
    </row>
    <row r="1898" spans="1:37" x14ac:dyDescent="0.2">
      <c r="A1898" s="1">
        <v>350000</v>
      </c>
      <c r="B1898" s="1">
        <v>951800141</v>
      </c>
      <c r="C1898" s="1" t="str">
        <f>"تخليه -گلستان -گرگان علي آبادزرين گل -جنب كارخانه كلانتري"</f>
        <v>تخليه -گلستان -گرگان علي آبادزرين گل -جنب كارخانه كلانتري</v>
      </c>
      <c r="D1898" s="1">
        <v>8854</v>
      </c>
      <c r="E1898" s="1">
        <v>349580</v>
      </c>
      <c r="F1898" s="1">
        <v>95</v>
      </c>
      <c r="G1898" s="1">
        <v>420</v>
      </c>
      <c r="H1898" s="1" t="str">
        <f>"95/12/03"</f>
        <v>95/12/03</v>
      </c>
      <c r="I1898" s="1" t="str">
        <f t="shared" si="497"/>
        <v>كيلوگرم</v>
      </c>
      <c r="J1898" s="1" t="str">
        <f t="shared" si="504"/>
        <v>0000000093</v>
      </c>
      <c r="K1898" s="1" t="str">
        <f t="shared" si="505"/>
        <v>قير  PG64-10</v>
      </c>
      <c r="L1898" s="1">
        <v>100</v>
      </c>
      <c r="M1898" s="1" t="str">
        <f t="shared" si="500"/>
        <v>مخازن قير اصفهان</v>
      </c>
      <c r="N1898" s="1">
        <v>8035</v>
      </c>
      <c r="O1898" s="1">
        <v>50033824</v>
      </c>
      <c r="P1898" s="1" t="str">
        <f>"  فانديشن"</f>
        <v xml:space="preserve">  فانديشن</v>
      </c>
      <c r="Q1898" s="1">
        <v>18</v>
      </c>
      <c r="R1898" s="1" t="str">
        <f>"فروش داخلي تهران - وزارت راه - شرکت ساخت و توسعه راهها"</f>
        <v>فروش داخلي تهران - وزارت راه - شرکت ساخت و توسعه راهها</v>
      </c>
      <c r="S1898" s="1" t="str">
        <f t="shared" si="498"/>
        <v>قرارداد فروش</v>
      </c>
      <c r="T1898" s="1" t="str">
        <f t="shared" si="499"/>
        <v>ندارد</v>
      </c>
      <c r="U1898" s="1" t="str">
        <f>"شيشه بر كريم(1841016)"</f>
        <v>شيشه بر كريم(1841016)</v>
      </c>
      <c r="V1898" s="1">
        <v>951800141</v>
      </c>
      <c r="W1898" s="1">
        <v>951800141</v>
      </c>
      <c r="X1898" s="1" t="str">
        <f>"1395466555"</f>
        <v>1395466555</v>
      </c>
      <c r="Y1898" s="1" t="str">
        <f>"95/12/03"</f>
        <v>95/12/03</v>
      </c>
      <c r="Z1898" s="1" t="str">
        <f>"57819/710"</f>
        <v>57819/710</v>
      </c>
      <c r="AA1898" s="1" t="str">
        <f>"شركت  ساخت وتوسعه راهها"</f>
        <v>شركت  ساخت وتوسعه راهها</v>
      </c>
      <c r="AB1898" s="1" t="str">
        <f>"95/11/19"</f>
        <v>95/11/19</v>
      </c>
      <c r="AC1898" s="1" t="str">
        <f>"استان گلستان"</f>
        <v>استان گلستان</v>
      </c>
      <c r="AD1898" s="1" t="str">
        <f>"95/12/03"</f>
        <v>95/12/03</v>
      </c>
      <c r="AE1898" s="1" t="str">
        <f t="shared" si="503"/>
        <v>اختتام</v>
      </c>
      <c r="AF1898" s="1" t="str">
        <f>""</f>
        <v/>
      </c>
      <c r="AG1898" s="1" t="str">
        <f>""</f>
        <v/>
      </c>
      <c r="AH1898" s="1" t="str">
        <f>""</f>
        <v/>
      </c>
      <c r="AI1898" s="1" t="str">
        <f>""</f>
        <v/>
      </c>
      <c r="AJ1898" s="1" t="str">
        <f>""</f>
        <v/>
      </c>
      <c r="AK1898" s="1" t="str">
        <f>""</f>
        <v/>
      </c>
    </row>
    <row r="1899" spans="1:37" x14ac:dyDescent="0.2">
      <c r="A1899" s="1">
        <v>100000</v>
      </c>
      <c r="B1899" s="1">
        <v>951700344</v>
      </c>
      <c r="C1899" s="1" t="str">
        <f>"تخليه گيلان پروژه راه روستايي لاكه شركت عمران دژالماس"</f>
        <v>تخليه گيلان پروژه راه روستايي لاكه شركت عمران دژالماس</v>
      </c>
      <c r="D1899" s="1">
        <v>8998</v>
      </c>
      <c r="E1899" s="1">
        <v>99420</v>
      </c>
      <c r="F1899" s="1">
        <v>95</v>
      </c>
      <c r="G1899" s="1">
        <v>580</v>
      </c>
      <c r="H1899" s="1" t="str">
        <f>"95/12/09"</f>
        <v>95/12/09</v>
      </c>
      <c r="I1899" s="1" t="str">
        <f t="shared" si="497"/>
        <v>كيلوگرم</v>
      </c>
      <c r="J1899" s="1" t="str">
        <f t="shared" si="504"/>
        <v>0000000093</v>
      </c>
      <c r="K1899" s="1" t="str">
        <f t="shared" si="505"/>
        <v>قير  PG64-10</v>
      </c>
      <c r="L1899" s="1">
        <v>100</v>
      </c>
      <c r="M1899" s="1" t="str">
        <f t="shared" si="500"/>
        <v>مخازن قير اصفهان</v>
      </c>
      <c r="N1899" s="1">
        <v>8085</v>
      </c>
      <c r="O1899" s="1">
        <v>50033919</v>
      </c>
      <c r="P1899" s="1" t="str">
        <f>"  اداره كل راه و شهرسازي گيلان"</f>
        <v xml:space="preserve">  اداره كل راه و شهرسازي گيلان</v>
      </c>
      <c r="Q1899" s="1">
        <v>17</v>
      </c>
      <c r="R1899" s="1" t="str">
        <f>"فروش داخلي تهران - وزارت راه - راه روستايي - روکش"</f>
        <v>فروش داخلي تهران - وزارت راه - راه روستايي - روکش</v>
      </c>
      <c r="S1899" s="1" t="str">
        <f t="shared" si="498"/>
        <v>قرارداد فروش</v>
      </c>
      <c r="T1899" s="1" t="str">
        <f t="shared" si="499"/>
        <v>ندارد</v>
      </c>
      <c r="U1899" s="1" t="str">
        <f>"خليل الهي حسن(1841005)"</f>
        <v>خليل الهي حسن(1841005)</v>
      </c>
      <c r="V1899" s="1">
        <v>951700344</v>
      </c>
      <c r="W1899" s="1">
        <v>951700344</v>
      </c>
      <c r="X1899" s="1" t="str">
        <f>"1395467971"</f>
        <v>1395467971</v>
      </c>
      <c r="Y1899" s="1" t="str">
        <f>"95/12/09"</f>
        <v>95/12/09</v>
      </c>
      <c r="Z1899" s="1" t="str">
        <f>"61189/710"</f>
        <v>61189/710</v>
      </c>
      <c r="AA1899" s="1" t="str">
        <f>"راه روستائي -روكش"</f>
        <v>راه روستائي -روكش</v>
      </c>
      <c r="AB1899" s="1" t="str">
        <f>"95/12/04"</f>
        <v>95/12/04</v>
      </c>
      <c r="AC1899" s="1" t="str">
        <f>"استان گيلان"</f>
        <v>استان گيلان</v>
      </c>
      <c r="AD1899" s="1" t="str">
        <f>"95/12/09"</f>
        <v>95/12/09</v>
      </c>
      <c r="AE1899" s="1" t="str">
        <f t="shared" si="503"/>
        <v>اختتام</v>
      </c>
      <c r="AF1899" s="1" t="str">
        <f>""</f>
        <v/>
      </c>
      <c r="AG1899" s="1" t="str">
        <f>""</f>
        <v/>
      </c>
      <c r="AH1899" s="1" t="str">
        <f>""</f>
        <v/>
      </c>
      <c r="AI1899" s="1" t="str">
        <f>""</f>
        <v/>
      </c>
      <c r="AJ1899" s="1" t="str">
        <f>""</f>
        <v/>
      </c>
      <c r="AK1899" s="1" t="str">
        <f>""</f>
        <v/>
      </c>
    </row>
    <row r="1900" spans="1:37" x14ac:dyDescent="0.2">
      <c r="A1900" s="1">
        <v>250000</v>
      </c>
      <c r="B1900" s="1">
        <v>951300028</v>
      </c>
      <c r="C1900" s="1" t="str">
        <f>"تخليه يزدكارخانه آسفالت شهرداري ابركوه"</f>
        <v>تخليه يزدكارخانه آسفالت شهرداري ابركوه</v>
      </c>
      <c r="D1900" s="1">
        <v>8854</v>
      </c>
      <c r="E1900" s="1">
        <v>248400</v>
      </c>
      <c r="F1900" s="1">
        <v>95</v>
      </c>
      <c r="G1900" s="1">
        <v>1600</v>
      </c>
      <c r="H1900" s="1" t="str">
        <f>"95/11/26"</f>
        <v>95/11/26</v>
      </c>
      <c r="I1900" s="1" t="str">
        <f t="shared" si="497"/>
        <v>كيلوگرم</v>
      </c>
      <c r="J1900" s="1" t="str">
        <f t="shared" si="504"/>
        <v>0000000093</v>
      </c>
      <c r="K1900" s="1" t="str">
        <f t="shared" si="505"/>
        <v>قير  PG64-10</v>
      </c>
      <c r="L1900" s="1">
        <v>100</v>
      </c>
      <c r="M1900" s="1" t="str">
        <f t="shared" si="500"/>
        <v>مخازن قير اصفهان</v>
      </c>
      <c r="N1900" s="1">
        <v>9875</v>
      </c>
      <c r="O1900" s="1">
        <v>50033750</v>
      </c>
      <c r="P1900" s="1" t="str">
        <f>"  بنيادمسكن انقلاب اسلامي يزد"</f>
        <v xml:space="preserve">  بنيادمسكن انقلاب اسلامي يزد</v>
      </c>
      <c r="Q1900" s="1">
        <v>13</v>
      </c>
      <c r="R1900" s="1" t="str">
        <f>"فروش داخلي - وزارت راه - حوزه بنياد مسكن"</f>
        <v>فروش داخلي - وزارت راه - حوزه بنياد مسكن</v>
      </c>
      <c r="S1900" s="1" t="str">
        <f t="shared" si="498"/>
        <v>قرارداد فروش</v>
      </c>
      <c r="T1900" s="1" t="str">
        <f t="shared" si="499"/>
        <v>ندارد</v>
      </c>
      <c r="U1900" s="1" t="str">
        <f>"قانعي محمدرضا(1011ج89)"</f>
        <v>قانعي محمدرضا(1011ج89)</v>
      </c>
      <c r="V1900" s="1">
        <v>951300028</v>
      </c>
      <c r="W1900" s="1">
        <v>951300028</v>
      </c>
      <c r="X1900" s="1" t="str">
        <f>"1395464672"</f>
        <v>1395464672</v>
      </c>
      <c r="Y1900" s="1" t="str">
        <f>"95/11/26"</f>
        <v>95/11/26</v>
      </c>
      <c r="Z1900" s="1" t="str">
        <f>"56621/710"</f>
        <v>56621/710</v>
      </c>
      <c r="AA1900" s="1" t="str">
        <f>"بنياد مسكن -مسكن مهر"</f>
        <v>بنياد مسكن -مسكن مهر</v>
      </c>
      <c r="AB1900" s="1" t="str">
        <f>"95/11/13"</f>
        <v>95/11/13</v>
      </c>
      <c r="AC1900" s="1" t="str">
        <f>"استان يزد"</f>
        <v>استان يزد</v>
      </c>
      <c r="AD1900" s="1" t="str">
        <f>"95/11/25"</f>
        <v>95/11/25</v>
      </c>
      <c r="AE1900" s="1" t="str">
        <f t="shared" si="503"/>
        <v>اختتام</v>
      </c>
      <c r="AF1900" s="1" t="str">
        <f>""</f>
        <v/>
      </c>
      <c r="AG1900" s="1" t="str">
        <f>""</f>
        <v/>
      </c>
      <c r="AH1900" s="1" t="str">
        <f>""</f>
        <v/>
      </c>
      <c r="AI1900" s="1" t="str">
        <f>""</f>
        <v/>
      </c>
      <c r="AJ1900" s="1" t="str">
        <f>""</f>
        <v/>
      </c>
      <c r="AK1900" s="1" t="str">
        <f>""</f>
        <v/>
      </c>
    </row>
    <row r="1901" spans="1:37" x14ac:dyDescent="0.2">
      <c r="A1901" s="1">
        <v>300000</v>
      </c>
      <c r="B1901" s="1">
        <v>951900103</v>
      </c>
      <c r="C1901" s="1" t="str">
        <f>"تخليه - کيلومتر 15بزرگراه نيريز-استهبان روستاي حاجي آباد کارخانه سيويل تونل"</f>
        <v>تخليه - کيلومتر 15بزرگراه نيريز-استهبان روستاي حاجي آباد کارخانه سيويل تونل</v>
      </c>
      <c r="D1901" s="1">
        <v>6726</v>
      </c>
      <c r="E1901" s="1">
        <v>299000</v>
      </c>
      <c r="F1901" s="1">
        <v>95</v>
      </c>
      <c r="G1901" s="1">
        <v>1000</v>
      </c>
      <c r="H1901" s="1" t="str">
        <f>"95/05/18"</f>
        <v>95/05/18</v>
      </c>
      <c r="I1901" s="1" t="str">
        <f t="shared" si="497"/>
        <v>كيلوگرم</v>
      </c>
      <c r="J1901" s="1" t="str">
        <f t="shared" si="504"/>
        <v>0000000093</v>
      </c>
      <c r="K1901" s="1" t="str">
        <f t="shared" si="505"/>
        <v>قير  PG64-10</v>
      </c>
      <c r="L1901" s="1">
        <v>100</v>
      </c>
      <c r="M1901" s="1" t="str">
        <f t="shared" si="500"/>
        <v>مخازن قير اصفهان</v>
      </c>
      <c r="N1901" s="1">
        <v>10445</v>
      </c>
      <c r="O1901" s="1">
        <v>50031475</v>
      </c>
      <c r="P1901" s="1" t="str">
        <f>"  سيويل تونل"</f>
        <v xml:space="preserve">  سيويل تونل</v>
      </c>
      <c r="Q1901" s="1">
        <v>19</v>
      </c>
      <c r="R19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01" s="1" t="str">
        <f t="shared" si="498"/>
        <v>قرارداد فروش</v>
      </c>
      <c r="T1901" s="1" t="str">
        <f t="shared" si="499"/>
        <v>ندارد</v>
      </c>
      <c r="U1901" s="1" t="str">
        <f>"دهقانيان بهرام(4844012)"</f>
        <v>دهقانيان بهرام(4844012)</v>
      </c>
      <c r="V1901" s="1">
        <v>951900103</v>
      </c>
      <c r="W1901" s="1">
        <v>951900103</v>
      </c>
      <c r="X1901" s="1" t="str">
        <f>"1395421982"</f>
        <v>1395421982</v>
      </c>
      <c r="Y1901" s="1" t="str">
        <f>"95/05/18"</f>
        <v>95/05/18</v>
      </c>
      <c r="Z1901" s="1" t="str">
        <f>"21975/510"</f>
        <v>21975/510</v>
      </c>
      <c r="AA1901" s="1" t="str">
        <f>"سازمان راهداري وحمل نقل جاده اي"</f>
        <v>سازمان راهداري وحمل نقل جاده اي</v>
      </c>
      <c r="AB1901" s="1" t="str">
        <f>"95/05/16"</f>
        <v>95/05/16</v>
      </c>
      <c r="AC1901" s="1" t="str">
        <f>"استان فارس"</f>
        <v>استان فارس</v>
      </c>
      <c r="AD1901" s="1" t="str">
        <f>"95/05/18"</f>
        <v>95/05/18</v>
      </c>
      <c r="AE1901" s="1" t="str">
        <f t="shared" si="503"/>
        <v>اختتام</v>
      </c>
      <c r="AF1901" s="1" t="str">
        <f>""</f>
        <v/>
      </c>
      <c r="AG1901" s="1" t="str">
        <f>""</f>
        <v/>
      </c>
      <c r="AH1901" s="1" t="str">
        <f>""</f>
        <v/>
      </c>
      <c r="AI1901" s="1" t="str">
        <f>""</f>
        <v/>
      </c>
      <c r="AJ1901" s="1" t="str">
        <f>""</f>
        <v/>
      </c>
      <c r="AK1901" s="1" t="str">
        <f>""</f>
        <v/>
      </c>
    </row>
    <row r="1902" spans="1:37" x14ac:dyDescent="0.2">
      <c r="A1902" s="1">
        <v>1000000</v>
      </c>
      <c r="B1902" s="1">
        <v>951900216</v>
      </c>
      <c r="C1902" s="1" t="str">
        <f>"تخليه شيرازجاده سروستان بعدازروستاي برم شورجاده پسماندكارخانه آسفالت سازان جنوب"</f>
        <v>تخليه شيرازجاده سروستان بعدازروستاي برم شورجاده پسماندكارخانه آسفالت سازان جنوب</v>
      </c>
      <c r="D1902" s="1">
        <v>7276</v>
      </c>
      <c r="E1902" s="1">
        <v>507440</v>
      </c>
      <c r="F1902" s="1">
        <v>95</v>
      </c>
      <c r="G1902" s="1">
        <v>492560</v>
      </c>
      <c r="H1902" s="1" t="str">
        <f>"95/09/15"</f>
        <v>95/09/15</v>
      </c>
      <c r="I1902" s="1" t="str">
        <f t="shared" si="497"/>
        <v>كيلوگرم</v>
      </c>
      <c r="J1902" s="1" t="str">
        <f t="shared" si="504"/>
        <v>0000000093</v>
      </c>
      <c r="K1902" s="1" t="str">
        <f t="shared" si="505"/>
        <v>قير  PG64-10</v>
      </c>
      <c r="L1902" s="1">
        <v>100</v>
      </c>
      <c r="M1902" s="1" t="str">
        <f t="shared" si="500"/>
        <v>مخازن قير اصفهان</v>
      </c>
      <c r="N1902" s="1">
        <v>10510</v>
      </c>
      <c r="O1902" s="1">
        <v>50032857</v>
      </c>
      <c r="P1902" s="1" t="str">
        <f>"  لاميان"</f>
        <v xml:space="preserve">  لاميان</v>
      </c>
      <c r="Q1902" s="1">
        <v>19</v>
      </c>
      <c r="R190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02" s="1" t="str">
        <f t="shared" si="498"/>
        <v>قرارداد فروش</v>
      </c>
      <c r="T1902" s="1" t="str">
        <f t="shared" si="499"/>
        <v>ندارد</v>
      </c>
      <c r="U1902" s="1" t="str">
        <f>"غلام نجفي سيامك‌‌‌‌‌‌(1881082)"</f>
        <v>غلام نجفي سيامك‌‌‌‌‌‌(1881082)</v>
      </c>
      <c r="V1902" s="1">
        <v>951900216</v>
      </c>
      <c r="W1902" s="1">
        <v>951900216</v>
      </c>
      <c r="X1902" s="1" t="str">
        <f>"1395449222"</f>
        <v>1395449222</v>
      </c>
      <c r="Y1902" s="1" t="str">
        <f>"95/09/15"</f>
        <v>95/09/15</v>
      </c>
      <c r="Z1902" s="1" t="str">
        <f>"43912/710"</f>
        <v>43912/710</v>
      </c>
      <c r="AA1902" s="1" t="str">
        <f>"سازمان راهداري وحمل نقل جاده اي"</f>
        <v>سازمان راهداري وحمل نقل جاده اي</v>
      </c>
      <c r="AB1902" s="1" t="str">
        <f>"95/09/09"</f>
        <v>95/09/09</v>
      </c>
      <c r="AC1902" s="1" t="str">
        <f>"استان فارس"</f>
        <v>استان فارس</v>
      </c>
      <c r="AD1902" s="1" t="str">
        <f>"95/09/14"</f>
        <v>95/09/14</v>
      </c>
      <c r="AE1902" s="1" t="str">
        <f t="shared" si="503"/>
        <v>اختتام</v>
      </c>
      <c r="AF1902" s="1" t="str">
        <f>""</f>
        <v/>
      </c>
      <c r="AG1902" s="1" t="str">
        <f>""</f>
        <v/>
      </c>
      <c r="AH1902" s="1" t="str">
        <f>""</f>
        <v/>
      </c>
      <c r="AI1902" s="1" t="str">
        <f>""</f>
        <v/>
      </c>
      <c r="AJ1902" s="1" t="str">
        <f>""</f>
        <v/>
      </c>
      <c r="AK1902" s="1" t="str">
        <f>""</f>
        <v/>
      </c>
    </row>
    <row r="1903" spans="1:37" x14ac:dyDescent="0.2">
      <c r="A1903" s="1">
        <v>49280</v>
      </c>
      <c r="B1903" s="1">
        <v>951900243</v>
      </c>
      <c r="C1903" s="1" t="str">
        <f>"تخليه شيرازجاده سروستان بعدازروستاي برم شورجاده پسماندكارخانه آسفالت سازان جنوب"</f>
        <v>تخليه شيرازجاده سروستان بعدازروستاي برم شورجاده پسماندكارخانه آسفالت سازان جنوب</v>
      </c>
      <c r="D1903" s="1">
        <v>9511</v>
      </c>
      <c r="E1903" s="1">
        <v>47140</v>
      </c>
      <c r="F1903" s="1">
        <v>95</v>
      </c>
      <c r="G1903" s="1">
        <v>2140</v>
      </c>
      <c r="H1903" s="1" t="str">
        <f>"95/11/03"</f>
        <v>95/11/03</v>
      </c>
      <c r="I1903" s="1" t="str">
        <f t="shared" si="497"/>
        <v>كيلوگرم</v>
      </c>
      <c r="J1903" s="1" t="str">
        <f t="shared" si="504"/>
        <v>0000000093</v>
      </c>
      <c r="K1903" s="1" t="str">
        <f t="shared" si="505"/>
        <v>قير  PG64-10</v>
      </c>
      <c r="L1903" s="1">
        <v>100</v>
      </c>
      <c r="M1903" s="1" t="str">
        <f t="shared" si="500"/>
        <v>مخازن قير اصفهان</v>
      </c>
      <c r="N1903" s="1">
        <v>10510</v>
      </c>
      <c r="O1903" s="1">
        <v>50033457</v>
      </c>
      <c r="P1903" s="1" t="str">
        <f>"  لاميان"</f>
        <v xml:space="preserve">  لاميان</v>
      </c>
      <c r="Q1903" s="1">
        <v>19</v>
      </c>
      <c r="R190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03" s="1" t="str">
        <f t="shared" si="498"/>
        <v>قرارداد فروش</v>
      </c>
      <c r="T1903" s="1" t="str">
        <f t="shared" si="499"/>
        <v>ندارد</v>
      </c>
      <c r="U1903" s="1" t="str">
        <f>"غلام نجفي سيامك‌‌‌‌‌‌(1881082)"</f>
        <v>غلام نجفي سيامك‌‌‌‌‌‌(1881082)</v>
      </c>
      <c r="V1903" s="1">
        <v>951900243</v>
      </c>
      <c r="W1903" s="1">
        <v>951900243</v>
      </c>
      <c r="X1903" s="1" t="str">
        <f>"1395449222"</f>
        <v>1395449222</v>
      </c>
      <c r="Y1903" s="1" t="str">
        <f>"95/11/03"</f>
        <v>95/11/03</v>
      </c>
      <c r="Z1903" s="1" t="str">
        <f>"43912/710"</f>
        <v>43912/710</v>
      </c>
      <c r="AA1903" s="1" t="str">
        <f>"سازمان راهداري وحمل نقل جاده اي"</f>
        <v>سازمان راهداري وحمل نقل جاده اي</v>
      </c>
      <c r="AB1903" s="1" t="str">
        <f>"95/09/09"</f>
        <v>95/09/09</v>
      </c>
      <c r="AC1903" s="1" t="str">
        <f>"استان فارس"</f>
        <v>استان فارس</v>
      </c>
      <c r="AD1903" s="1" t="str">
        <f>"95/09/14"</f>
        <v>95/09/14</v>
      </c>
      <c r="AE1903" s="1" t="str">
        <f t="shared" si="503"/>
        <v>اختتام</v>
      </c>
      <c r="AF1903" s="1" t="str">
        <f>""</f>
        <v/>
      </c>
      <c r="AG1903" s="1" t="str">
        <f>""</f>
        <v/>
      </c>
      <c r="AH1903" s="1" t="str">
        <f>""</f>
        <v/>
      </c>
      <c r="AI1903" s="1" t="str">
        <f>""</f>
        <v/>
      </c>
      <c r="AJ1903" s="1" t="str">
        <f>""</f>
        <v/>
      </c>
      <c r="AK1903" s="1" t="str">
        <f>""</f>
        <v/>
      </c>
    </row>
    <row r="1904" spans="1:37" x14ac:dyDescent="0.2">
      <c r="A1904" s="1">
        <v>820000</v>
      </c>
      <c r="B1904" s="1">
        <v>951900024</v>
      </c>
      <c r="C1904" s="1" t="str">
        <f>"تخليه -كهگيلويه وبويراحمدگچساران كارخانه بهزادي"</f>
        <v>تخليه -كهگيلويه وبويراحمدگچساران كارخانه بهزادي</v>
      </c>
      <c r="D1904" s="1">
        <v>6050</v>
      </c>
      <c r="E1904" s="1">
        <v>819240</v>
      </c>
      <c r="F1904" s="1">
        <v>95</v>
      </c>
      <c r="G1904" s="1">
        <v>760</v>
      </c>
      <c r="H1904" s="1" t="str">
        <f>"95/03/25"</f>
        <v>95/03/25</v>
      </c>
      <c r="I1904" s="1" t="str">
        <f t="shared" si="497"/>
        <v>كيلوگرم</v>
      </c>
      <c r="J1904" s="1" t="str">
        <f t="shared" si="504"/>
        <v>0000000093</v>
      </c>
      <c r="K1904" s="1" t="str">
        <f t="shared" si="505"/>
        <v>قير  PG64-10</v>
      </c>
      <c r="L1904" s="1">
        <v>100</v>
      </c>
      <c r="M1904" s="1" t="str">
        <f t="shared" si="500"/>
        <v>مخازن قير اصفهان</v>
      </c>
      <c r="N1904" s="1">
        <v>10519</v>
      </c>
      <c r="O1904" s="1">
        <v>50031042</v>
      </c>
      <c r="P1904" s="1" t="str">
        <f>"  قبادبويردنا"</f>
        <v xml:space="preserve">  قبادبويردنا</v>
      </c>
      <c r="Q1904" s="1">
        <v>19</v>
      </c>
      <c r="R19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04" s="1" t="str">
        <f t="shared" si="498"/>
        <v>قرارداد فروش</v>
      </c>
      <c r="T1904" s="1" t="str">
        <f t="shared" si="499"/>
        <v>ندارد</v>
      </c>
      <c r="U1904" s="1" t="str">
        <f>"غلام نجفي سيامك‌‌‌‌‌‌(1881082)"</f>
        <v>غلام نجفي سيامك‌‌‌‌‌‌(1881082)</v>
      </c>
      <c r="V1904" s="1">
        <v>951900024</v>
      </c>
      <c r="W1904" s="1">
        <v>951900024</v>
      </c>
      <c r="X1904" s="1" t="str">
        <f>"1395409213"</f>
        <v>1395409213</v>
      </c>
      <c r="Y1904" s="1" t="str">
        <f>"95/03/25"</f>
        <v>95/03/25</v>
      </c>
      <c r="Z1904" s="1" t="str">
        <f>"64672/510"</f>
        <v>64672/510</v>
      </c>
      <c r="AA1904" s="1" t="str">
        <f>"سازمان راهداري وحمل نقل جاده اي"</f>
        <v>سازمان راهداري وحمل نقل جاده اي</v>
      </c>
      <c r="AB1904" s="1" t="str">
        <f>"94/11/24"</f>
        <v>94/11/24</v>
      </c>
      <c r="AC1904" s="1" t="str">
        <f>"كهكيلويه و بوير احمد"</f>
        <v>كهكيلويه و بوير احمد</v>
      </c>
      <c r="AD1904" s="1" t="str">
        <f>"95/03/25"</f>
        <v>95/03/25</v>
      </c>
      <c r="AE1904" s="1" t="str">
        <f t="shared" si="503"/>
        <v>اختتام</v>
      </c>
      <c r="AF1904" s="1" t="str">
        <f>""</f>
        <v/>
      </c>
      <c r="AG1904" s="1" t="str">
        <f>""</f>
        <v/>
      </c>
      <c r="AH1904" s="1" t="str">
        <f>""</f>
        <v/>
      </c>
      <c r="AI1904" s="1" t="str">
        <f>""</f>
        <v/>
      </c>
      <c r="AJ1904" s="1" t="str">
        <f>""</f>
        <v/>
      </c>
      <c r="AK1904" s="1" t="str">
        <f>""</f>
        <v/>
      </c>
    </row>
    <row r="1905" spans="1:37" x14ac:dyDescent="0.2">
      <c r="A1905" s="1">
        <v>1000000</v>
      </c>
      <c r="B1905" s="1">
        <v>951600060</v>
      </c>
      <c r="C1905" s="1" t="str">
        <f>"تخليه - خراسان جنوبي - عمليات خاکي و آسفالت و ابنيه فني باند دوم محور طبس -اصفهان-کارخانه بهبود صنعت"</f>
        <v>تخليه - خراسان جنوبي - عمليات خاکي و آسفالت و ابنيه فني باند دوم محور طبس -اصفهان-کارخانه بهبود صنعت</v>
      </c>
      <c r="D1905" s="1">
        <v>9061</v>
      </c>
      <c r="E1905" s="1">
        <v>766340</v>
      </c>
      <c r="F1905" s="1">
        <v>95</v>
      </c>
      <c r="G1905" s="1">
        <v>233660</v>
      </c>
      <c r="H1905" s="1" t="str">
        <f>"95/10/02"</f>
        <v>95/10/02</v>
      </c>
      <c r="I1905" s="1" t="str">
        <f t="shared" si="497"/>
        <v>كيلوگرم</v>
      </c>
      <c r="J1905" s="1" t="str">
        <f t="shared" si="504"/>
        <v>0000000093</v>
      </c>
      <c r="K1905" s="1" t="str">
        <f t="shared" si="505"/>
        <v>قير  PG64-10</v>
      </c>
      <c r="L1905" s="1">
        <v>100</v>
      </c>
      <c r="M1905" s="1" t="str">
        <f t="shared" si="500"/>
        <v>مخازن قير اصفهان</v>
      </c>
      <c r="N1905" s="1">
        <v>10635</v>
      </c>
      <c r="O1905" s="1">
        <v>50033118</v>
      </c>
      <c r="P1905" s="1" t="str">
        <f>"  ريحان گسترخاوران"</f>
        <v xml:space="preserve">  ريحان گسترخاوران</v>
      </c>
      <c r="Q1905" s="1">
        <v>16</v>
      </c>
      <c r="R1905" s="1" t="str">
        <f>"فروش داخلي تهران - وزارت راه - معاونت اقتصاد"</f>
        <v>فروش داخلي تهران - وزارت راه - معاونت اقتصاد</v>
      </c>
      <c r="S1905" s="1" t="str">
        <f t="shared" si="498"/>
        <v>قرارداد فروش</v>
      </c>
      <c r="T1905" s="1" t="str">
        <f t="shared" si="499"/>
        <v>ندارد</v>
      </c>
      <c r="U1905" s="1" t="str">
        <f>"بابامحمدي عنايت اله(4844000)"</f>
        <v>بابامحمدي عنايت اله(4844000)</v>
      </c>
      <c r="V1905" s="1">
        <v>951600060</v>
      </c>
      <c r="W1905" s="1">
        <v>951600060</v>
      </c>
      <c r="X1905" s="1" t="str">
        <f>"1395447611"</f>
        <v>1395447611</v>
      </c>
      <c r="Y1905" s="1" t="str">
        <f>"95/10/02"</f>
        <v>95/10/02</v>
      </c>
      <c r="Z1905" s="1" t="str">
        <f>"40598/710"</f>
        <v>40598/710</v>
      </c>
      <c r="AA1905" s="1" t="str">
        <f>"معاونت اقتصادوزارت راه وشهرسازي"</f>
        <v>معاونت اقتصادوزارت راه وشهرسازي</v>
      </c>
      <c r="AB1905" s="1" t="str">
        <f>"95/08/19"</f>
        <v>95/08/19</v>
      </c>
      <c r="AC1905" s="1" t="str">
        <f>"خراسان جنوبي"</f>
        <v>خراسان جنوبي</v>
      </c>
      <c r="AD1905" s="1" t="str">
        <f>"95/09/06"</f>
        <v>95/09/06</v>
      </c>
      <c r="AE1905" s="1" t="str">
        <f t="shared" si="503"/>
        <v>اختتام</v>
      </c>
      <c r="AF1905" s="1" t="str">
        <f>""</f>
        <v/>
      </c>
      <c r="AG1905" s="1" t="str">
        <f>""</f>
        <v/>
      </c>
      <c r="AH1905" s="1" t="str">
        <f>""</f>
        <v/>
      </c>
      <c r="AI1905" s="1" t="str">
        <f>""</f>
        <v/>
      </c>
      <c r="AJ1905" s="1" t="str">
        <f>""</f>
        <v/>
      </c>
      <c r="AK1905" s="1" t="str">
        <f>""</f>
        <v/>
      </c>
    </row>
    <row r="1906" spans="1:37" x14ac:dyDescent="0.2">
      <c r="A1906" s="1">
        <v>50220</v>
      </c>
      <c r="B1906" s="1">
        <v>951600040</v>
      </c>
      <c r="C1906" s="1" t="str">
        <f>"تخليه - کهگيلويه و بوير احمد-ياسوج-سفيدار"</f>
        <v>تخليه - کهگيلويه و بوير احمد-ياسوج-سفيدار</v>
      </c>
      <c r="D1906" s="1">
        <v>8323</v>
      </c>
      <c r="E1906" s="1">
        <v>47480</v>
      </c>
      <c r="F1906" s="1">
        <v>95</v>
      </c>
      <c r="G1906" s="1">
        <v>2740</v>
      </c>
      <c r="H1906" s="1" t="str">
        <f>"95/08/08"</f>
        <v>95/08/08</v>
      </c>
      <c r="I1906" s="1" t="str">
        <f t="shared" si="497"/>
        <v>كيلوگرم</v>
      </c>
      <c r="J1906" s="1" t="str">
        <f t="shared" si="504"/>
        <v>0000000093</v>
      </c>
      <c r="K1906" s="1" t="str">
        <f t="shared" si="505"/>
        <v>قير  PG64-10</v>
      </c>
      <c r="L1906" s="1">
        <v>100</v>
      </c>
      <c r="M1906" s="1" t="str">
        <f t="shared" si="500"/>
        <v>مخازن قير اصفهان</v>
      </c>
      <c r="N1906" s="1">
        <v>11002</v>
      </c>
      <c r="O1906" s="1">
        <v>50032354</v>
      </c>
      <c r="P1906" s="1" t="str">
        <f>"  قلعه پيمان ياسوج"</f>
        <v xml:space="preserve">  قلعه پيمان ياسوج</v>
      </c>
      <c r="Q1906" s="1">
        <v>16</v>
      </c>
      <c r="R1906" s="1" t="str">
        <f>"فروش داخلي تهران - وزارت راه - معاونت اقتصاد"</f>
        <v>فروش داخلي تهران - وزارت راه - معاونت اقتصاد</v>
      </c>
      <c r="S1906" s="1" t="str">
        <f t="shared" si="498"/>
        <v>قرارداد فروش</v>
      </c>
      <c r="T1906" s="1" t="str">
        <f t="shared" si="499"/>
        <v>ندارد</v>
      </c>
      <c r="U1906" s="1" t="str">
        <f>"غلام نجفي سيامك‌‌‌‌‌‌(1881082)"</f>
        <v>غلام نجفي سيامك‌‌‌‌‌‌(1881082)</v>
      </c>
      <c r="V1906" s="1">
        <v>951600040</v>
      </c>
      <c r="W1906" s="1">
        <v>951600040</v>
      </c>
      <c r="X1906" s="1" t="str">
        <f>"1395429259"</f>
        <v>1395429259</v>
      </c>
      <c r="Y1906" s="1" t="str">
        <f>"95/08/08"</f>
        <v>95/08/08</v>
      </c>
      <c r="Z1906" s="1" t="str">
        <f>"27156/510"</f>
        <v>27156/510</v>
      </c>
      <c r="AA1906" s="1" t="str">
        <f>"معاونت اقتصادوزارت راه وشهرسازي"</f>
        <v>معاونت اقتصادوزارت راه وشهرسازي</v>
      </c>
      <c r="AB1906" s="1" t="str">
        <f>"95/06/09"</f>
        <v>95/06/09</v>
      </c>
      <c r="AC1906" s="1" t="str">
        <f>"كهكيلويه و بوير احمد"</f>
        <v>كهكيلويه و بوير احمد</v>
      </c>
      <c r="AD1906" s="1" t="str">
        <f>"95/08/08"</f>
        <v>95/08/08</v>
      </c>
      <c r="AE1906" s="1" t="str">
        <f t="shared" si="503"/>
        <v>اختتام</v>
      </c>
      <c r="AF1906" s="1" t="str">
        <f>""</f>
        <v/>
      </c>
      <c r="AG1906" s="1" t="str">
        <f>""</f>
        <v/>
      </c>
      <c r="AH1906" s="1" t="str">
        <f>""</f>
        <v/>
      </c>
      <c r="AI1906" s="1" t="str">
        <f>""</f>
        <v/>
      </c>
      <c r="AJ1906" s="1" t="str">
        <f>""</f>
        <v/>
      </c>
      <c r="AK1906" s="1" t="str">
        <f>""</f>
        <v/>
      </c>
    </row>
    <row r="1907" spans="1:37" x14ac:dyDescent="0.2">
      <c r="A1907" s="1">
        <v>650000</v>
      </c>
      <c r="B1907" s="1">
        <v>956100001</v>
      </c>
      <c r="C1907" s="1" t="str">
        <f>"تخليه -آستانه اشرفيه كيلومتر3جاده كياشهراستخربيجارمجتمع 252واحدي مسكن مهرشركت گيلبان"</f>
        <v>تخليه -آستانه اشرفيه كيلومتر3جاده كياشهراستخربيجارمجتمع 252واحدي مسكن مهرشركت گيلبان</v>
      </c>
      <c r="D1907" s="1">
        <v>6050</v>
      </c>
      <c r="E1907" s="1">
        <v>648300</v>
      </c>
      <c r="F1907" s="1">
        <v>95</v>
      </c>
      <c r="G1907" s="1">
        <v>1700</v>
      </c>
      <c r="H1907" s="1" t="str">
        <f>"95/03/12"</f>
        <v>95/03/12</v>
      </c>
      <c r="I1907" s="1" t="str">
        <f t="shared" si="497"/>
        <v>كيلوگرم</v>
      </c>
      <c r="J1907" s="1" t="str">
        <f t="shared" si="504"/>
        <v>0000000093</v>
      </c>
      <c r="K1907" s="1" t="str">
        <f t="shared" si="505"/>
        <v>قير  PG64-10</v>
      </c>
      <c r="L1907" s="1">
        <v>100</v>
      </c>
      <c r="M1907" s="1" t="str">
        <f t="shared" si="500"/>
        <v>مخازن قير اصفهان</v>
      </c>
      <c r="N1907" s="1">
        <v>11101</v>
      </c>
      <c r="O1907" s="1">
        <v>50030952</v>
      </c>
      <c r="P1907" s="1" t="str">
        <f>"  گيلبان"</f>
        <v xml:space="preserve">  گيلبان</v>
      </c>
      <c r="Q1907" s="1">
        <v>61</v>
      </c>
      <c r="R1907" s="1" t="str">
        <f>"فروش داخلي - وزارت راه - مسكن مهر"</f>
        <v>فروش داخلي - وزارت راه - مسكن مهر</v>
      </c>
      <c r="S1907" s="1" t="str">
        <f t="shared" si="498"/>
        <v>قرارداد فروش</v>
      </c>
      <c r="T1907" s="1" t="str">
        <f t="shared" si="499"/>
        <v>ندارد</v>
      </c>
      <c r="U1907" s="1" t="str">
        <f>"حاج صادقي باقر(1841027)"</f>
        <v>حاج صادقي باقر(1841027)</v>
      </c>
      <c r="V1907" s="1">
        <v>956100001</v>
      </c>
      <c r="W1907" s="1">
        <v>956100001</v>
      </c>
      <c r="X1907" s="1" t="str">
        <f>"1395407391"</f>
        <v>1395407391</v>
      </c>
      <c r="Y1907" s="1" t="str">
        <f>"95/03/12"</f>
        <v>95/03/12</v>
      </c>
      <c r="Z1907" s="1" t="str">
        <f>"65333/510"</f>
        <v>65333/510</v>
      </c>
      <c r="AA1907" s="1" t="str">
        <f>"مسكن مهر-وزارت راه"</f>
        <v>مسكن مهر-وزارت راه</v>
      </c>
      <c r="AB1907" s="1" t="str">
        <f>"94/11/26"</f>
        <v>94/11/26</v>
      </c>
      <c r="AC1907" s="1" t="str">
        <f>"استان گيلان"</f>
        <v>استان گيلان</v>
      </c>
      <c r="AD1907" s="1" t="str">
        <f>"95/03/12"</f>
        <v>95/03/12</v>
      </c>
      <c r="AE1907" s="1" t="str">
        <f t="shared" si="503"/>
        <v>اختتام</v>
      </c>
      <c r="AF1907" s="1" t="str">
        <f>""</f>
        <v/>
      </c>
      <c r="AG1907" s="1" t="str">
        <f>""</f>
        <v/>
      </c>
      <c r="AH1907" s="1" t="str">
        <f>""</f>
        <v/>
      </c>
      <c r="AI1907" s="1" t="str">
        <f>""</f>
        <v/>
      </c>
      <c r="AJ1907" s="1" t="str">
        <f>""</f>
        <v/>
      </c>
      <c r="AK1907" s="1" t="str">
        <f>""</f>
        <v/>
      </c>
    </row>
    <row r="1908" spans="1:37" x14ac:dyDescent="0.2">
      <c r="A1908" s="1">
        <v>150000</v>
      </c>
      <c r="B1908" s="1">
        <v>951900051</v>
      </c>
      <c r="C1908" s="1" t="str">
        <f>"تخليه- ياسوج کارخانه دارشاهي"</f>
        <v>تخليه- ياسوج کارخانه دارشاهي</v>
      </c>
      <c r="D1908" s="1">
        <v>6250</v>
      </c>
      <c r="E1908" s="1">
        <v>138220</v>
      </c>
      <c r="F1908" s="1">
        <v>95</v>
      </c>
      <c r="G1908" s="1">
        <v>11780</v>
      </c>
      <c r="H1908" s="1" t="str">
        <f>"95/04/24"</f>
        <v>95/04/24</v>
      </c>
      <c r="I1908" s="1" t="str">
        <f t="shared" si="497"/>
        <v>كيلوگرم</v>
      </c>
      <c r="J1908" s="1" t="str">
        <f t="shared" si="504"/>
        <v>0000000093</v>
      </c>
      <c r="K1908" s="1" t="str">
        <f t="shared" si="505"/>
        <v>قير  PG64-10</v>
      </c>
      <c r="L1908" s="1">
        <v>100</v>
      </c>
      <c r="M1908" s="1" t="str">
        <f t="shared" si="500"/>
        <v>مخازن قير اصفهان</v>
      </c>
      <c r="N1908" s="1">
        <v>11135</v>
      </c>
      <c r="O1908" s="1">
        <v>50031288</v>
      </c>
      <c r="P1908" s="1" t="str">
        <f>"  آسمان خراش آپادانا"</f>
        <v xml:space="preserve">  آسمان خراش آپادانا</v>
      </c>
      <c r="Q1908" s="1">
        <v>19</v>
      </c>
      <c r="R190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08" s="1" t="str">
        <f t="shared" si="498"/>
        <v>قرارداد فروش</v>
      </c>
      <c r="T1908" s="1" t="str">
        <f t="shared" si="499"/>
        <v>ندارد</v>
      </c>
      <c r="U1908" s="1" t="str">
        <f>"غلام نجفي سيامك‌‌‌‌‌‌(1881082)"</f>
        <v>غلام نجفي سيامك‌‌‌‌‌‌(1881082)</v>
      </c>
      <c r="V1908" s="1">
        <v>951900051</v>
      </c>
      <c r="W1908" s="1">
        <v>951900051</v>
      </c>
      <c r="X1908" s="1" t="str">
        <f>"1395415481"</f>
        <v>1395415481</v>
      </c>
      <c r="Y1908" s="1" t="str">
        <f>"95/04/24"</f>
        <v>95/04/24</v>
      </c>
      <c r="Z1908" s="1" t="str">
        <f>"15558/510"</f>
        <v>15558/510</v>
      </c>
      <c r="AA1908" s="1" t="str">
        <f>"سازمان راهداري وحمل نقل جاده اي"</f>
        <v>سازمان راهداري وحمل نقل جاده اي</v>
      </c>
      <c r="AB1908" s="1" t="str">
        <f>"95/04/12"</f>
        <v>95/04/12</v>
      </c>
      <c r="AC1908" s="1" t="str">
        <f>"كهكيلويه و بوير احمد"</f>
        <v>كهكيلويه و بوير احمد</v>
      </c>
      <c r="AD1908" s="1" t="str">
        <f>"95/04/23"</f>
        <v>95/04/23</v>
      </c>
      <c r="AE1908" s="1" t="str">
        <f t="shared" si="503"/>
        <v>اختتام</v>
      </c>
      <c r="AF1908" s="1" t="str">
        <f>""</f>
        <v/>
      </c>
      <c r="AG1908" s="1" t="str">
        <f>""</f>
        <v/>
      </c>
      <c r="AH1908" s="1" t="str">
        <f>""</f>
        <v/>
      </c>
      <c r="AI1908" s="1" t="str">
        <f>""</f>
        <v/>
      </c>
      <c r="AJ1908" s="1" t="str">
        <f>""</f>
        <v/>
      </c>
      <c r="AK1908" s="1" t="str">
        <f>""</f>
        <v/>
      </c>
    </row>
    <row r="1909" spans="1:37" x14ac:dyDescent="0.2">
      <c r="A1909" s="1">
        <v>355000</v>
      </c>
      <c r="B1909" s="1">
        <v>951600009</v>
      </c>
      <c r="C1909" s="1" t="str">
        <f>"تخليه-ياسوج-دارشاهي"</f>
        <v>تخليه-ياسوج-دارشاهي</v>
      </c>
      <c r="D1909" s="1">
        <v>6250</v>
      </c>
      <c r="E1909" s="1">
        <v>340640</v>
      </c>
      <c r="F1909" s="1">
        <v>95</v>
      </c>
      <c r="G1909" s="1">
        <v>14360</v>
      </c>
      <c r="H1909" s="1" t="str">
        <f>"95/04/27"</f>
        <v>95/04/27</v>
      </c>
      <c r="I1909" s="1" t="str">
        <f t="shared" si="497"/>
        <v>كيلوگرم</v>
      </c>
      <c r="J1909" s="1" t="str">
        <f t="shared" si="504"/>
        <v>0000000093</v>
      </c>
      <c r="K1909" s="1" t="str">
        <f t="shared" si="505"/>
        <v>قير  PG64-10</v>
      </c>
      <c r="L1909" s="1">
        <v>100</v>
      </c>
      <c r="M1909" s="1" t="str">
        <f t="shared" si="500"/>
        <v>مخازن قير اصفهان</v>
      </c>
      <c r="N1909" s="1">
        <v>11138</v>
      </c>
      <c r="O1909" s="1">
        <v>50031298</v>
      </c>
      <c r="P1909" s="1" t="str">
        <f>"  کنکاش دنا"</f>
        <v xml:space="preserve">  کنکاش دنا</v>
      </c>
      <c r="Q1909" s="1">
        <v>16</v>
      </c>
      <c r="R1909" s="1" t="str">
        <f>"فروش داخلي تهران - وزارت راه - معاونت اقتصاد"</f>
        <v>فروش داخلي تهران - وزارت راه - معاونت اقتصاد</v>
      </c>
      <c r="S1909" s="1" t="str">
        <f t="shared" si="498"/>
        <v>قرارداد فروش</v>
      </c>
      <c r="T1909" s="1" t="str">
        <f t="shared" si="499"/>
        <v>ندارد</v>
      </c>
      <c r="U1909" s="1" t="str">
        <f>"غلام نجفي سيامك‌‌‌‌‌‌(1881082)"</f>
        <v>غلام نجفي سيامك‌‌‌‌‌‌(1881082)</v>
      </c>
      <c r="V1909" s="1">
        <v>951600009</v>
      </c>
      <c r="W1909" s="1">
        <v>951600009</v>
      </c>
      <c r="X1909" s="1" t="str">
        <f>"1395415792"</f>
        <v>1395415792</v>
      </c>
      <c r="Y1909" s="1" t="str">
        <f>"95/04/27"</f>
        <v>95/04/27</v>
      </c>
      <c r="Z1909" s="1" t="str">
        <f>"16914/510"</f>
        <v>16914/510</v>
      </c>
      <c r="AA1909" s="1" t="str">
        <f>"معاونت اقتصادوزارت راه وشهرسازي"</f>
        <v>معاونت اقتصادوزارت راه وشهرسازي</v>
      </c>
      <c r="AB1909" s="1" t="str">
        <f>"95/04/20"</f>
        <v>95/04/20</v>
      </c>
      <c r="AC1909" s="1" t="str">
        <f>"كهكيلويه و بوير احمد"</f>
        <v>كهكيلويه و بوير احمد</v>
      </c>
      <c r="AD1909" s="1" t="str">
        <f>"95/04/26"</f>
        <v>95/04/26</v>
      </c>
      <c r="AE1909" s="1" t="str">
        <f t="shared" si="503"/>
        <v>اختتام</v>
      </c>
      <c r="AF1909" s="1" t="str">
        <f>""</f>
        <v/>
      </c>
      <c r="AG1909" s="1" t="str">
        <f>""</f>
        <v/>
      </c>
      <c r="AH1909" s="1" t="str">
        <f>""</f>
        <v/>
      </c>
      <c r="AI1909" s="1" t="str">
        <f>""</f>
        <v/>
      </c>
      <c r="AJ1909" s="1" t="str">
        <f>""</f>
        <v/>
      </c>
      <c r="AK1909" s="1" t="str">
        <f>""</f>
        <v/>
      </c>
    </row>
    <row r="1910" spans="1:37" x14ac:dyDescent="0.2">
      <c r="A1910" s="1">
        <v>332120</v>
      </c>
      <c r="B1910" s="1">
        <v>951600039</v>
      </c>
      <c r="C1910" s="1" t="str">
        <f>"تخليه -زاهدان -كارگاه ساختماني پاريز"</f>
        <v>تخليه -زاهدان -كارگاه ساختماني پاريز</v>
      </c>
      <c r="D1910" s="1">
        <v>8623</v>
      </c>
      <c r="E1910" s="1">
        <v>324000</v>
      </c>
      <c r="F1910" s="1">
        <v>95</v>
      </c>
      <c r="G1910" s="1">
        <v>8120</v>
      </c>
      <c r="H1910" s="1" t="str">
        <f>"95/08/08"</f>
        <v>95/08/08</v>
      </c>
      <c r="I1910" s="1" t="str">
        <f t="shared" si="497"/>
        <v>كيلوگرم</v>
      </c>
      <c r="J1910" s="1" t="str">
        <f>"0000000094"</f>
        <v>0000000094</v>
      </c>
      <c r="K1910" s="1" t="str">
        <f>"قير  PG70-10"</f>
        <v>قير  PG70-10</v>
      </c>
      <c r="L1910" s="1">
        <v>100</v>
      </c>
      <c r="M1910" s="1" t="str">
        <f t="shared" si="500"/>
        <v>مخازن قير اصفهان</v>
      </c>
      <c r="N1910" s="1">
        <v>8224</v>
      </c>
      <c r="O1910" s="1">
        <v>50032350</v>
      </c>
      <c r="P1910" s="1" t="str">
        <f>"  ساختماني پاريز"</f>
        <v xml:space="preserve">  ساختماني پاريز</v>
      </c>
      <c r="Q1910" s="1">
        <v>16</v>
      </c>
      <c r="R1910" s="1" t="str">
        <f>"فروش داخلي تهران - وزارت راه - معاونت اقتصاد"</f>
        <v>فروش داخلي تهران - وزارت راه - معاونت اقتصاد</v>
      </c>
      <c r="S1910" s="1" t="str">
        <f t="shared" si="498"/>
        <v>قرارداد فروش</v>
      </c>
      <c r="T1910" s="1" t="str">
        <f t="shared" si="499"/>
        <v>ندارد</v>
      </c>
      <c r="U1910" s="1" t="str">
        <f>"ميرحسيني چاپارحقيقت كرمان(4844008)"</f>
        <v>ميرحسيني چاپارحقيقت كرمان(4844008)</v>
      </c>
      <c r="V1910" s="1">
        <v>951600039</v>
      </c>
      <c r="W1910" s="1">
        <v>951600039</v>
      </c>
      <c r="X1910" s="1" t="str">
        <f>"1395426940"</f>
        <v>1395426940</v>
      </c>
      <c r="Y1910" s="1" t="str">
        <f>"95/08/08"</f>
        <v>95/08/08</v>
      </c>
      <c r="Z1910" s="1" t="str">
        <f>"25641/510"</f>
        <v>25641/510</v>
      </c>
      <c r="AA1910" s="1" t="str">
        <f>"معاونت اقتصادوزارت راه وشهرسازي"</f>
        <v>معاونت اقتصادوزارت راه وشهرسازي</v>
      </c>
      <c r="AB1910" s="1" t="str">
        <f>"95/06/02"</f>
        <v>95/06/02</v>
      </c>
      <c r="AC1910" s="1" t="str">
        <f>"استان سيستان بلوچستان"</f>
        <v>استان سيستان بلوچستان</v>
      </c>
      <c r="AD1910" s="1" t="str">
        <f>"95/06/06"</f>
        <v>95/06/06</v>
      </c>
      <c r="AE1910" s="1" t="str">
        <f t="shared" si="503"/>
        <v>اختتام</v>
      </c>
      <c r="AF1910" s="1" t="str">
        <f>""</f>
        <v/>
      </c>
      <c r="AG1910" s="1" t="str">
        <f>""</f>
        <v/>
      </c>
      <c r="AH1910" s="1" t="str">
        <f>""</f>
        <v/>
      </c>
      <c r="AI1910" s="1" t="str">
        <f>""</f>
        <v/>
      </c>
      <c r="AJ1910" s="1" t="str">
        <f>""</f>
        <v/>
      </c>
      <c r="AK1910" s="1" t="str">
        <f>""</f>
        <v/>
      </c>
    </row>
    <row r="1911" spans="1:37" x14ac:dyDescent="0.2">
      <c r="A1911" s="1">
        <v>795960</v>
      </c>
      <c r="B1911" s="1">
        <v>951600045</v>
      </c>
      <c r="C1911" s="1" t="str">
        <f>"تخليه -خراسان جنوبي -فردوس -كيلومتر40جاده سرارمان -بيرجند-جنب شهرك هاشميه -كارخانه آسفالت كوه پيمابيرجند"</f>
        <v>تخليه -خراسان جنوبي -فردوس -كيلومتر40جاده سرارمان -بيرجند-جنب شهرك هاشميه -كارخانه آسفالت كوه پيمابيرجند</v>
      </c>
      <c r="D1911" s="1">
        <v>8623</v>
      </c>
      <c r="E1911" s="1">
        <v>794140</v>
      </c>
      <c r="F1911" s="1">
        <v>95</v>
      </c>
      <c r="G1911" s="1">
        <v>1820</v>
      </c>
      <c r="H1911" s="1" t="str">
        <f>"95/08/08"</f>
        <v>95/08/08</v>
      </c>
      <c r="I1911" s="1" t="str">
        <f t="shared" si="497"/>
        <v>كيلوگرم</v>
      </c>
      <c r="J1911" s="1" t="str">
        <f>"0000000094"</f>
        <v>0000000094</v>
      </c>
      <c r="K1911" s="1" t="str">
        <f>"قير  PG70-10"</f>
        <v>قير  PG70-10</v>
      </c>
      <c r="L1911" s="1">
        <v>100</v>
      </c>
      <c r="M1911" s="1" t="str">
        <f t="shared" si="500"/>
        <v>مخازن قير اصفهان</v>
      </c>
      <c r="N1911" s="1">
        <v>10308</v>
      </c>
      <c r="O1911" s="1">
        <v>50032363</v>
      </c>
      <c r="P1911" s="1" t="str">
        <f>"  کوه پيما بيرجند"</f>
        <v xml:space="preserve">  کوه پيما بيرجند</v>
      </c>
      <c r="Q1911" s="1">
        <v>16</v>
      </c>
      <c r="R1911" s="1" t="str">
        <f>"فروش داخلي تهران - وزارت راه - معاونت اقتصاد"</f>
        <v>فروش داخلي تهران - وزارت راه - معاونت اقتصاد</v>
      </c>
      <c r="S1911" s="1" t="str">
        <f t="shared" si="498"/>
        <v>قرارداد فروش</v>
      </c>
      <c r="T1911" s="1" t="str">
        <f t="shared" si="499"/>
        <v>ندارد</v>
      </c>
      <c r="U1911" s="1" t="str">
        <f>"بابامحمدي عنايت اله(4844000)"</f>
        <v>بابامحمدي عنايت اله(4844000)</v>
      </c>
      <c r="V1911" s="1">
        <v>951600045</v>
      </c>
      <c r="W1911" s="1">
        <v>951600045</v>
      </c>
      <c r="X1911" s="1" t="str">
        <f>"1395433838"</f>
        <v>1395433838</v>
      </c>
      <c r="Y1911" s="1" t="str">
        <f>"95/08/08"</f>
        <v>95/08/08</v>
      </c>
      <c r="Z1911" s="1" t="str">
        <f>"31440/510"</f>
        <v>31440/510</v>
      </c>
      <c r="AA1911" s="1" t="str">
        <f>"معاونت اقتصادوزارت راه وشهرسازي"</f>
        <v>معاونت اقتصادوزارت راه وشهرسازي</v>
      </c>
      <c r="AB1911" s="1" t="str">
        <f>"95/07/03"</f>
        <v>95/07/03</v>
      </c>
      <c r="AC1911" s="1" t="str">
        <f>"خراسان جنوبي"</f>
        <v>خراسان جنوبي</v>
      </c>
      <c r="AD1911" s="1" t="str">
        <f>"95/07/05"</f>
        <v>95/07/05</v>
      </c>
      <c r="AE1911" s="1" t="str">
        <f t="shared" si="503"/>
        <v>اختتام</v>
      </c>
      <c r="AF1911" s="1" t="str">
        <f>""</f>
        <v/>
      </c>
      <c r="AG1911" s="1" t="str">
        <f>""</f>
        <v/>
      </c>
      <c r="AH1911" s="1" t="str">
        <f>""</f>
        <v/>
      </c>
      <c r="AI1911" s="1" t="str">
        <f>""</f>
        <v/>
      </c>
      <c r="AJ1911" s="1" t="str">
        <f>""</f>
        <v/>
      </c>
      <c r="AK1911" s="1" t="str">
        <f>""</f>
        <v/>
      </c>
    </row>
    <row r="1912" spans="1:37" x14ac:dyDescent="0.2">
      <c r="A1912" s="1">
        <v>490000</v>
      </c>
      <c r="B1912" s="1">
        <v>951600025</v>
      </c>
      <c r="C1912" s="1" t="str">
        <f>"تخليه - محور ديهوک-راور روستاي زنوغان-کارخانه آسفالت شرکت"</f>
        <v>تخليه - محور ديهوک-راور روستاي زنوغان-کارخانه آسفالت شرکت</v>
      </c>
      <c r="D1912" s="1">
        <v>7476</v>
      </c>
      <c r="E1912" s="1">
        <v>487720</v>
      </c>
      <c r="F1912" s="1">
        <v>95</v>
      </c>
      <c r="G1912" s="1">
        <v>2280</v>
      </c>
      <c r="H1912" s="1" t="str">
        <f>"95/06/13"</f>
        <v>95/06/13</v>
      </c>
      <c r="I1912" s="1" t="str">
        <f t="shared" si="497"/>
        <v>كيلوگرم</v>
      </c>
      <c r="J1912" s="1" t="str">
        <f>"0000000094"</f>
        <v>0000000094</v>
      </c>
      <c r="K1912" s="1" t="str">
        <f>"قير  PG70-10"</f>
        <v>قير  PG70-10</v>
      </c>
      <c r="L1912" s="1">
        <v>100</v>
      </c>
      <c r="M1912" s="1" t="str">
        <f t="shared" si="500"/>
        <v>مخازن قير اصفهان</v>
      </c>
      <c r="N1912" s="1">
        <v>11144</v>
      </c>
      <c r="O1912" s="1">
        <v>50031758</v>
      </c>
      <c r="P1912" s="1" t="str">
        <f>"  فني وساختماني صالحکاران سپاهان"</f>
        <v xml:space="preserve">  فني وساختماني صالحکاران سپاهان</v>
      </c>
      <c r="Q1912" s="1">
        <v>16</v>
      </c>
      <c r="R1912" s="1" t="str">
        <f>"فروش داخلي تهران - وزارت راه - معاونت اقتصاد"</f>
        <v>فروش داخلي تهران - وزارت راه - معاونت اقتصاد</v>
      </c>
      <c r="S1912" s="1" t="str">
        <f t="shared" si="498"/>
        <v>قرارداد فروش</v>
      </c>
      <c r="T1912" s="1" t="str">
        <f t="shared" si="499"/>
        <v>ندارد</v>
      </c>
      <c r="U1912" s="1" t="str">
        <f>"حسيني سيدجواد(1841076)"</f>
        <v>حسيني سيدجواد(1841076)</v>
      </c>
      <c r="V1912" s="1">
        <v>951600025</v>
      </c>
      <c r="W1912" s="1">
        <v>951600025</v>
      </c>
      <c r="X1912" s="1" t="str">
        <f>"1395428831"</f>
        <v>1395428831</v>
      </c>
      <c r="Y1912" s="1" t="str">
        <f>"95/06/13"</f>
        <v>95/06/13</v>
      </c>
      <c r="Z1912" s="1" t="str">
        <f>"27342/510"</f>
        <v>27342/510</v>
      </c>
      <c r="AA1912" s="1" t="str">
        <f>"معاونت اقتصادوزارت راه وشهرسازي"</f>
        <v>معاونت اقتصادوزارت راه وشهرسازي</v>
      </c>
      <c r="AB1912" s="1" t="str">
        <f>"95/06/10"</f>
        <v>95/06/10</v>
      </c>
      <c r="AC1912" s="1" t="str">
        <f>"خراسان جنوبي"</f>
        <v>خراسان جنوبي</v>
      </c>
      <c r="AD1912" s="1" t="str">
        <f>"95/06/13"</f>
        <v>95/06/13</v>
      </c>
      <c r="AE1912" s="1" t="str">
        <f t="shared" si="503"/>
        <v>اختتام</v>
      </c>
      <c r="AF1912" s="1" t="str">
        <f>""</f>
        <v/>
      </c>
      <c r="AG1912" s="1" t="str">
        <f>""</f>
        <v/>
      </c>
      <c r="AH1912" s="1" t="str">
        <f>""</f>
        <v/>
      </c>
      <c r="AI1912" s="1" t="str">
        <f>""</f>
        <v/>
      </c>
      <c r="AJ1912" s="1" t="str">
        <f>""</f>
        <v/>
      </c>
      <c r="AK1912" s="1" t="str">
        <f>""</f>
        <v/>
      </c>
    </row>
    <row r="1913" spans="1:37" x14ac:dyDescent="0.2">
      <c r="A1913" s="1">
        <v>450000</v>
      </c>
      <c r="B1913" s="1">
        <v>951600024</v>
      </c>
      <c r="C1913" s="1" t="str">
        <f>"تخليه كرمانشاه سرپل ذهاب كمربندي قصرشيرين كارخانه ايواني"</f>
        <v>تخليه كرمانشاه سرپل ذهاب كمربندي قصرشيرين كارخانه ايواني</v>
      </c>
      <c r="D1913" s="1">
        <v>7476</v>
      </c>
      <c r="E1913" s="1">
        <v>436100</v>
      </c>
      <c r="F1913" s="1">
        <v>95</v>
      </c>
      <c r="G1913" s="1">
        <v>13900</v>
      </c>
      <c r="H1913" s="1" t="str">
        <f>"95/06/10"</f>
        <v>95/06/10</v>
      </c>
      <c r="I1913" s="1" t="str">
        <f t="shared" si="497"/>
        <v>كيلوگرم</v>
      </c>
      <c r="J1913" s="1" t="str">
        <f>"0000000094"</f>
        <v>0000000094</v>
      </c>
      <c r="K1913" s="1" t="str">
        <f>"قير  PG70-10"</f>
        <v>قير  PG70-10</v>
      </c>
      <c r="L1913" s="1">
        <v>100</v>
      </c>
      <c r="M1913" s="1" t="str">
        <f t="shared" si="500"/>
        <v>مخازن قير اصفهان</v>
      </c>
      <c r="N1913" s="1">
        <v>11168</v>
      </c>
      <c r="O1913" s="1">
        <v>50031740</v>
      </c>
      <c r="P1913" s="1" t="str">
        <f>"  سازه بتن شبديز"</f>
        <v xml:space="preserve">  سازه بتن شبديز</v>
      </c>
      <c r="Q1913" s="1">
        <v>16</v>
      </c>
      <c r="R1913" s="1" t="str">
        <f>"فروش داخلي تهران - وزارت راه - معاونت اقتصاد"</f>
        <v>فروش داخلي تهران - وزارت راه - معاونت اقتصاد</v>
      </c>
      <c r="S1913" s="1" t="str">
        <f t="shared" si="498"/>
        <v>قرارداد فروش</v>
      </c>
      <c r="T1913" s="1" t="str">
        <f t="shared" si="499"/>
        <v>ندارد</v>
      </c>
      <c r="U1913" s="1" t="str">
        <f>"حاجيلوئي علي اصغر(2842019)"</f>
        <v>حاجيلوئي علي اصغر(2842019)</v>
      </c>
      <c r="V1913" s="1">
        <v>951600024</v>
      </c>
      <c r="W1913" s="1">
        <v>951600024</v>
      </c>
      <c r="X1913" s="1" t="str">
        <f>"1395428498"</f>
        <v>1395428498</v>
      </c>
      <c r="Y1913" s="1" t="str">
        <f>"95/06/10"</f>
        <v>95/06/10</v>
      </c>
      <c r="Z1913" s="1" t="str">
        <f>"27118/510"</f>
        <v>27118/510</v>
      </c>
      <c r="AA1913" s="1" t="str">
        <f>"معاونت اقتصادوزارت راه وشهرسازي"</f>
        <v>معاونت اقتصادوزارت راه وشهرسازي</v>
      </c>
      <c r="AB1913" s="1" t="str">
        <f>"95/06/09"</f>
        <v>95/06/09</v>
      </c>
      <c r="AC1913" s="1" t="str">
        <f>"استان كرمانشاه"</f>
        <v>استان كرمانشاه</v>
      </c>
      <c r="AD1913" s="1" t="str">
        <f>"95/06/10"</f>
        <v>95/06/10</v>
      </c>
      <c r="AE1913" s="1" t="str">
        <f t="shared" si="503"/>
        <v>اختتام</v>
      </c>
      <c r="AF1913" s="1" t="str">
        <f>""</f>
        <v/>
      </c>
      <c r="AG1913" s="1" t="str">
        <f>""</f>
        <v/>
      </c>
      <c r="AH1913" s="1" t="str">
        <f>""</f>
        <v/>
      </c>
      <c r="AI1913" s="1" t="str">
        <f>""</f>
        <v/>
      </c>
      <c r="AJ1913" s="1" t="str">
        <f>""</f>
        <v/>
      </c>
      <c r="AK1913" s="1" t="str">
        <f>""</f>
        <v/>
      </c>
    </row>
    <row r="1914" spans="1:37" x14ac:dyDescent="0.2">
      <c r="A1914" s="1">
        <v>46000</v>
      </c>
      <c r="B1914" s="1">
        <v>951100073</v>
      </c>
      <c r="C1914" s="1" t="str">
        <f>"تخليه -قزوين -شهرك هفت سنگان -كارخانه آسفالت شهرداري قزوين"</f>
        <v>تخليه -قزوين -شهرك هفت سنگان -كارخانه آسفالت شهرداري قزوين</v>
      </c>
      <c r="D1914" s="1">
        <v>9860</v>
      </c>
      <c r="E1914" s="1">
        <v>46000</v>
      </c>
      <c r="F1914" s="1">
        <v>95</v>
      </c>
      <c r="G1914" s="1">
        <v>0</v>
      </c>
      <c r="H1914" s="1" t="str">
        <f>"95/03/30"</f>
        <v>95/03/30</v>
      </c>
      <c r="I1914" s="1" t="str">
        <f t="shared" si="497"/>
        <v>كيلوگرم</v>
      </c>
      <c r="J1914" s="1" t="str">
        <f t="shared" ref="J1914:J1920" si="506">"1000000003"</f>
        <v>1000000003</v>
      </c>
      <c r="K1914" s="1" t="str">
        <f t="shared" ref="K1914:K1920" si="507">"قير MC250"</f>
        <v>قير MC250</v>
      </c>
      <c r="L1914" s="1">
        <v>100</v>
      </c>
      <c r="M1914" s="1" t="str">
        <f t="shared" si="500"/>
        <v>مخازن قير اصفهان</v>
      </c>
      <c r="N1914" s="1">
        <v>8459</v>
      </c>
      <c r="O1914" s="1">
        <v>50031070</v>
      </c>
      <c r="P1914" s="1" t="str">
        <f>"  سازمان عمران شهرداري قزوين"</f>
        <v xml:space="preserve">  سازمان عمران شهرداري قزوين</v>
      </c>
      <c r="Q1914" s="1">
        <v>11</v>
      </c>
      <c r="R1914" s="1" t="str">
        <f>"فروش داخلي تهران - بورس"</f>
        <v>فروش داخلي تهران - بورس</v>
      </c>
      <c r="S1914" s="1" t="str">
        <f t="shared" si="498"/>
        <v>قرارداد فروش</v>
      </c>
      <c r="T1914" s="1" t="str">
        <f t="shared" si="499"/>
        <v>ندارد</v>
      </c>
      <c r="U1914" s="1" t="str">
        <f>"درودي محمدكاظم(1841010)"</f>
        <v>درودي محمدكاظم(1841010)</v>
      </c>
      <c r="V1914" s="1">
        <v>951100073</v>
      </c>
      <c r="W1914" s="1">
        <v>951100073</v>
      </c>
      <c r="X1914" s="1" t="str">
        <f>"1395409020"</f>
        <v>1395409020</v>
      </c>
      <c r="Y1914" s="1" t="str">
        <f>"95/03/29"</f>
        <v>95/03/29</v>
      </c>
      <c r="Z1914" s="1" t="str">
        <f>"95-34512"</f>
        <v>95-34512</v>
      </c>
      <c r="AA1914" s="1" t="str">
        <f>"شهرداريها"</f>
        <v>شهرداريها</v>
      </c>
      <c r="AB1914" s="1" t="str">
        <f>"95/03/29"</f>
        <v>95/03/29</v>
      </c>
      <c r="AC1914" s="1" t="str">
        <f>"قزوين"</f>
        <v>قزوين</v>
      </c>
      <c r="AD1914" s="1" t="str">
        <f>"95/03/24"</f>
        <v>95/03/24</v>
      </c>
      <c r="AE1914" s="1" t="str">
        <f>"تاييدشده"</f>
        <v>تاييدشده</v>
      </c>
      <c r="AF1914" s="1" t="str">
        <f>""</f>
        <v/>
      </c>
      <c r="AG1914" s="1" t="str">
        <f>""</f>
        <v/>
      </c>
      <c r="AH1914" s="1" t="str">
        <f>""</f>
        <v/>
      </c>
      <c r="AI1914" s="1" t="str">
        <f>""</f>
        <v/>
      </c>
      <c r="AJ1914" s="1" t="str">
        <f>""</f>
        <v/>
      </c>
      <c r="AK1914" s="1" t="str">
        <f>""</f>
        <v/>
      </c>
    </row>
    <row r="1915" spans="1:37" x14ac:dyDescent="0.2">
      <c r="A1915" s="1">
        <v>15000</v>
      </c>
      <c r="B1915" s="1">
        <v>956200140</v>
      </c>
      <c r="C1915" s="1" t="str">
        <f>"تخليه-محور نجف آباد -تيران- پشت شهرک صنعتي تيران"</f>
        <v>تخليه-محور نجف آباد -تيران- پشت شهرک صنعتي تيران</v>
      </c>
      <c r="D1915" s="1">
        <v>12507</v>
      </c>
      <c r="E1915" s="1">
        <v>13620</v>
      </c>
      <c r="F1915" s="1">
        <v>95</v>
      </c>
      <c r="G1915" s="1">
        <v>1380</v>
      </c>
      <c r="H1915" s="1" t="str">
        <f>"95/10/13"</f>
        <v>95/10/13</v>
      </c>
      <c r="I1915" s="1" t="str">
        <f t="shared" si="497"/>
        <v>كيلوگرم</v>
      </c>
      <c r="J1915" s="1" t="str">
        <f t="shared" si="506"/>
        <v>1000000003</v>
      </c>
      <c r="K1915" s="1" t="str">
        <f t="shared" si="507"/>
        <v>قير MC250</v>
      </c>
      <c r="L1915" s="1">
        <v>100</v>
      </c>
      <c r="M1915" s="1" t="str">
        <f t="shared" si="500"/>
        <v>مخازن قير اصفهان</v>
      </c>
      <c r="N1915" s="1">
        <v>8643</v>
      </c>
      <c r="O1915" s="1">
        <v>50033279</v>
      </c>
      <c r="P1915" s="1" t="str">
        <f>"  ميلاد راه سپاهان"</f>
        <v xml:space="preserve">  ميلاد راه سپاهان</v>
      </c>
      <c r="Q1915" s="1">
        <v>62</v>
      </c>
      <c r="R1915" s="1" t="str">
        <f>"فروش داخلي - سازمان بنيادمسكن انقلاب اسلامي"</f>
        <v>فروش داخلي - سازمان بنيادمسكن انقلاب اسلامي</v>
      </c>
      <c r="S1915" s="1" t="str">
        <f t="shared" si="498"/>
        <v>قرارداد فروش</v>
      </c>
      <c r="T1915" s="1" t="str">
        <f t="shared" si="499"/>
        <v>ندارد</v>
      </c>
      <c r="U1915" s="1" t="str">
        <f>"مرادي نجاتعلي(1020ج89)"</f>
        <v>مرادي نجاتعلي(1020ج89)</v>
      </c>
      <c r="V1915" s="1">
        <v>956200140</v>
      </c>
      <c r="W1915" s="1">
        <v>956200140</v>
      </c>
      <c r="X1915" s="1" t="str">
        <f>"1395456366"</f>
        <v>1395456366</v>
      </c>
      <c r="Y1915" s="1" t="str">
        <f>"95/10/13"</f>
        <v>95/10/13</v>
      </c>
      <c r="Z1915" s="1" t="str">
        <f>"43206/د"</f>
        <v>43206/د</v>
      </c>
      <c r="AA1915" s="1" t="str">
        <f>"بنيادمسكن انقلاب اسلامي"</f>
        <v>بنيادمسكن انقلاب اسلامي</v>
      </c>
      <c r="AB1915" s="1" t="str">
        <f>"95/10/12"</f>
        <v>95/10/12</v>
      </c>
      <c r="AC1915" s="1" t="str">
        <f>"استان اصفهان"</f>
        <v>استان اصفهان</v>
      </c>
      <c r="AD1915" s="1" t="str">
        <f>"95/10/13"</f>
        <v>95/10/13</v>
      </c>
      <c r="AE1915" s="1" t="str">
        <f t="shared" ref="AE1915:AE1946" si="508">"اختتام"</f>
        <v>اختتام</v>
      </c>
      <c r="AF1915" s="1" t="str">
        <f>""</f>
        <v/>
      </c>
      <c r="AG1915" s="1" t="str">
        <f>""</f>
        <v/>
      </c>
      <c r="AH1915" s="1" t="str">
        <f>""</f>
        <v/>
      </c>
      <c r="AI1915" s="1" t="str">
        <f>""</f>
        <v/>
      </c>
      <c r="AJ1915" s="1" t="str">
        <f>""</f>
        <v/>
      </c>
      <c r="AK1915" s="1" t="str">
        <f>""</f>
        <v/>
      </c>
    </row>
    <row r="1916" spans="1:37" x14ac:dyDescent="0.2">
      <c r="A1916" s="1">
        <v>37000</v>
      </c>
      <c r="B1916" s="1">
        <v>956200166</v>
      </c>
      <c r="C1916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1916" s="1">
        <v>12507</v>
      </c>
      <c r="E1916" s="1">
        <v>36980</v>
      </c>
      <c r="F1916" s="1">
        <v>95</v>
      </c>
      <c r="G1916" s="1">
        <v>20</v>
      </c>
      <c r="H1916" s="1" t="str">
        <f>"95/10/23"</f>
        <v>95/10/23</v>
      </c>
      <c r="I1916" s="1" t="str">
        <f t="shared" si="497"/>
        <v>كيلوگرم</v>
      </c>
      <c r="J1916" s="1" t="str">
        <f t="shared" si="506"/>
        <v>1000000003</v>
      </c>
      <c r="K1916" s="1" t="str">
        <f t="shared" si="507"/>
        <v>قير MC250</v>
      </c>
      <c r="L1916" s="1">
        <v>100</v>
      </c>
      <c r="M1916" s="1" t="str">
        <f t="shared" si="500"/>
        <v>مخازن قير اصفهان</v>
      </c>
      <c r="N1916" s="1">
        <v>9043</v>
      </c>
      <c r="O1916" s="1">
        <v>50033388</v>
      </c>
      <c r="P1916" s="1" t="str">
        <f>"  مهندسي صنعت راه گلپايگان"</f>
        <v xml:space="preserve">  مهندسي صنعت راه گلپايگان</v>
      </c>
      <c r="Q1916" s="1">
        <v>62</v>
      </c>
      <c r="R1916" s="1" t="str">
        <f>"فروش داخلي - سازمان بنيادمسكن انقلاب اسلامي"</f>
        <v>فروش داخلي - سازمان بنيادمسكن انقلاب اسلامي</v>
      </c>
      <c r="S1916" s="1" t="str">
        <f t="shared" si="498"/>
        <v>قرارداد فروش</v>
      </c>
      <c r="T1916" s="1" t="str">
        <f t="shared" si="499"/>
        <v>ندارد</v>
      </c>
      <c r="U1916" s="1" t="str">
        <f>"شهبازي محمدرضا(1029ج89)"</f>
        <v>شهبازي محمدرضا(1029ج89)</v>
      </c>
      <c r="V1916" s="1">
        <v>956200166</v>
      </c>
      <c r="W1916" s="1">
        <v>956200166</v>
      </c>
      <c r="X1916" s="1" t="str">
        <f>"1395457939"</f>
        <v>1395457939</v>
      </c>
      <c r="Y1916" s="1" t="str">
        <f>"95/10/23"</f>
        <v>95/10/23</v>
      </c>
      <c r="Z1916" s="1" t="str">
        <f>"44849/د"</f>
        <v>44849/د</v>
      </c>
      <c r="AA1916" s="1" t="str">
        <f>"بنيادمسكن انقلاب اسلامي"</f>
        <v>بنيادمسكن انقلاب اسلامي</v>
      </c>
      <c r="AB1916" s="1" t="str">
        <f>"95/10/20"</f>
        <v>95/10/20</v>
      </c>
      <c r="AC1916" s="1" t="str">
        <f>"استان اصفهان"</f>
        <v>استان اصفهان</v>
      </c>
      <c r="AD1916" s="1" t="str">
        <f>"95/10/22"</f>
        <v>95/10/22</v>
      </c>
      <c r="AE1916" s="1" t="str">
        <f t="shared" si="508"/>
        <v>اختتام</v>
      </c>
      <c r="AF1916" s="1" t="str">
        <f>""</f>
        <v/>
      </c>
      <c r="AG1916" s="1" t="str">
        <f>""</f>
        <v/>
      </c>
      <c r="AH1916" s="1" t="str">
        <f>""</f>
        <v/>
      </c>
      <c r="AI1916" s="1" t="str">
        <f>""</f>
        <v/>
      </c>
      <c r="AJ1916" s="1" t="str">
        <f>""</f>
        <v/>
      </c>
      <c r="AK1916" s="1" t="str">
        <f>""</f>
        <v/>
      </c>
    </row>
    <row r="1917" spans="1:37" x14ac:dyDescent="0.2">
      <c r="A1917" s="1">
        <v>22000</v>
      </c>
      <c r="B1917" s="1">
        <v>951100098</v>
      </c>
      <c r="C1917" s="1" t="str">
        <f>"تخليه -خراسان شمالي -شهرستان اسفراين -روستاي گراتي -شركت هيرادسازه اسفراين"</f>
        <v>تخليه -خراسان شمالي -شهرستان اسفراين -روستاي گراتي -شركت هيرادسازه اسفراين</v>
      </c>
      <c r="D1917" s="1">
        <v>10200</v>
      </c>
      <c r="E1917" s="1">
        <v>20220</v>
      </c>
      <c r="F1917" s="1">
        <v>95</v>
      </c>
      <c r="G1917" s="1">
        <v>1780</v>
      </c>
      <c r="H1917" s="1" t="str">
        <f>"95/05/18"</f>
        <v>95/05/18</v>
      </c>
      <c r="I1917" s="1" t="str">
        <f t="shared" si="497"/>
        <v>كيلوگرم</v>
      </c>
      <c r="J1917" s="1" t="str">
        <f t="shared" si="506"/>
        <v>1000000003</v>
      </c>
      <c r="K1917" s="1" t="str">
        <f t="shared" si="507"/>
        <v>قير MC250</v>
      </c>
      <c r="L1917" s="1">
        <v>100</v>
      </c>
      <c r="M1917" s="1" t="str">
        <f t="shared" si="500"/>
        <v>مخازن قير اصفهان</v>
      </c>
      <c r="N1917" s="1">
        <v>10556</v>
      </c>
      <c r="O1917" s="1">
        <v>50031472</v>
      </c>
      <c r="P1917" s="1" t="str">
        <f>"  هيرادسازه اسفراين"</f>
        <v xml:space="preserve">  هيرادسازه اسفراين</v>
      </c>
      <c r="Q1917" s="1">
        <v>11</v>
      </c>
      <c r="R1917" s="1" t="str">
        <f>"فروش داخلي تهران - بورس"</f>
        <v>فروش داخلي تهران - بورس</v>
      </c>
      <c r="S1917" s="1" t="str">
        <f t="shared" si="498"/>
        <v>قرارداد فروش</v>
      </c>
      <c r="T1917" s="1" t="str">
        <f t="shared" si="499"/>
        <v>ندارد</v>
      </c>
      <c r="U1917" s="1" t="str">
        <f>"بابامحمدي عنايت اله(4844000)"</f>
        <v>بابامحمدي عنايت اله(4844000)</v>
      </c>
      <c r="V1917" s="1">
        <v>951100098</v>
      </c>
      <c r="W1917" s="1">
        <v>951100098</v>
      </c>
      <c r="X1917" s="1" t="str">
        <f>"1395421503"</f>
        <v>1395421503</v>
      </c>
      <c r="Y1917" s="1" t="str">
        <f>"95/05/17"</f>
        <v>95/05/17</v>
      </c>
      <c r="Z1917" s="1" t="str">
        <f>"95-34539"</f>
        <v>95-34539</v>
      </c>
      <c r="AA1917" s="1" t="str">
        <f>"راه سازي"</f>
        <v>راه سازي</v>
      </c>
      <c r="AB1917" s="1" t="str">
        <f>"95/05/17"</f>
        <v>95/05/17</v>
      </c>
      <c r="AC1917" s="1" t="str">
        <f>"خراسان شمالي"</f>
        <v>خراسان شمالي</v>
      </c>
      <c r="AD1917" s="1" t="str">
        <f>"95/05/16"</f>
        <v>95/05/16</v>
      </c>
      <c r="AE1917" s="1" t="str">
        <f t="shared" si="508"/>
        <v>اختتام</v>
      </c>
      <c r="AF1917" s="1" t="str">
        <f>""</f>
        <v/>
      </c>
      <c r="AG1917" s="1" t="str">
        <f>""</f>
        <v/>
      </c>
      <c r="AH1917" s="1" t="str">
        <f>""</f>
        <v/>
      </c>
      <c r="AI1917" s="1" t="str">
        <f>""</f>
        <v/>
      </c>
      <c r="AJ1917" s="1" t="str">
        <f>""</f>
        <v/>
      </c>
      <c r="AK1917" s="1" t="str">
        <f>""</f>
        <v/>
      </c>
    </row>
    <row r="1918" spans="1:37" x14ac:dyDescent="0.2">
      <c r="A1918" s="1">
        <v>25000</v>
      </c>
      <c r="B1918" s="1">
        <v>956200120</v>
      </c>
      <c r="C1918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918" s="1">
        <v>12507</v>
      </c>
      <c r="E1918" s="1">
        <v>24580</v>
      </c>
      <c r="F1918" s="1">
        <v>95</v>
      </c>
      <c r="G1918" s="1">
        <v>420</v>
      </c>
      <c r="H1918" s="1" t="str">
        <f>"95/10/06"</f>
        <v>95/10/06</v>
      </c>
      <c r="I1918" s="1" t="str">
        <f t="shared" si="497"/>
        <v>كيلوگرم</v>
      </c>
      <c r="J1918" s="1" t="str">
        <f t="shared" si="506"/>
        <v>1000000003</v>
      </c>
      <c r="K1918" s="1" t="str">
        <f t="shared" si="507"/>
        <v>قير MC250</v>
      </c>
      <c r="L1918" s="1">
        <v>100</v>
      </c>
      <c r="M1918" s="1" t="str">
        <f t="shared" si="500"/>
        <v>مخازن قير اصفهان</v>
      </c>
      <c r="N1918" s="1">
        <v>11001</v>
      </c>
      <c r="O1918" s="1">
        <v>50033178</v>
      </c>
      <c r="P1918" s="1" t="str">
        <f>"  بنياد مسکن انقلاب اسلامي نجف آباد"</f>
        <v xml:space="preserve">  بنياد مسکن انقلاب اسلامي نجف آباد</v>
      </c>
      <c r="Q1918" s="1">
        <v>62</v>
      </c>
      <c r="R1918" s="1" t="str">
        <f>"فروش داخلي - سازمان بنيادمسكن انقلاب اسلامي"</f>
        <v>فروش داخلي - سازمان بنيادمسكن انقلاب اسلامي</v>
      </c>
      <c r="S1918" s="1" t="str">
        <f t="shared" si="498"/>
        <v>قرارداد فروش</v>
      </c>
      <c r="T1918" s="1" t="str">
        <f t="shared" si="499"/>
        <v>ندارد</v>
      </c>
      <c r="U1918" s="1" t="str">
        <f>"سيفي پور عبدالمجيد(1009ج89)"</f>
        <v>سيفي پور عبدالمجيد(1009ج89)</v>
      </c>
      <c r="V1918" s="1">
        <v>956200120</v>
      </c>
      <c r="W1918" s="1">
        <v>956200120</v>
      </c>
      <c r="X1918" s="1" t="str">
        <f>"1395454458"</f>
        <v>1395454458</v>
      </c>
      <c r="Y1918" s="1" t="str">
        <f>"95/10/06"</f>
        <v>95/10/06</v>
      </c>
      <c r="Z1918" s="1" t="str">
        <f>"41272/د"</f>
        <v>41272/د</v>
      </c>
      <c r="AA1918" s="1" t="str">
        <f>"بنيادمسكن انقلاب اسلامي"</f>
        <v>بنيادمسكن انقلاب اسلامي</v>
      </c>
      <c r="AB1918" s="1" t="str">
        <f>"95/09/30"</f>
        <v>95/09/30</v>
      </c>
      <c r="AC1918" s="1" t="str">
        <f>"استان اصفهان"</f>
        <v>استان اصفهان</v>
      </c>
      <c r="AD1918" s="1" t="str">
        <f>"95/10/05"</f>
        <v>95/10/05</v>
      </c>
      <c r="AE1918" s="1" t="str">
        <f t="shared" si="508"/>
        <v>اختتام</v>
      </c>
      <c r="AF1918" s="1" t="str">
        <f>""</f>
        <v/>
      </c>
      <c r="AG1918" s="1" t="str">
        <f>""</f>
        <v/>
      </c>
      <c r="AH1918" s="1" t="str">
        <f>""</f>
        <v/>
      </c>
      <c r="AI1918" s="1" t="str">
        <f>""</f>
        <v/>
      </c>
      <c r="AJ1918" s="1" t="str">
        <f>""</f>
        <v/>
      </c>
      <c r="AK1918" s="1" t="str">
        <f>""</f>
        <v/>
      </c>
    </row>
    <row r="1919" spans="1:37" x14ac:dyDescent="0.2">
      <c r="A1919" s="1">
        <v>50000</v>
      </c>
      <c r="B1919" s="1">
        <v>951100111</v>
      </c>
      <c r="C1919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919" s="1">
        <v>10200</v>
      </c>
      <c r="E1919" s="1">
        <v>46460</v>
      </c>
      <c r="F1919" s="1">
        <v>95</v>
      </c>
      <c r="G1919" s="1">
        <v>3540</v>
      </c>
      <c r="H1919" s="1" t="str">
        <f>"95/06/14"</f>
        <v>95/06/14</v>
      </c>
      <c r="I1919" s="1" t="str">
        <f t="shared" si="497"/>
        <v>كيلوگرم</v>
      </c>
      <c r="J1919" s="1" t="str">
        <f t="shared" si="506"/>
        <v>1000000003</v>
      </c>
      <c r="K1919" s="1" t="str">
        <f t="shared" si="507"/>
        <v>قير MC250</v>
      </c>
      <c r="L1919" s="1">
        <v>100</v>
      </c>
      <c r="M1919" s="1" t="str">
        <f t="shared" si="500"/>
        <v>مخازن قير اصفهان</v>
      </c>
      <c r="N1919" s="1">
        <v>11096</v>
      </c>
      <c r="O1919" s="1">
        <v>50031779</v>
      </c>
      <c r="P1919" s="1" t="str">
        <f>"  شهرداري زنجان"</f>
        <v xml:space="preserve">  شهرداري زنجان</v>
      </c>
      <c r="Q1919" s="1">
        <v>11</v>
      </c>
      <c r="R1919" s="1" t="str">
        <f>"فروش داخلي تهران - بورس"</f>
        <v>فروش داخلي تهران - بورس</v>
      </c>
      <c r="S1919" s="1" t="str">
        <f t="shared" si="498"/>
        <v>قرارداد فروش</v>
      </c>
      <c r="T1919" s="1" t="str">
        <f t="shared" si="499"/>
        <v>ندارد</v>
      </c>
      <c r="U1919" s="1" t="str">
        <f>"هادي سيه رود(3863023)"</f>
        <v>هادي سيه رود(3863023)</v>
      </c>
      <c r="V1919" s="1">
        <v>951100111</v>
      </c>
      <c r="W1919" s="1">
        <v>951100111</v>
      </c>
      <c r="X1919" s="1" t="str">
        <f>"1395428992"</f>
        <v>1395428992</v>
      </c>
      <c r="Y1919" s="1" t="str">
        <f>"95/06/14"</f>
        <v>95/06/14</v>
      </c>
      <c r="Z1919" s="1" t="str">
        <f>"95/2/25678"</f>
        <v>95/2/25678</v>
      </c>
      <c r="AA1919" s="1" t="str">
        <f>"شهرداريها"</f>
        <v>شهرداريها</v>
      </c>
      <c r="AB1919" s="1" t="str">
        <f>"95/06/08"</f>
        <v>95/06/08</v>
      </c>
      <c r="AC1919" s="1" t="str">
        <f>"استان زنجان"</f>
        <v>استان زنجان</v>
      </c>
      <c r="AD1919" s="1" t="str">
        <f>"95/06/14"</f>
        <v>95/06/14</v>
      </c>
      <c r="AE1919" s="1" t="str">
        <f t="shared" si="508"/>
        <v>اختتام</v>
      </c>
      <c r="AF1919" s="1" t="str">
        <f>""</f>
        <v/>
      </c>
      <c r="AG1919" s="1" t="str">
        <f>""</f>
        <v/>
      </c>
      <c r="AH1919" s="1" t="str">
        <f>""</f>
        <v/>
      </c>
      <c r="AI1919" s="1" t="str">
        <f>""</f>
        <v/>
      </c>
      <c r="AJ1919" s="1" t="str">
        <f>""</f>
        <v/>
      </c>
      <c r="AK1919" s="1" t="str">
        <f>""</f>
        <v/>
      </c>
    </row>
    <row r="1920" spans="1:37" x14ac:dyDescent="0.2">
      <c r="A1920" s="1">
        <v>46000</v>
      </c>
      <c r="B1920" s="1">
        <v>952000340</v>
      </c>
      <c r="C1920" s="1" t="str">
        <f>"تخليه كهگيلويه وبويراحمد-ياسوج كارخانه آسفالت دارشاهي"</f>
        <v>تخليه كهگيلويه وبويراحمد-ياسوج كارخانه آسفالت دارشاهي</v>
      </c>
      <c r="D1920" s="1">
        <v>13027</v>
      </c>
      <c r="E1920" s="1">
        <v>44820</v>
      </c>
      <c r="F1920" s="1">
        <v>95</v>
      </c>
      <c r="G1920" s="1">
        <v>1180</v>
      </c>
      <c r="H1920" s="1" t="str">
        <f>"95/11/24"</f>
        <v>95/11/24</v>
      </c>
      <c r="I1920" s="1" t="str">
        <f t="shared" si="497"/>
        <v>كيلوگرم</v>
      </c>
      <c r="J1920" s="1" t="str">
        <f t="shared" si="506"/>
        <v>1000000003</v>
      </c>
      <c r="K1920" s="1" t="str">
        <f t="shared" si="507"/>
        <v>قير MC250</v>
      </c>
      <c r="L1920" s="1">
        <v>100</v>
      </c>
      <c r="M1920" s="1" t="str">
        <f t="shared" si="500"/>
        <v>مخازن قير اصفهان</v>
      </c>
      <c r="N1920" s="1">
        <v>11191</v>
      </c>
      <c r="O1920" s="1">
        <v>50033710</v>
      </c>
      <c r="P1920" s="1" t="str">
        <f>"  شهرداري گراب سفلي"</f>
        <v xml:space="preserve">  شهرداري گراب سفلي</v>
      </c>
      <c r="Q1920" s="1">
        <v>20</v>
      </c>
      <c r="R1920" s="1" t="str">
        <f>"فروش داخلي - سازمان شهرداري ها و دهياري هاي كشور"</f>
        <v>فروش داخلي - سازمان شهرداري ها و دهياري هاي كشور</v>
      </c>
      <c r="S1920" s="1" t="str">
        <f t="shared" si="498"/>
        <v>قرارداد فروش</v>
      </c>
      <c r="T1920" s="1" t="str">
        <f t="shared" si="499"/>
        <v>ندارد</v>
      </c>
      <c r="U1920" s="1" t="str">
        <f>"تعاوني جم گستر (1001 ج 89)"</f>
        <v>تعاوني جم گستر (1001 ج 89)</v>
      </c>
      <c r="V1920" s="1">
        <v>952000340</v>
      </c>
      <c r="W1920" s="1">
        <v>952000340</v>
      </c>
      <c r="X1920" s="1" t="str">
        <f>"1395464565"</f>
        <v>1395464565</v>
      </c>
      <c r="Y1920" s="1" t="str">
        <f>"95/11/24"</f>
        <v>95/11/24</v>
      </c>
      <c r="Z1920" s="1" t="str">
        <f>"47594"</f>
        <v>47594</v>
      </c>
      <c r="AA1920" s="1" t="str">
        <f>"شهرداريها"</f>
        <v>شهرداريها</v>
      </c>
      <c r="AB1920" s="1" t="str">
        <f>"95/09/28"</f>
        <v>95/09/28</v>
      </c>
      <c r="AC1920" s="1" t="str">
        <f>"كهكيلويه و بوير احمد"</f>
        <v>كهكيلويه و بوير احمد</v>
      </c>
      <c r="AD1920" s="1" t="str">
        <f>"95/11/24"</f>
        <v>95/11/24</v>
      </c>
      <c r="AE1920" s="1" t="str">
        <f t="shared" si="508"/>
        <v>اختتام</v>
      </c>
      <c r="AF1920" s="1" t="str">
        <f>""</f>
        <v/>
      </c>
      <c r="AG1920" s="1" t="str">
        <f>""</f>
        <v/>
      </c>
      <c r="AH1920" s="1" t="str">
        <f>""</f>
        <v/>
      </c>
      <c r="AI1920" s="1" t="str">
        <f>""</f>
        <v/>
      </c>
      <c r="AJ1920" s="1" t="str">
        <f>""</f>
        <v/>
      </c>
      <c r="AK1920" s="1" t="str">
        <f>""</f>
        <v/>
      </c>
    </row>
    <row r="1921" spans="1:37" x14ac:dyDescent="0.2">
      <c r="A1921" s="1">
        <v>225000</v>
      </c>
      <c r="B1921" s="1">
        <v>956200329</v>
      </c>
      <c r="C1921" s="1" t="str">
        <f>"تخليه-همدان کيلومتر54 همدان-رزن شرکت سراوک"</f>
        <v>تخليه-همدان کيلومتر54 همدان-رزن شرکت سراوک</v>
      </c>
      <c r="D1921" s="1">
        <v>8848</v>
      </c>
      <c r="E1921" s="1">
        <v>214620</v>
      </c>
      <c r="F1921" s="1">
        <v>95</v>
      </c>
      <c r="G1921" s="1">
        <v>10380</v>
      </c>
      <c r="H1921" s="1" t="str">
        <f>"95/12/14"</f>
        <v>95/12/14</v>
      </c>
      <c r="I1921" s="1" t="str">
        <f t="shared" si="497"/>
        <v>كيلوگرم</v>
      </c>
      <c r="J1921" s="1" t="str">
        <f t="shared" ref="J1921:J1948" si="509">"1000000002"</f>
        <v>1000000002</v>
      </c>
      <c r="K1921" s="1" t="str">
        <f t="shared" ref="K1921:K1948" si="510">"قير 85/100 - فله"</f>
        <v>قير 85/100 - فله</v>
      </c>
      <c r="L1921" s="1">
        <v>100</v>
      </c>
      <c r="M1921" s="1" t="str">
        <f t="shared" si="500"/>
        <v>مخازن قير اصفهان</v>
      </c>
      <c r="N1921" s="1">
        <v>4013</v>
      </c>
      <c r="O1921" s="1">
        <v>50034000</v>
      </c>
      <c r="P1921" s="1" t="str">
        <f>"  ساختماني و راهسازي سراوك"</f>
        <v xml:space="preserve">  ساختماني و راهسازي سراوك</v>
      </c>
      <c r="Q1921" s="1">
        <v>62</v>
      </c>
      <c r="R1921" s="1" t="str">
        <f>"فروش داخلي - سازمان بنيادمسكن انقلاب اسلامي"</f>
        <v>فروش داخلي - سازمان بنيادمسكن انقلاب اسلامي</v>
      </c>
      <c r="S1921" s="1" t="str">
        <f t="shared" si="498"/>
        <v>قرارداد فروش</v>
      </c>
      <c r="T1921" s="1" t="str">
        <f t="shared" si="499"/>
        <v>ندارد</v>
      </c>
      <c r="U1921" s="1" t="str">
        <f>"حاجيلوئي علي اصغر(2842019)"</f>
        <v>حاجيلوئي علي اصغر(2842019)</v>
      </c>
      <c r="V1921" s="1">
        <v>956200329</v>
      </c>
      <c r="W1921" s="1">
        <v>956200329</v>
      </c>
      <c r="X1921" s="1" t="str">
        <f>"1395468929"</f>
        <v>1395468929</v>
      </c>
      <c r="Y1921" s="1" t="str">
        <f>"95/12/14"</f>
        <v>95/12/14</v>
      </c>
      <c r="Z1921" s="1" t="str">
        <f>"54963/د"</f>
        <v>54963/د</v>
      </c>
      <c r="AA1921" s="1" t="str">
        <f>"بنيادمسكن انقلاب اسلامي"</f>
        <v>بنيادمسكن انقلاب اسلامي</v>
      </c>
      <c r="AB1921" s="1" t="str">
        <f>"95/12/14"</f>
        <v>95/12/14</v>
      </c>
      <c r="AC1921" s="1" t="str">
        <f>"استان همدان"</f>
        <v>استان همدان</v>
      </c>
      <c r="AD1921" s="1" t="str">
        <f>"95/12/14"</f>
        <v>95/12/14</v>
      </c>
      <c r="AE1921" s="1" t="str">
        <f t="shared" si="508"/>
        <v>اختتام</v>
      </c>
      <c r="AF1921" s="1" t="str">
        <f>""</f>
        <v/>
      </c>
      <c r="AG1921" s="1" t="str">
        <f>""</f>
        <v/>
      </c>
      <c r="AH1921" s="1" t="str">
        <f>""</f>
        <v/>
      </c>
      <c r="AI1921" s="1" t="str">
        <f>""</f>
        <v/>
      </c>
      <c r="AJ1921" s="1" t="str">
        <f>""</f>
        <v/>
      </c>
      <c r="AK1921" s="1" t="str">
        <f>""</f>
        <v/>
      </c>
    </row>
    <row r="1922" spans="1:37" x14ac:dyDescent="0.2">
      <c r="A1922" s="1">
        <v>77000</v>
      </c>
      <c r="B1922" s="1">
        <v>952000027</v>
      </c>
      <c r="C1922" s="1" t="str">
        <f>"تخليه : استان چهارمحال و بختياري شهرستان کيار جاده ايز شهرکرد جنب تونل ناغان کارخانه آسفالت اتحاد ناغان"</f>
        <v>تخليه : استان چهارمحال و بختياري شهرستان کيار جاده ايز شهرکرد جنب تونل ناغان کارخانه آسفالت اتحاد ناغان</v>
      </c>
      <c r="D1922" s="1">
        <v>6426</v>
      </c>
      <c r="E1922" s="1">
        <v>76440</v>
      </c>
      <c r="F1922" s="1">
        <v>95</v>
      </c>
      <c r="G1922" s="1">
        <v>560</v>
      </c>
      <c r="H1922" s="1" t="str">
        <f>"95/05/27"</f>
        <v>95/05/27</v>
      </c>
      <c r="I1922" s="1" t="str">
        <f t="shared" ref="I1922:I1985" si="511">"كيلوگرم"</f>
        <v>كيلوگرم</v>
      </c>
      <c r="J1922" s="1" t="str">
        <f t="shared" si="509"/>
        <v>1000000002</v>
      </c>
      <c r="K1922" s="1" t="str">
        <f t="shared" si="510"/>
        <v>قير 85/100 - فله</v>
      </c>
      <c r="L1922" s="1">
        <v>100</v>
      </c>
      <c r="M1922" s="1" t="str">
        <f t="shared" si="500"/>
        <v>مخازن قير اصفهان</v>
      </c>
      <c r="N1922" s="1">
        <v>7197</v>
      </c>
      <c r="O1922" s="1">
        <v>50031577</v>
      </c>
      <c r="P1922" s="1" t="str">
        <f>"  شهرداري گهرو"</f>
        <v xml:space="preserve">  شهرداري گهرو</v>
      </c>
      <c r="Q1922" s="1">
        <v>20</v>
      </c>
      <c r="R1922" s="1" t="str">
        <f t="shared" ref="R1922:R1930" si="512">"فروش داخلي - سازمان شهرداري ها و دهياري هاي كشور"</f>
        <v>فروش داخلي - سازمان شهرداري ها و دهياري هاي كشور</v>
      </c>
      <c r="S1922" s="1" t="str">
        <f t="shared" ref="S1922:S1985" si="513">"قرارداد فروش"</f>
        <v>قرارداد فروش</v>
      </c>
      <c r="T1922" s="1" t="str">
        <f t="shared" ref="T1922:T1985" si="514">"ندارد"</f>
        <v>ندارد</v>
      </c>
      <c r="U1922" s="1" t="str">
        <f t="shared" ref="U1922:U1928" si="515">"قره باغي مجيد(1871065)"</f>
        <v>قره باغي مجيد(1871065)</v>
      </c>
      <c r="V1922" s="1">
        <v>952000027</v>
      </c>
      <c r="W1922" s="1">
        <v>952000027</v>
      </c>
      <c r="X1922" s="1" t="str">
        <f>"1395423681"</f>
        <v>1395423681</v>
      </c>
      <c r="Y1922" s="1" t="str">
        <f>"95/05/25"</f>
        <v>95/05/25</v>
      </c>
      <c r="Z1922" s="1" t="str">
        <f>"19140"</f>
        <v>19140</v>
      </c>
      <c r="AA1922" s="1" t="str">
        <f t="shared" ref="AA1922:AA1930" si="516">"شهرداريها"</f>
        <v>شهرداريها</v>
      </c>
      <c r="AB1922" s="1" t="str">
        <f>"95/05/04"</f>
        <v>95/05/04</v>
      </c>
      <c r="AC1922" s="1" t="str">
        <f>"استان چهارمحال بختياري"</f>
        <v>استان چهارمحال بختياري</v>
      </c>
      <c r="AD1922" s="1" t="str">
        <f>"95/05/24"</f>
        <v>95/05/24</v>
      </c>
      <c r="AE1922" s="1" t="str">
        <f t="shared" si="508"/>
        <v>اختتام</v>
      </c>
      <c r="AF1922" s="1" t="str">
        <f>""</f>
        <v/>
      </c>
      <c r="AG1922" s="1" t="str">
        <f>""</f>
        <v/>
      </c>
      <c r="AH1922" s="1" t="str">
        <f>""</f>
        <v/>
      </c>
      <c r="AI1922" s="1" t="str">
        <f>""</f>
        <v/>
      </c>
      <c r="AJ1922" s="1" t="str">
        <f>""</f>
        <v/>
      </c>
      <c r="AK1922" s="1" t="str">
        <f>""</f>
        <v/>
      </c>
    </row>
    <row r="1923" spans="1:37" x14ac:dyDescent="0.2">
      <c r="A1923" s="1">
        <v>116000</v>
      </c>
      <c r="B1923" s="1">
        <v>952000014</v>
      </c>
      <c r="C1923" s="1" t="str">
        <f>"تخليه - هفشجان سيرک کارخانه آسفالت سازمان همياري"</f>
        <v>تخليه - هفشجان سيرک کارخانه آسفالت سازمان همياري</v>
      </c>
      <c r="D1923" s="1">
        <v>6426</v>
      </c>
      <c r="E1923" s="1">
        <v>115520</v>
      </c>
      <c r="F1923" s="1">
        <v>95</v>
      </c>
      <c r="G1923" s="1">
        <v>480</v>
      </c>
      <c r="H1923" s="1" t="str">
        <f>"95/05/25"</f>
        <v>95/05/25</v>
      </c>
      <c r="I1923" s="1" t="str">
        <f t="shared" si="511"/>
        <v>كيلوگرم</v>
      </c>
      <c r="J1923" s="1" t="str">
        <f t="shared" si="509"/>
        <v>1000000002</v>
      </c>
      <c r="K1923" s="1" t="str">
        <f t="shared" si="510"/>
        <v>قير 85/100 - فله</v>
      </c>
      <c r="L1923" s="1">
        <v>100</v>
      </c>
      <c r="M1923" s="1" t="str">
        <f t="shared" si="500"/>
        <v>مخازن قير اصفهان</v>
      </c>
      <c r="N1923" s="1">
        <v>7326</v>
      </c>
      <c r="O1923" s="1">
        <v>50031551</v>
      </c>
      <c r="P1923" s="1" t="str">
        <f>"  شهرداري فرادنبه"</f>
        <v xml:space="preserve">  شهرداري فرادنبه</v>
      </c>
      <c r="Q1923" s="1">
        <v>20</v>
      </c>
      <c r="R1923" s="1" t="str">
        <f t="shared" si="512"/>
        <v>فروش داخلي - سازمان شهرداري ها و دهياري هاي كشور</v>
      </c>
      <c r="S1923" s="1" t="str">
        <f t="shared" si="513"/>
        <v>قرارداد فروش</v>
      </c>
      <c r="T1923" s="1" t="str">
        <f t="shared" si="514"/>
        <v>ندارد</v>
      </c>
      <c r="U1923" s="1" t="str">
        <f t="shared" si="515"/>
        <v>قره باغي مجيد(1871065)</v>
      </c>
      <c r="V1923" s="1">
        <v>952000014</v>
      </c>
      <c r="W1923" s="1">
        <v>952000014</v>
      </c>
      <c r="X1923" s="1" t="str">
        <f>"1395423681"</f>
        <v>1395423681</v>
      </c>
      <c r="Y1923" s="1" t="str">
        <f>"95/05/25"</f>
        <v>95/05/25</v>
      </c>
      <c r="Z1923" s="1" t="str">
        <f>"18578"</f>
        <v>18578</v>
      </c>
      <c r="AA1923" s="1" t="str">
        <f t="shared" si="516"/>
        <v>شهرداريها</v>
      </c>
      <c r="AB1923" s="1" t="str">
        <f>"95/05/02"</f>
        <v>95/05/02</v>
      </c>
      <c r="AC1923" s="1" t="str">
        <f>"استان چهارمحال بختياري"</f>
        <v>استان چهارمحال بختياري</v>
      </c>
      <c r="AD1923" s="1" t="str">
        <f>"95/05/24"</f>
        <v>95/05/24</v>
      </c>
      <c r="AE1923" s="1" t="str">
        <f t="shared" si="508"/>
        <v>اختتام</v>
      </c>
      <c r="AF1923" s="1" t="str">
        <f>""</f>
        <v/>
      </c>
      <c r="AG1923" s="1" t="str">
        <f>""</f>
        <v/>
      </c>
      <c r="AH1923" s="1" t="str">
        <f>""</f>
        <v/>
      </c>
      <c r="AI1923" s="1" t="str">
        <f>""</f>
        <v/>
      </c>
      <c r="AJ1923" s="1" t="str">
        <f>""</f>
        <v/>
      </c>
      <c r="AK1923" s="1" t="str">
        <f>""</f>
        <v/>
      </c>
    </row>
    <row r="1924" spans="1:37" x14ac:dyDescent="0.2">
      <c r="A1924" s="1">
        <v>115000</v>
      </c>
      <c r="B1924" s="1">
        <v>952000217</v>
      </c>
      <c r="C1924" s="1" t="str">
        <f>"تخليه - هفشجان سيرک کارخانه آسفالت سازمان همياري"</f>
        <v>تخليه - هفشجان سيرک کارخانه آسفالت سازمان همياري</v>
      </c>
      <c r="D1924" s="1">
        <v>8023</v>
      </c>
      <c r="E1924" s="1">
        <v>113980</v>
      </c>
      <c r="F1924" s="1">
        <v>95</v>
      </c>
      <c r="G1924" s="1">
        <v>1020</v>
      </c>
      <c r="H1924" s="1" t="str">
        <f>"95/08/17"</f>
        <v>95/08/17</v>
      </c>
      <c r="I1924" s="1" t="str">
        <f t="shared" si="511"/>
        <v>كيلوگرم</v>
      </c>
      <c r="J1924" s="1" t="str">
        <f t="shared" si="509"/>
        <v>1000000002</v>
      </c>
      <c r="K1924" s="1" t="str">
        <f t="shared" si="510"/>
        <v>قير 85/100 - فله</v>
      </c>
      <c r="L1924" s="1">
        <v>100</v>
      </c>
      <c r="M1924" s="1" t="str">
        <f t="shared" si="500"/>
        <v>مخازن قير اصفهان</v>
      </c>
      <c r="N1924" s="1">
        <v>7326</v>
      </c>
      <c r="O1924" s="1">
        <v>50032543</v>
      </c>
      <c r="P1924" s="1" t="str">
        <f>"  شهرداري فرادنبه"</f>
        <v xml:space="preserve">  شهرداري فرادنبه</v>
      </c>
      <c r="Q1924" s="1">
        <v>20</v>
      </c>
      <c r="R1924" s="1" t="str">
        <f t="shared" si="512"/>
        <v>فروش داخلي - سازمان شهرداري ها و دهياري هاي كشور</v>
      </c>
      <c r="S1924" s="1" t="str">
        <f t="shared" si="513"/>
        <v>قرارداد فروش</v>
      </c>
      <c r="T1924" s="1" t="str">
        <f t="shared" si="514"/>
        <v>ندارد</v>
      </c>
      <c r="U1924" s="1" t="str">
        <f t="shared" si="515"/>
        <v>قره باغي مجيد(1871065)</v>
      </c>
      <c r="V1924" s="1">
        <v>952000217</v>
      </c>
      <c r="W1924" s="1">
        <v>952000217</v>
      </c>
      <c r="X1924" s="1" t="str">
        <f>"1395443388"</f>
        <v>1395443388</v>
      </c>
      <c r="Y1924" s="1" t="str">
        <f>"95/08/17"</f>
        <v>95/08/17</v>
      </c>
      <c r="Z1924" s="1" t="str">
        <f>"39740"</f>
        <v>39740</v>
      </c>
      <c r="AA1924" s="1" t="str">
        <f t="shared" si="516"/>
        <v>شهرداريها</v>
      </c>
      <c r="AB1924" s="1" t="str">
        <f>"95/08/12"</f>
        <v>95/08/12</v>
      </c>
      <c r="AC1924" s="1" t="str">
        <f>"استان چهارمحال بختياري"</f>
        <v>استان چهارمحال بختياري</v>
      </c>
      <c r="AD1924" s="1" t="str">
        <f>"95/08/17"</f>
        <v>95/08/17</v>
      </c>
      <c r="AE1924" s="1" t="str">
        <f t="shared" si="508"/>
        <v>اختتام</v>
      </c>
      <c r="AF1924" s="1" t="str">
        <f>""</f>
        <v/>
      </c>
      <c r="AG1924" s="1" t="str">
        <f>""</f>
        <v/>
      </c>
      <c r="AH1924" s="1" t="str">
        <f>""</f>
        <v/>
      </c>
      <c r="AI1924" s="1" t="str">
        <f>""</f>
        <v/>
      </c>
      <c r="AJ1924" s="1" t="str">
        <f>""</f>
        <v/>
      </c>
      <c r="AK1924" s="1" t="str">
        <f>""</f>
        <v/>
      </c>
    </row>
    <row r="1925" spans="1:37" x14ac:dyDescent="0.2">
      <c r="A1925" s="1">
        <v>74000</v>
      </c>
      <c r="B1925" s="1">
        <v>952000016</v>
      </c>
      <c r="C1925" s="1" t="str">
        <f>"تخليه - لردگان-شهرآلوني-خيابان امام خميني -تقاطع دوم -شهرداري آلوني"</f>
        <v>تخليه - لردگان-شهرآلوني-خيابان امام خميني -تقاطع دوم -شهرداري آلوني</v>
      </c>
      <c r="D1925" s="1">
        <v>6426</v>
      </c>
      <c r="E1925" s="1">
        <v>73940</v>
      </c>
      <c r="F1925" s="1">
        <v>95</v>
      </c>
      <c r="G1925" s="1">
        <v>60</v>
      </c>
      <c r="H1925" s="1" t="str">
        <f>"95/05/25"</f>
        <v>95/05/25</v>
      </c>
      <c r="I1925" s="1" t="str">
        <f t="shared" si="511"/>
        <v>كيلوگرم</v>
      </c>
      <c r="J1925" s="1" t="str">
        <f t="shared" si="509"/>
        <v>1000000002</v>
      </c>
      <c r="K1925" s="1" t="str">
        <f t="shared" si="510"/>
        <v>قير 85/100 - فله</v>
      </c>
      <c r="L1925" s="1">
        <v>100</v>
      </c>
      <c r="M1925" s="1" t="str">
        <f t="shared" si="500"/>
        <v>مخازن قير اصفهان</v>
      </c>
      <c r="N1925" s="1">
        <v>9388</v>
      </c>
      <c r="O1925" s="1">
        <v>50031553</v>
      </c>
      <c r="P1925" s="1" t="str">
        <f>"  شهرداري آلوني"</f>
        <v xml:space="preserve">  شهرداري آلوني</v>
      </c>
      <c r="Q1925" s="1">
        <v>20</v>
      </c>
      <c r="R1925" s="1" t="str">
        <f t="shared" si="512"/>
        <v>فروش داخلي - سازمان شهرداري ها و دهياري هاي كشور</v>
      </c>
      <c r="S1925" s="1" t="str">
        <f t="shared" si="513"/>
        <v>قرارداد فروش</v>
      </c>
      <c r="T1925" s="1" t="str">
        <f t="shared" si="514"/>
        <v>ندارد</v>
      </c>
      <c r="U1925" s="1" t="str">
        <f t="shared" si="515"/>
        <v>قره باغي مجيد(1871065)</v>
      </c>
      <c r="V1925" s="1">
        <v>952000016</v>
      </c>
      <c r="W1925" s="1">
        <v>952000016</v>
      </c>
      <c r="X1925" s="1" t="str">
        <f>"1395423681"</f>
        <v>1395423681</v>
      </c>
      <c r="Y1925" s="1" t="str">
        <f>"95/05/25"</f>
        <v>95/05/25</v>
      </c>
      <c r="Z1925" s="1" t="str">
        <f>"18574"</f>
        <v>18574</v>
      </c>
      <c r="AA1925" s="1" t="str">
        <f t="shared" si="516"/>
        <v>شهرداريها</v>
      </c>
      <c r="AB1925" s="1" t="str">
        <f>"95/05/02"</f>
        <v>95/05/02</v>
      </c>
      <c r="AC1925" s="1" t="str">
        <f>"استان چهارمحال بختياري"</f>
        <v>استان چهارمحال بختياري</v>
      </c>
      <c r="AD1925" s="1" t="str">
        <f>"95/05/24"</f>
        <v>95/05/24</v>
      </c>
      <c r="AE1925" s="1" t="str">
        <f t="shared" si="508"/>
        <v>اختتام</v>
      </c>
      <c r="AF1925" s="1" t="str">
        <f>""</f>
        <v/>
      </c>
      <c r="AG1925" s="1" t="str">
        <f>""</f>
        <v/>
      </c>
      <c r="AH1925" s="1" t="str">
        <f>""</f>
        <v/>
      </c>
      <c r="AI1925" s="1" t="str">
        <f>""</f>
        <v/>
      </c>
      <c r="AJ1925" s="1" t="str">
        <f>""</f>
        <v/>
      </c>
      <c r="AK1925" s="1" t="str">
        <f>""</f>
        <v/>
      </c>
    </row>
    <row r="1926" spans="1:37" x14ac:dyDescent="0.2">
      <c r="A1926" s="1">
        <v>120000</v>
      </c>
      <c r="B1926" s="1">
        <v>952000051</v>
      </c>
      <c r="C1926" s="1" t="str">
        <f>"تخليه اصفهان جاده بروجن مبركه جاده قاميشلوشركت تك شن"</f>
        <v>تخليه اصفهان جاده بروجن مبركه جاده قاميشلوشركت تك شن</v>
      </c>
      <c r="D1926" s="1">
        <v>6876</v>
      </c>
      <c r="E1926" s="1">
        <v>118440</v>
      </c>
      <c r="F1926" s="1">
        <v>95</v>
      </c>
      <c r="G1926" s="1">
        <v>1560</v>
      </c>
      <c r="H1926" s="1" t="str">
        <f>"95/06/07"</f>
        <v>95/06/07</v>
      </c>
      <c r="I1926" s="1" t="str">
        <f t="shared" si="511"/>
        <v>كيلوگرم</v>
      </c>
      <c r="J1926" s="1" t="str">
        <f t="shared" si="509"/>
        <v>1000000002</v>
      </c>
      <c r="K1926" s="1" t="str">
        <f t="shared" si="510"/>
        <v>قير 85/100 - فله</v>
      </c>
      <c r="L1926" s="1">
        <v>100</v>
      </c>
      <c r="M1926" s="1" t="str">
        <f t="shared" si="500"/>
        <v>مخازن قير اصفهان</v>
      </c>
      <c r="N1926" s="1">
        <v>9601</v>
      </c>
      <c r="O1926" s="1">
        <v>50031697</v>
      </c>
      <c r="P1926" s="1" t="str">
        <f>"  شهرداري دهاقان"</f>
        <v xml:space="preserve">  شهرداري دهاقان</v>
      </c>
      <c r="Q1926" s="1">
        <v>20</v>
      </c>
      <c r="R1926" s="1" t="str">
        <f t="shared" si="512"/>
        <v>فروش داخلي - سازمان شهرداري ها و دهياري هاي كشور</v>
      </c>
      <c r="S1926" s="1" t="str">
        <f t="shared" si="513"/>
        <v>قرارداد فروش</v>
      </c>
      <c r="T1926" s="1" t="str">
        <f t="shared" si="514"/>
        <v>ندارد</v>
      </c>
      <c r="U1926" s="1" t="str">
        <f t="shared" si="515"/>
        <v>قره باغي مجيد(1871065)</v>
      </c>
      <c r="V1926" s="1">
        <v>952000051</v>
      </c>
      <c r="W1926" s="1">
        <v>952000051</v>
      </c>
      <c r="X1926" s="1" t="str">
        <f>"1395426945"</f>
        <v>1395426945</v>
      </c>
      <c r="Y1926" s="1" t="str">
        <f>"95/06/07"</f>
        <v>95/06/07</v>
      </c>
      <c r="Z1926" s="1" t="str">
        <f>"23620"</f>
        <v>23620</v>
      </c>
      <c r="AA1926" s="1" t="str">
        <f t="shared" si="516"/>
        <v>شهرداريها</v>
      </c>
      <c r="AB1926" s="1" t="str">
        <f>"95/05/25"</f>
        <v>95/05/25</v>
      </c>
      <c r="AC1926" s="1" t="str">
        <f>"استان اصفهان"</f>
        <v>استان اصفهان</v>
      </c>
      <c r="AD1926" s="1" t="str">
        <f>"95/06/06"</f>
        <v>95/06/06</v>
      </c>
      <c r="AE1926" s="1" t="str">
        <f t="shared" si="508"/>
        <v>اختتام</v>
      </c>
      <c r="AF1926" s="1" t="str">
        <f>""</f>
        <v/>
      </c>
      <c r="AG1926" s="1" t="str">
        <f>""</f>
        <v/>
      </c>
      <c r="AH1926" s="1" t="str">
        <f>""</f>
        <v/>
      </c>
      <c r="AI1926" s="1" t="str">
        <f>""</f>
        <v/>
      </c>
      <c r="AJ1926" s="1" t="str">
        <f>""</f>
        <v/>
      </c>
      <c r="AK1926" s="1" t="str">
        <f>""</f>
        <v/>
      </c>
    </row>
    <row r="1927" spans="1:37" x14ac:dyDescent="0.2">
      <c r="A1927" s="1">
        <v>80000</v>
      </c>
      <c r="B1927" s="1">
        <v>952000020</v>
      </c>
      <c r="C1927" s="1" t="str">
        <f>"تخليه -شهرستان کيار بخش ناغان -100متر بعد از تونل شرکت آسفالت کاران اتحاد ناغان"</f>
        <v>تخليه -شهرستان کيار بخش ناغان -100متر بعد از تونل شرکت آسفالت کاران اتحاد ناغان</v>
      </c>
      <c r="D1927" s="1">
        <v>6426</v>
      </c>
      <c r="E1927" s="1">
        <v>78880</v>
      </c>
      <c r="F1927" s="1">
        <v>95</v>
      </c>
      <c r="G1927" s="1">
        <v>1120</v>
      </c>
      <c r="H1927" s="1" t="str">
        <f>"95/05/26"</f>
        <v>95/05/26</v>
      </c>
      <c r="I1927" s="1" t="str">
        <f t="shared" si="511"/>
        <v>كيلوگرم</v>
      </c>
      <c r="J1927" s="1" t="str">
        <f t="shared" si="509"/>
        <v>1000000002</v>
      </c>
      <c r="K1927" s="1" t="str">
        <f t="shared" si="510"/>
        <v>قير 85/100 - فله</v>
      </c>
      <c r="L1927" s="1">
        <v>100</v>
      </c>
      <c r="M1927" s="1" t="str">
        <f t="shared" si="500"/>
        <v>مخازن قير اصفهان</v>
      </c>
      <c r="N1927" s="1">
        <v>9665</v>
      </c>
      <c r="O1927" s="1">
        <v>50031566</v>
      </c>
      <c r="P1927" s="1" t="str">
        <f>"  شهرداري شلمزار"</f>
        <v xml:space="preserve">  شهرداري شلمزار</v>
      </c>
      <c r="Q1927" s="1">
        <v>20</v>
      </c>
      <c r="R1927" s="1" t="str">
        <f t="shared" si="512"/>
        <v>فروش داخلي - سازمان شهرداري ها و دهياري هاي كشور</v>
      </c>
      <c r="S1927" s="1" t="str">
        <f t="shared" si="513"/>
        <v>قرارداد فروش</v>
      </c>
      <c r="T1927" s="1" t="str">
        <f t="shared" si="514"/>
        <v>ندارد</v>
      </c>
      <c r="U1927" s="1" t="str">
        <f t="shared" si="515"/>
        <v>قره باغي مجيد(1871065)</v>
      </c>
      <c r="V1927" s="1">
        <v>952000020</v>
      </c>
      <c r="W1927" s="1">
        <v>952000020</v>
      </c>
      <c r="X1927" s="1" t="str">
        <f>"1395423681"</f>
        <v>1395423681</v>
      </c>
      <c r="Y1927" s="1" t="str">
        <f>"95/05/25"</f>
        <v>95/05/25</v>
      </c>
      <c r="Z1927" s="1" t="str">
        <f>"18479"</f>
        <v>18479</v>
      </c>
      <c r="AA1927" s="1" t="str">
        <f t="shared" si="516"/>
        <v>شهرداريها</v>
      </c>
      <c r="AB1927" s="1" t="str">
        <f>"95/05/02"</f>
        <v>95/05/02</v>
      </c>
      <c r="AC1927" s="1" t="str">
        <f>"استان چهارمحال بختياري"</f>
        <v>استان چهارمحال بختياري</v>
      </c>
      <c r="AD1927" s="1" t="str">
        <f>"95/05/24"</f>
        <v>95/05/24</v>
      </c>
      <c r="AE1927" s="1" t="str">
        <f t="shared" si="508"/>
        <v>اختتام</v>
      </c>
      <c r="AF1927" s="1" t="str">
        <f>""</f>
        <v/>
      </c>
      <c r="AG1927" s="1" t="str">
        <f>""</f>
        <v/>
      </c>
      <c r="AH1927" s="1" t="str">
        <f>""</f>
        <v/>
      </c>
      <c r="AI1927" s="1" t="str">
        <f>""</f>
        <v/>
      </c>
      <c r="AJ1927" s="1" t="str">
        <f>""</f>
        <v/>
      </c>
      <c r="AK1927" s="1" t="str">
        <f>""</f>
        <v/>
      </c>
    </row>
    <row r="1928" spans="1:37" x14ac:dyDescent="0.2">
      <c r="A1928" s="1">
        <v>109000</v>
      </c>
      <c r="B1928" s="1">
        <v>952000212</v>
      </c>
      <c r="C1928" s="1" t="str">
        <f>"تخليه -چهارمحال وبختياري -شهرستان سامان -جنب شهرك صنعتي 2-شركت سامان ساخت"</f>
        <v>تخليه -چهارمحال وبختياري -شهرستان سامان -جنب شهرك صنعتي 2-شركت سامان ساخت</v>
      </c>
      <c r="D1928" s="1">
        <v>8023</v>
      </c>
      <c r="E1928" s="1">
        <v>108820</v>
      </c>
      <c r="F1928" s="1">
        <v>95</v>
      </c>
      <c r="G1928" s="1">
        <v>180</v>
      </c>
      <c r="H1928" s="1" t="str">
        <f>"95/08/16"</f>
        <v>95/08/16</v>
      </c>
      <c r="I1928" s="1" t="str">
        <f t="shared" si="511"/>
        <v>كيلوگرم</v>
      </c>
      <c r="J1928" s="1" t="str">
        <f t="shared" si="509"/>
        <v>1000000002</v>
      </c>
      <c r="K1928" s="1" t="str">
        <f t="shared" si="510"/>
        <v>قير 85/100 - فله</v>
      </c>
      <c r="L1928" s="1">
        <v>100</v>
      </c>
      <c r="M1928" s="1" t="str">
        <f t="shared" ref="M1928:M1991" si="517">"مخازن قير اصفهان"</f>
        <v>مخازن قير اصفهان</v>
      </c>
      <c r="N1928" s="1">
        <v>9668</v>
      </c>
      <c r="O1928" s="1">
        <v>50032524</v>
      </c>
      <c r="P1928" s="1" t="str">
        <f>"  شهرداري بن"</f>
        <v xml:space="preserve">  شهرداري بن</v>
      </c>
      <c r="Q1928" s="1">
        <v>20</v>
      </c>
      <c r="R1928" s="1" t="str">
        <f t="shared" si="512"/>
        <v>فروش داخلي - سازمان شهرداري ها و دهياري هاي كشور</v>
      </c>
      <c r="S1928" s="1" t="str">
        <f t="shared" si="513"/>
        <v>قرارداد فروش</v>
      </c>
      <c r="T1928" s="1" t="str">
        <f t="shared" si="514"/>
        <v>ندارد</v>
      </c>
      <c r="U1928" s="1" t="str">
        <f t="shared" si="515"/>
        <v>قره باغي مجيد(1871065)</v>
      </c>
      <c r="V1928" s="1">
        <v>952000212</v>
      </c>
      <c r="W1928" s="1">
        <v>952000212</v>
      </c>
      <c r="X1928" s="1" t="str">
        <f>"1395443205"</f>
        <v>1395443205</v>
      </c>
      <c r="Y1928" s="1" t="str">
        <f>"95/08/16"</f>
        <v>95/08/16</v>
      </c>
      <c r="Z1928" s="1" t="str">
        <f>"39318"</f>
        <v>39318</v>
      </c>
      <c r="AA1928" s="1" t="str">
        <f t="shared" si="516"/>
        <v>شهرداريها</v>
      </c>
      <c r="AB1928" s="1" t="str">
        <f>"95/08/11"</f>
        <v>95/08/11</v>
      </c>
      <c r="AC1928" s="1" t="str">
        <f>"استان چهارمحال بختياري"</f>
        <v>استان چهارمحال بختياري</v>
      </c>
      <c r="AD1928" s="1" t="str">
        <f>"95/08/15"</f>
        <v>95/08/15</v>
      </c>
      <c r="AE1928" s="1" t="str">
        <f t="shared" si="508"/>
        <v>اختتام</v>
      </c>
      <c r="AF1928" s="1" t="str">
        <f>""</f>
        <v/>
      </c>
      <c r="AG1928" s="1" t="str">
        <f>""</f>
        <v/>
      </c>
      <c r="AH1928" s="1" t="str">
        <f>""</f>
        <v/>
      </c>
      <c r="AI1928" s="1" t="str">
        <f>""</f>
        <v/>
      </c>
      <c r="AJ1928" s="1" t="str">
        <f>""</f>
        <v/>
      </c>
      <c r="AK1928" s="1" t="str">
        <f>""</f>
        <v/>
      </c>
    </row>
    <row r="1929" spans="1:37" x14ac:dyDescent="0.2">
      <c r="A1929" s="1">
        <v>172000</v>
      </c>
      <c r="B1929" s="1">
        <v>952000226</v>
      </c>
      <c r="C1929" s="1" t="str">
        <f>"تخليه -چهارمحال وبختياري لردگان كارخانه آسفالت حاج محمدموسوي"</f>
        <v>تخليه -چهارمحال وبختياري لردگان كارخانه آسفالت حاج محمدموسوي</v>
      </c>
      <c r="D1929" s="1">
        <v>8023</v>
      </c>
      <c r="E1929" s="1">
        <v>171940</v>
      </c>
      <c r="F1929" s="1">
        <v>95</v>
      </c>
      <c r="G1929" s="1">
        <v>60</v>
      </c>
      <c r="H1929" s="1" t="str">
        <f>"95/08/18"</f>
        <v>95/08/18</v>
      </c>
      <c r="I1929" s="1" t="str">
        <f t="shared" si="511"/>
        <v>كيلوگرم</v>
      </c>
      <c r="J1929" s="1" t="str">
        <f t="shared" si="509"/>
        <v>1000000002</v>
      </c>
      <c r="K1929" s="1" t="str">
        <f t="shared" si="510"/>
        <v>قير 85/100 - فله</v>
      </c>
      <c r="L1929" s="1">
        <v>100</v>
      </c>
      <c r="M1929" s="1" t="str">
        <f t="shared" si="517"/>
        <v>مخازن قير اصفهان</v>
      </c>
      <c r="N1929" s="1">
        <v>9743</v>
      </c>
      <c r="O1929" s="1">
        <v>50032555</v>
      </c>
      <c r="P1929" s="1" t="str">
        <f>"  شهرداري لردگان"</f>
        <v xml:space="preserve">  شهرداري لردگان</v>
      </c>
      <c r="Q1929" s="1">
        <v>20</v>
      </c>
      <c r="R1929" s="1" t="str">
        <f t="shared" si="512"/>
        <v>فروش داخلي - سازمان شهرداري ها و دهياري هاي كشور</v>
      </c>
      <c r="S1929" s="1" t="str">
        <f t="shared" si="513"/>
        <v>قرارداد فروش</v>
      </c>
      <c r="T1929" s="1" t="str">
        <f t="shared" si="514"/>
        <v>ندارد</v>
      </c>
      <c r="U1929" s="1" t="str">
        <f>"علي عابدي ابوالقاسم(1003ج89)"</f>
        <v>علي عابدي ابوالقاسم(1003ج89)</v>
      </c>
      <c r="V1929" s="1">
        <v>952000226</v>
      </c>
      <c r="W1929" s="1">
        <v>952000226</v>
      </c>
      <c r="X1929" s="1" t="str">
        <f>"1395443388"</f>
        <v>1395443388</v>
      </c>
      <c r="Y1929" s="1" t="str">
        <f>"95/08/17"</f>
        <v>95/08/17</v>
      </c>
      <c r="Z1929" s="1" t="str">
        <f>"40360"</f>
        <v>40360</v>
      </c>
      <c r="AA1929" s="1" t="str">
        <f t="shared" si="516"/>
        <v>شهرداريها</v>
      </c>
      <c r="AB1929" s="1" t="str">
        <f>"95/08/16"</f>
        <v>95/08/16</v>
      </c>
      <c r="AC1929" s="1" t="str">
        <f>"استان چهارمحال بختياري"</f>
        <v>استان چهارمحال بختياري</v>
      </c>
      <c r="AD1929" s="1" t="str">
        <f>"95/08/17"</f>
        <v>95/08/17</v>
      </c>
      <c r="AE1929" s="1" t="str">
        <f t="shared" si="508"/>
        <v>اختتام</v>
      </c>
      <c r="AF1929" s="1" t="str">
        <f>""</f>
        <v/>
      </c>
      <c r="AG1929" s="1" t="str">
        <f>""</f>
        <v/>
      </c>
      <c r="AH1929" s="1" t="str">
        <f>""</f>
        <v/>
      </c>
      <c r="AI1929" s="1" t="str">
        <f>""</f>
        <v/>
      </c>
      <c r="AJ1929" s="1" t="str">
        <f>""</f>
        <v/>
      </c>
      <c r="AK1929" s="1" t="str">
        <f>""</f>
        <v/>
      </c>
    </row>
    <row r="1930" spans="1:37" x14ac:dyDescent="0.2">
      <c r="A1930" s="1">
        <v>107000</v>
      </c>
      <c r="B1930" s="1">
        <v>952000221</v>
      </c>
      <c r="C1930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1930" s="1">
        <v>8023</v>
      </c>
      <c r="E1930" s="1">
        <v>106020</v>
      </c>
      <c r="F1930" s="1">
        <v>95</v>
      </c>
      <c r="G1930" s="1">
        <v>980</v>
      </c>
      <c r="H1930" s="1" t="str">
        <f>"95/08/17"</f>
        <v>95/08/17</v>
      </c>
      <c r="I1930" s="1" t="str">
        <f t="shared" si="511"/>
        <v>كيلوگرم</v>
      </c>
      <c r="J1930" s="1" t="str">
        <f t="shared" si="509"/>
        <v>1000000002</v>
      </c>
      <c r="K1930" s="1" t="str">
        <f t="shared" si="510"/>
        <v>قير 85/100 - فله</v>
      </c>
      <c r="L1930" s="1">
        <v>100</v>
      </c>
      <c r="M1930" s="1" t="str">
        <f t="shared" si="517"/>
        <v>مخازن قير اصفهان</v>
      </c>
      <c r="N1930" s="1">
        <v>9900</v>
      </c>
      <c r="O1930" s="1">
        <v>50032550</v>
      </c>
      <c r="P1930" s="1" t="str">
        <f>"  شهرداري باباحيدر"</f>
        <v xml:space="preserve">  شهرداري باباحيدر</v>
      </c>
      <c r="Q1930" s="1">
        <v>20</v>
      </c>
      <c r="R1930" s="1" t="str">
        <f t="shared" si="512"/>
        <v>فروش داخلي - سازمان شهرداري ها و دهياري هاي كشور</v>
      </c>
      <c r="S1930" s="1" t="str">
        <f t="shared" si="513"/>
        <v>قرارداد فروش</v>
      </c>
      <c r="T1930" s="1" t="str">
        <f t="shared" si="514"/>
        <v>ندارد</v>
      </c>
      <c r="U1930" s="1" t="str">
        <f>"سيفي پور گودرز(1019ج89)"</f>
        <v>سيفي پور گودرز(1019ج89)</v>
      </c>
      <c r="V1930" s="1">
        <v>952000221</v>
      </c>
      <c r="W1930" s="1">
        <v>952000221</v>
      </c>
      <c r="X1930" s="1" t="str">
        <f>"1395443388"</f>
        <v>1395443388</v>
      </c>
      <c r="Y1930" s="1" t="str">
        <f>"95/08/17"</f>
        <v>95/08/17</v>
      </c>
      <c r="Z1930" s="1" t="str">
        <f>"40107"</f>
        <v>40107</v>
      </c>
      <c r="AA1930" s="1" t="str">
        <f t="shared" si="516"/>
        <v>شهرداريها</v>
      </c>
      <c r="AB1930" s="1" t="str">
        <f>"95/08/15"</f>
        <v>95/08/15</v>
      </c>
      <c r="AC1930" s="1" t="str">
        <f>"استان چهارمحال بختياري"</f>
        <v>استان چهارمحال بختياري</v>
      </c>
      <c r="AD1930" s="1" t="str">
        <f>"95/08/17"</f>
        <v>95/08/17</v>
      </c>
      <c r="AE1930" s="1" t="str">
        <f t="shared" si="508"/>
        <v>اختتام</v>
      </c>
      <c r="AF1930" s="1" t="str">
        <f>""</f>
        <v/>
      </c>
      <c r="AG1930" s="1" t="str">
        <f>""</f>
        <v/>
      </c>
      <c r="AH1930" s="1" t="str">
        <f>""</f>
        <v/>
      </c>
      <c r="AI1930" s="1" t="str">
        <f>""</f>
        <v/>
      </c>
      <c r="AJ1930" s="1" t="str">
        <f>""</f>
        <v/>
      </c>
      <c r="AK1930" s="1" t="str">
        <f>""</f>
        <v/>
      </c>
    </row>
    <row r="1931" spans="1:37" x14ac:dyDescent="0.2">
      <c r="A1931" s="1">
        <v>17000</v>
      </c>
      <c r="B1931" s="1">
        <v>956200277</v>
      </c>
      <c r="C1931" s="1" t="str">
        <f>"تخليه-کارخانه آسفالت شرکت سر چنارراه(ديواندره-کيلومتر5جاده سنندج-ابتداي روستاي دربند"</f>
        <v>تخليه-کارخانه آسفالت شرکت سر چنارراه(ديواندره-کيلومتر5جاده سنندج-ابتداي روستاي دربند</v>
      </c>
      <c r="D1931" s="1">
        <v>8848</v>
      </c>
      <c r="E1931" s="1">
        <v>16040</v>
      </c>
      <c r="F1931" s="1">
        <v>95</v>
      </c>
      <c r="G1931" s="1">
        <v>960</v>
      </c>
      <c r="H1931" s="1" t="str">
        <f>"95/12/04"</f>
        <v>95/12/04</v>
      </c>
      <c r="I1931" s="1" t="str">
        <f t="shared" si="511"/>
        <v>كيلوگرم</v>
      </c>
      <c r="J1931" s="1" t="str">
        <f t="shared" si="509"/>
        <v>1000000002</v>
      </c>
      <c r="K1931" s="1" t="str">
        <f t="shared" si="510"/>
        <v>قير 85/100 - فله</v>
      </c>
      <c r="L1931" s="1">
        <v>100</v>
      </c>
      <c r="M1931" s="1" t="str">
        <f t="shared" si="517"/>
        <v>مخازن قير اصفهان</v>
      </c>
      <c r="N1931" s="1">
        <v>10620</v>
      </c>
      <c r="O1931" s="1">
        <v>50033846</v>
      </c>
      <c r="P1931" s="1" t="str">
        <f>"  راه وساختمان راه نقش پايتخت"</f>
        <v xml:space="preserve">  راه وساختمان راه نقش پايتخت</v>
      </c>
      <c r="Q1931" s="1">
        <v>62</v>
      </c>
      <c r="R1931" s="1" t="str">
        <f>"فروش داخلي - سازمان بنيادمسكن انقلاب اسلامي"</f>
        <v>فروش داخلي - سازمان بنيادمسكن انقلاب اسلامي</v>
      </c>
      <c r="S1931" s="1" t="str">
        <f t="shared" si="513"/>
        <v>قرارداد فروش</v>
      </c>
      <c r="T1931" s="1" t="str">
        <f t="shared" si="514"/>
        <v>ندارد</v>
      </c>
      <c r="U1931" s="1" t="str">
        <f>"قنبري امين(2872037)"</f>
        <v>قنبري امين(2872037)</v>
      </c>
      <c r="V1931" s="1">
        <v>956200277</v>
      </c>
      <c r="W1931" s="1">
        <v>956200277</v>
      </c>
      <c r="X1931" s="1" t="str">
        <f>"1395466582"</f>
        <v>1395466582</v>
      </c>
      <c r="Y1931" s="1" t="str">
        <f>"95/12/04"</f>
        <v>95/12/04</v>
      </c>
      <c r="Z1931" s="1" t="str">
        <f>"52751/د"</f>
        <v>52751/د</v>
      </c>
      <c r="AA1931" s="1" t="str">
        <f>"بنيادمسكن انقلاب اسلامي"</f>
        <v>بنيادمسكن انقلاب اسلامي</v>
      </c>
      <c r="AB1931" s="1" t="str">
        <f>"95/12/02"</f>
        <v>95/12/02</v>
      </c>
      <c r="AC1931" s="1" t="str">
        <f>"استان كردستان"</f>
        <v>استان كردستان</v>
      </c>
      <c r="AD1931" s="1" t="str">
        <f>"95/12/03"</f>
        <v>95/12/03</v>
      </c>
      <c r="AE1931" s="1" t="str">
        <f t="shared" si="508"/>
        <v>اختتام</v>
      </c>
      <c r="AF1931" s="1" t="str">
        <f>""</f>
        <v/>
      </c>
      <c r="AG1931" s="1" t="str">
        <f>""</f>
        <v/>
      </c>
      <c r="AH1931" s="1" t="str">
        <f>""</f>
        <v/>
      </c>
      <c r="AI1931" s="1" t="str">
        <f>""</f>
        <v/>
      </c>
      <c r="AJ1931" s="1" t="str">
        <f>""</f>
        <v/>
      </c>
      <c r="AK1931" s="1" t="str">
        <f>""</f>
        <v/>
      </c>
    </row>
    <row r="1932" spans="1:37" x14ac:dyDescent="0.2">
      <c r="A1932" s="1">
        <v>75000</v>
      </c>
      <c r="B1932" s="1">
        <v>952000216</v>
      </c>
      <c r="C1932" s="1" t="str">
        <f>"تخليه -چهارمحال بختياري -سازمان همياري وشهرداري"</f>
        <v>تخليه -چهارمحال بختياري -سازمان همياري وشهرداري</v>
      </c>
      <c r="D1932" s="1">
        <v>8023</v>
      </c>
      <c r="E1932" s="1">
        <v>74980</v>
      </c>
      <c r="F1932" s="1">
        <v>95</v>
      </c>
      <c r="G1932" s="1">
        <v>20</v>
      </c>
      <c r="H1932" s="1" t="str">
        <f>"95/08/17"</f>
        <v>95/08/17</v>
      </c>
      <c r="I1932" s="1" t="str">
        <f t="shared" si="511"/>
        <v>كيلوگرم</v>
      </c>
      <c r="J1932" s="1" t="str">
        <f t="shared" si="509"/>
        <v>1000000002</v>
      </c>
      <c r="K1932" s="1" t="str">
        <f t="shared" si="510"/>
        <v>قير 85/100 - فله</v>
      </c>
      <c r="L1932" s="1">
        <v>100</v>
      </c>
      <c r="M1932" s="1" t="str">
        <f t="shared" si="517"/>
        <v>مخازن قير اصفهان</v>
      </c>
      <c r="N1932" s="1">
        <v>10702</v>
      </c>
      <c r="O1932" s="1">
        <v>50032541</v>
      </c>
      <c r="P1932" s="1" t="str">
        <f>"  شهرداري گوجان"</f>
        <v xml:space="preserve">  شهرداري گوجان</v>
      </c>
      <c r="Q1932" s="1">
        <v>20</v>
      </c>
      <c r="R1932" s="1" t="str">
        <f>"فروش داخلي - سازمان شهرداري ها و دهياري هاي كشور"</f>
        <v>فروش داخلي - سازمان شهرداري ها و دهياري هاي كشور</v>
      </c>
      <c r="S1932" s="1" t="str">
        <f t="shared" si="513"/>
        <v>قرارداد فروش</v>
      </c>
      <c r="T1932" s="1" t="str">
        <f t="shared" si="514"/>
        <v>ندارد</v>
      </c>
      <c r="U1932" s="1" t="str">
        <f>"قره باغي مجيد(1871065)"</f>
        <v>قره باغي مجيد(1871065)</v>
      </c>
      <c r="V1932" s="1">
        <v>952000216</v>
      </c>
      <c r="W1932" s="1">
        <v>952000216</v>
      </c>
      <c r="X1932" s="1" t="str">
        <f>"1395443388"</f>
        <v>1395443388</v>
      </c>
      <c r="Y1932" s="1" t="str">
        <f>"95/08/17"</f>
        <v>95/08/17</v>
      </c>
      <c r="Z1932" s="1" t="str">
        <f>"39719"</f>
        <v>39719</v>
      </c>
      <c r="AA1932" s="1" t="str">
        <f>"شهرداريها"</f>
        <v>شهرداريها</v>
      </c>
      <c r="AB1932" s="1" t="str">
        <f>"95/08/12"</f>
        <v>95/08/12</v>
      </c>
      <c r="AC1932" s="1" t="str">
        <f t="shared" ref="AC1932:AC1942" si="518">"استان چهارمحال بختياري"</f>
        <v>استان چهارمحال بختياري</v>
      </c>
      <c r="AD1932" s="1" t="str">
        <f>"95/08/17"</f>
        <v>95/08/17</v>
      </c>
      <c r="AE1932" s="1" t="str">
        <f t="shared" si="508"/>
        <v>اختتام</v>
      </c>
      <c r="AF1932" s="1" t="str">
        <f>""</f>
        <v/>
      </c>
      <c r="AG1932" s="1" t="str">
        <f>""</f>
        <v/>
      </c>
      <c r="AH1932" s="1" t="str">
        <f>""</f>
        <v/>
      </c>
      <c r="AI1932" s="1" t="str">
        <f>""</f>
        <v/>
      </c>
      <c r="AJ1932" s="1" t="str">
        <f>""</f>
        <v/>
      </c>
      <c r="AK1932" s="1" t="str">
        <f>""</f>
        <v/>
      </c>
    </row>
    <row r="1933" spans="1:37" x14ac:dyDescent="0.2">
      <c r="A1933" s="1">
        <v>77000</v>
      </c>
      <c r="B1933" s="1">
        <v>952000078</v>
      </c>
      <c r="C1933" s="1" t="str">
        <f>"تخليه - چهارمحال و بختياري-کيلومتر 15 جاده قميشلو بروجن -شرکت تک شن"</f>
        <v>تخليه - چهارمحال و بختياري-کيلومتر 15 جاده قميشلو بروجن -شرکت تک شن</v>
      </c>
      <c r="D1933" s="1">
        <v>6876</v>
      </c>
      <c r="E1933" s="1">
        <v>76980</v>
      </c>
      <c r="F1933" s="1">
        <v>95</v>
      </c>
      <c r="G1933" s="1">
        <v>20</v>
      </c>
      <c r="H1933" s="1" t="str">
        <f>"95/06/17"</f>
        <v>95/06/17</v>
      </c>
      <c r="I1933" s="1" t="str">
        <f t="shared" si="511"/>
        <v>كيلوگرم</v>
      </c>
      <c r="J1933" s="1" t="str">
        <f t="shared" si="509"/>
        <v>1000000002</v>
      </c>
      <c r="K1933" s="1" t="str">
        <f t="shared" si="510"/>
        <v>قير 85/100 - فله</v>
      </c>
      <c r="L1933" s="1">
        <v>100</v>
      </c>
      <c r="M1933" s="1" t="str">
        <f t="shared" si="517"/>
        <v>مخازن قير اصفهان</v>
      </c>
      <c r="N1933" s="1">
        <v>10884</v>
      </c>
      <c r="O1933" s="1">
        <v>50031822</v>
      </c>
      <c r="P1933" s="1" t="str">
        <f>"  شهرداري گندمان"</f>
        <v xml:space="preserve">  شهرداري گندمان</v>
      </c>
      <c r="Q1933" s="1">
        <v>20</v>
      </c>
      <c r="R1933" s="1" t="str">
        <f>"فروش داخلي - سازمان شهرداري ها و دهياري هاي كشور"</f>
        <v>فروش داخلي - سازمان شهرداري ها و دهياري هاي كشور</v>
      </c>
      <c r="S1933" s="1" t="str">
        <f t="shared" si="513"/>
        <v>قرارداد فروش</v>
      </c>
      <c r="T1933" s="1" t="str">
        <f t="shared" si="514"/>
        <v>ندارد</v>
      </c>
      <c r="U1933" s="1" t="str">
        <f>"مظلوم فريبرز(1008ج89)"</f>
        <v>مظلوم فريبرز(1008ج89)</v>
      </c>
      <c r="V1933" s="1">
        <v>952000078</v>
      </c>
      <c r="W1933" s="1">
        <v>952000078</v>
      </c>
      <c r="X1933" s="1" t="str">
        <f>"1395429279"</f>
        <v>1395429279</v>
      </c>
      <c r="Y1933" s="1" t="str">
        <f>"95/06/17"</f>
        <v>95/06/17</v>
      </c>
      <c r="Z1933" s="1" t="str">
        <f>"22920"</f>
        <v>22920</v>
      </c>
      <c r="AA1933" s="1" t="str">
        <f>"شهرداريها"</f>
        <v>شهرداريها</v>
      </c>
      <c r="AB1933" s="1" t="str">
        <f>"95/05/23"</f>
        <v>95/05/23</v>
      </c>
      <c r="AC1933" s="1" t="str">
        <f t="shared" si="518"/>
        <v>استان چهارمحال بختياري</v>
      </c>
      <c r="AD1933" s="1" t="str">
        <f>"95/06/16"</f>
        <v>95/06/16</v>
      </c>
      <c r="AE1933" s="1" t="str">
        <f t="shared" si="508"/>
        <v>اختتام</v>
      </c>
      <c r="AF1933" s="1" t="str">
        <f>""</f>
        <v/>
      </c>
      <c r="AG1933" s="1" t="str">
        <f>""</f>
        <v/>
      </c>
      <c r="AH1933" s="1" t="str">
        <f>""</f>
        <v/>
      </c>
      <c r="AI1933" s="1" t="str">
        <f>""</f>
        <v/>
      </c>
      <c r="AJ1933" s="1" t="str">
        <f>""</f>
        <v/>
      </c>
      <c r="AK1933" s="1" t="str">
        <f>""</f>
        <v/>
      </c>
    </row>
    <row r="1934" spans="1:37" x14ac:dyDescent="0.2">
      <c r="A1934" s="1">
        <v>297000</v>
      </c>
      <c r="B1934" s="1">
        <v>956200052</v>
      </c>
      <c r="C1934" s="1" t="str">
        <f>"تخليه-فارسان-چليچه-کارخانه آسفالت احمديه چليچه"</f>
        <v>تخليه-فارسان-چليچه-کارخانه آسفالت احمديه چليچه</v>
      </c>
      <c r="D1934" s="1">
        <v>5950</v>
      </c>
      <c r="E1934" s="1">
        <v>296900</v>
      </c>
      <c r="F1934" s="1">
        <v>95</v>
      </c>
      <c r="G1934" s="1">
        <v>100</v>
      </c>
      <c r="H1934" s="1" t="str">
        <f>"95/04/14"</f>
        <v>95/04/14</v>
      </c>
      <c r="I1934" s="1" t="str">
        <f t="shared" si="511"/>
        <v>كيلوگرم</v>
      </c>
      <c r="J1934" s="1" t="str">
        <f t="shared" si="509"/>
        <v>1000000002</v>
      </c>
      <c r="K1934" s="1" t="str">
        <f t="shared" si="510"/>
        <v>قير 85/100 - فله</v>
      </c>
      <c r="L1934" s="1">
        <v>100</v>
      </c>
      <c r="M1934" s="1" t="str">
        <f t="shared" si="517"/>
        <v>مخازن قير اصفهان</v>
      </c>
      <c r="N1934" s="1">
        <v>11112</v>
      </c>
      <c r="O1934" s="1">
        <v>50031200</v>
      </c>
      <c r="P1934" s="1" t="str">
        <f>"  ژرف کار پارس زاگرس"</f>
        <v xml:space="preserve">  ژرف کار پارس زاگرس</v>
      </c>
      <c r="Q1934" s="1">
        <v>62</v>
      </c>
      <c r="R1934" s="1" t="str">
        <f>"فروش داخلي - سازمان بنيادمسكن انقلاب اسلامي"</f>
        <v>فروش داخلي - سازمان بنيادمسكن انقلاب اسلامي</v>
      </c>
      <c r="S1934" s="1" t="str">
        <f t="shared" si="513"/>
        <v>قرارداد فروش</v>
      </c>
      <c r="T1934" s="1" t="str">
        <f t="shared" si="514"/>
        <v>ندارد</v>
      </c>
      <c r="U1934" s="1" t="str">
        <f>"قره باغي مجيد(1871065)"</f>
        <v>قره باغي مجيد(1871065)</v>
      </c>
      <c r="V1934" s="1">
        <v>956200052</v>
      </c>
      <c r="W1934" s="1">
        <v>956200052</v>
      </c>
      <c r="X1934" s="1" t="str">
        <f>"1395412856"</f>
        <v>1395412856</v>
      </c>
      <c r="Y1934" s="1" t="str">
        <f>"95/04/14"</f>
        <v>95/04/14</v>
      </c>
      <c r="Z1934" s="1" t="str">
        <f>"14227/د"</f>
        <v>14227/د</v>
      </c>
      <c r="AA1934" s="1" t="str">
        <f>"بنيادمسكن انقلاب اسلامي"</f>
        <v>بنيادمسكن انقلاب اسلامي</v>
      </c>
      <c r="AB1934" s="1" t="str">
        <f>"95/04/09"</f>
        <v>95/04/09</v>
      </c>
      <c r="AC1934" s="1" t="str">
        <f t="shared" si="518"/>
        <v>استان چهارمحال بختياري</v>
      </c>
      <c r="AD1934" s="1" t="str">
        <f>"95/04/13"</f>
        <v>95/04/13</v>
      </c>
      <c r="AE1934" s="1" t="str">
        <f t="shared" si="508"/>
        <v>اختتام</v>
      </c>
      <c r="AF1934" s="1" t="str">
        <f>""</f>
        <v/>
      </c>
      <c r="AG1934" s="1" t="str">
        <f>""</f>
        <v/>
      </c>
      <c r="AH1934" s="1" t="str">
        <f>""</f>
        <v/>
      </c>
      <c r="AI1934" s="1" t="str">
        <f>""</f>
        <v/>
      </c>
      <c r="AJ1934" s="1" t="str">
        <f>""</f>
        <v/>
      </c>
      <c r="AK1934" s="1" t="str">
        <f>""</f>
        <v/>
      </c>
    </row>
    <row r="1935" spans="1:37" x14ac:dyDescent="0.2">
      <c r="A1935" s="1">
        <v>94000</v>
      </c>
      <c r="B1935" s="1">
        <v>956200032</v>
      </c>
      <c r="C1935" s="1" t="str">
        <f>"تخليه-ناغان-بعداز پليس راه ناغان به شهرکرد-کارخانه آسفالت شيرواني"</f>
        <v>تخليه-ناغان-بعداز پليس راه ناغان به شهرکرد-کارخانه آسفالت شيرواني</v>
      </c>
      <c r="D1935" s="1">
        <v>5750</v>
      </c>
      <c r="E1935" s="1">
        <v>93940</v>
      </c>
      <c r="F1935" s="1">
        <v>95</v>
      </c>
      <c r="G1935" s="1">
        <v>60</v>
      </c>
      <c r="H1935" s="1" t="str">
        <f>"95/03/25"</f>
        <v>95/03/25</v>
      </c>
      <c r="I1935" s="1" t="str">
        <f t="shared" si="511"/>
        <v>كيلوگرم</v>
      </c>
      <c r="J1935" s="1" t="str">
        <f t="shared" si="509"/>
        <v>1000000002</v>
      </c>
      <c r="K1935" s="1" t="str">
        <f t="shared" si="510"/>
        <v>قير 85/100 - فله</v>
      </c>
      <c r="L1935" s="1">
        <v>100</v>
      </c>
      <c r="M1935" s="1" t="str">
        <f t="shared" si="517"/>
        <v>مخازن قير اصفهان</v>
      </c>
      <c r="N1935" s="1">
        <v>11114</v>
      </c>
      <c r="O1935" s="1">
        <v>50031039</v>
      </c>
      <c r="P1935" s="1" t="str">
        <f>"  فني مهندسي نوين سازه زاگرس ديناران"</f>
        <v xml:space="preserve">  فني مهندسي نوين سازه زاگرس ديناران</v>
      </c>
      <c r="Q1935" s="1">
        <v>62</v>
      </c>
      <c r="R1935" s="1" t="str">
        <f>"فروش داخلي - سازمان بنيادمسكن انقلاب اسلامي"</f>
        <v>فروش داخلي - سازمان بنيادمسكن انقلاب اسلامي</v>
      </c>
      <c r="S1935" s="1" t="str">
        <f t="shared" si="513"/>
        <v>قرارداد فروش</v>
      </c>
      <c r="T1935" s="1" t="str">
        <f t="shared" si="514"/>
        <v>ندارد</v>
      </c>
      <c r="U1935" s="1" t="str">
        <f>"قره باغي مجيد(1871065)"</f>
        <v>قره باغي مجيد(1871065)</v>
      </c>
      <c r="V1935" s="1">
        <v>956200032</v>
      </c>
      <c r="W1935" s="1">
        <v>956200032</v>
      </c>
      <c r="X1935" s="1" t="str">
        <f>"1395409196"</f>
        <v>1395409196</v>
      </c>
      <c r="Y1935" s="1" t="str">
        <f>"95/03/25"</f>
        <v>95/03/25</v>
      </c>
      <c r="Z1935" s="1" t="str">
        <f>"11472/د"</f>
        <v>11472/د</v>
      </c>
      <c r="AA1935" s="1" t="str">
        <f>"بنيادمسكن انقلاب اسلامي"</f>
        <v>بنيادمسكن انقلاب اسلامي</v>
      </c>
      <c r="AB1935" s="1" t="str">
        <f>"95/03/24"</f>
        <v>95/03/24</v>
      </c>
      <c r="AC1935" s="1" t="str">
        <f t="shared" si="518"/>
        <v>استان چهارمحال بختياري</v>
      </c>
      <c r="AD1935" s="1" t="str">
        <f>"95/03/25"</f>
        <v>95/03/25</v>
      </c>
      <c r="AE1935" s="1" t="str">
        <f t="shared" si="508"/>
        <v>اختتام</v>
      </c>
      <c r="AF1935" s="1" t="str">
        <f>""</f>
        <v/>
      </c>
      <c r="AG1935" s="1" t="str">
        <f>""</f>
        <v/>
      </c>
      <c r="AH1935" s="1" t="str">
        <f>""</f>
        <v/>
      </c>
      <c r="AI1935" s="1" t="str">
        <f>""</f>
        <v/>
      </c>
      <c r="AJ1935" s="1" t="str">
        <f>""</f>
        <v/>
      </c>
      <c r="AK1935" s="1" t="str">
        <f>""</f>
        <v/>
      </c>
    </row>
    <row r="1936" spans="1:37" x14ac:dyDescent="0.2">
      <c r="A1936" s="1">
        <v>164000</v>
      </c>
      <c r="B1936" s="1">
        <v>956200033</v>
      </c>
      <c r="C1936" s="1" t="str">
        <f>"تخليه-لردگان-فلارد-روستاي گنج-کارخانه آسفالت جانباز لردگان"</f>
        <v>تخليه-لردگان-فلارد-روستاي گنج-کارخانه آسفالت جانباز لردگان</v>
      </c>
      <c r="D1936" s="1">
        <v>5750</v>
      </c>
      <c r="E1936" s="1">
        <v>163480</v>
      </c>
      <c r="F1936" s="1">
        <v>95</v>
      </c>
      <c r="G1936" s="1">
        <v>520</v>
      </c>
      <c r="H1936" s="1" t="str">
        <f>"95/03/25"</f>
        <v>95/03/25</v>
      </c>
      <c r="I1936" s="1" t="str">
        <f t="shared" si="511"/>
        <v>كيلوگرم</v>
      </c>
      <c r="J1936" s="1" t="str">
        <f t="shared" si="509"/>
        <v>1000000002</v>
      </c>
      <c r="K1936" s="1" t="str">
        <f t="shared" si="510"/>
        <v>قير 85/100 - فله</v>
      </c>
      <c r="L1936" s="1">
        <v>100</v>
      </c>
      <c r="M1936" s="1" t="str">
        <f t="shared" si="517"/>
        <v>مخازن قير اصفهان</v>
      </c>
      <c r="N1936" s="1">
        <v>11115</v>
      </c>
      <c r="O1936" s="1">
        <v>50031040</v>
      </c>
      <c r="P1936" s="1" t="str">
        <f>"  فني مهندسي استحکام سازه ارمند"</f>
        <v xml:space="preserve">  فني مهندسي استحکام سازه ارمند</v>
      </c>
      <c r="Q1936" s="1">
        <v>62</v>
      </c>
      <c r="R1936" s="1" t="str">
        <f>"فروش داخلي - سازمان بنيادمسكن انقلاب اسلامي"</f>
        <v>فروش داخلي - سازمان بنيادمسكن انقلاب اسلامي</v>
      </c>
      <c r="S1936" s="1" t="str">
        <f t="shared" si="513"/>
        <v>قرارداد فروش</v>
      </c>
      <c r="T1936" s="1" t="str">
        <f t="shared" si="514"/>
        <v>ندارد</v>
      </c>
      <c r="U1936" s="1" t="str">
        <f>"قره باغي مجيد(1871065)"</f>
        <v>قره باغي مجيد(1871065)</v>
      </c>
      <c r="V1936" s="1">
        <v>956200033</v>
      </c>
      <c r="W1936" s="1">
        <v>956200033</v>
      </c>
      <c r="X1936" s="1" t="str">
        <f>"1395409196"</f>
        <v>1395409196</v>
      </c>
      <c r="Y1936" s="1" t="str">
        <f>"95/03/25"</f>
        <v>95/03/25</v>
      </c>
      <c r="Z1936" s="1" t="str">
        <f>"11474/د"</f>
        <v>11474/د</v>
      </c>
      <c r="AA1936" s="1" t="str">
        <f>"بنيادمسكن انقلاب اسلامي"</f>
        <v>بنيادمسكن انقلاب اسلامي</v>
      </c>
      <c r="AB1936" s="1" t="str">
        <f>"95/03/25"</f>
        <v>95/03/25</v>
      </c>
      <c r="AC1936" s="1" t="str">
        <f t="shared" si="518"/>
        <v>استان چهارمحال بختياري</v>
      </c>
      <c r="AD1936" s="1" t="str">
        <f>"95/03/25"</f>
        <v>95/03/25</v>
      </c>
      <c r="AE1936" s="1" t="str">
        <f t="shared" si="508"/>
        <v>اختتام</v>
      </c>
      <c r="AF1936" s="1" t="str">
        <f>""</f>
        <v/>
      </c>
      <c r="AG1936" s="1" t="str">
        <f>""</f>
        <v/>
      </c>
      <c r="AH1936" s="1" t="str">
        <f>""</f>
        <v/>
      </c>
      <c r="AI1936" s="1" t="str">
        <f>""</f>
        <v/>
      </c>
      <c r="AJ1936" s="1" t="str">
        <f>""</f>
        <v/>
      </c>
      <c r="AK1936" s="1" t="str">
        <f>""</f>
        <v/>
      </c>
    </row>
    <row r="1937" spans="1:37" x14ac:dyDescent="0.2">
      <c r="A1937" s="1">
        <v>88000</v>
      </c>
      <c r="B1937" s="1">
        <v>956200053</v>
      </c>
      <c r="C1937" s="1" t="str">
        <f>"تخليه- لردگان- فلارد-روستاي گنج-کارخانه آسفالت جانباز لردگان"</f>
        <v>تخليه- لردگان- فلارد-روستاي گنج-کارخانه آسفالت جانباز لردگان</v>
      </c>
      <c r="D1937" s="1">
        <v>5950</v>
      </c>
      <c r="E1937" s="1">
        <v>87580</v>
      </c>
      <c r="F1937" s="1">
        <v>95</v>
      </c>
      <c r="G1937" s="1">
        <v>420</v>
      </c>
      <c r="H1937" s="1" t="str">
        <f>"95/04/14"</f>
        <v>95/04/14</v>
      </c>
      <c r="I1937" s="1" t="str">
        <f t="shared" si="511"/>
        <v>كيلوگرم</v>
      </c>
      <c r="J1937" s="1" t="str">
        <f t="shared" si="509"/>
        <v>1000000002</v>
      </c>
      <c r="K1937" s="1" t="str">
        <f t="shared" si="510"/>
        <v>قير 85/100 - فله</v>
      </c>
      <c r="L1937" s="1">
        <v>100</v>
      </c>
      <c r="M1937" s="1" t="str">
        <f t="shared" si="517"/>
        <v>مخازن قير اصفهان</v>
      </c>
      <c r="N1937" s="1">
        <v>11133</v>
      </c>
      <c r="O1937" s="1">
        <v>50031201</v>
      </c>
      <c r="P1937" s="1" t="str">
        <f>"  راه و ساختمان ايمان بناي لردگان"</f>
        <v xml:space="preserve">  راه و ساختمان ايمان بناي لردگان</v>
      </c>
      <c r="Q1937" s="1">
        <v>62</v>
      </c>
      <c r="R1937" s="1" t="str">
        <f>"فروش داخلي - سازمان بنيادمسكن انقلاب اسلامي"</f>
        <v>فروش داخلي - سازمان بنيادمسكن انقلاب اسلامي</v>
      </c>
      <c r="S1937" s="1" t="str">
        <f t="shared" si="513"/>
        <v>قرارداد فروش</v>
      </c>
      <c r="T1937" s="1" t="str">
        <f t="shared" si="514"/>
        <v>ندارد</v>
      </c>
      <c r="U1937" s="1" t="str">
        <f>"قره باغي مجيد(1871065)"</f>
        <v>قره باغي مجيد(1871065)</v>
      </c>
      <c r="V1937" s="1">
        <v>956200053</v>
      </c>
      <c r="W1937" s="1">
        <v>956200053</v>
      </c>
      <c r="X1937" s="1" t="str">
        <f>"1395412856"</f>
        <v>1395412856</v>
      </c>
      <c r="Y1937" s="1" t="str">
        <f>"95/04/14"</f>
        <v>95/04/14</v>
      </c>
      <c r="Z1937" s="1" t="str">
        <f>"14224/د"</f>
        <v>14224/د</v>
      </c>
      <c r="AA1937" s="1" t="str">
        <f>"بنيادمسكن انقلاب اسلامي"</f>
        <v>بنيادمسكن انقلاب اسلامي</v>
      </c>
      <c r="AB1937" s="1" t="str">
        <f>"95/04/09"</f>
        <v>95/04/09</v>
      </c>
      <c r="AC1937" s="1" t="str">
        <f t="shared" si="518"/>
        <v>استان چهارمحال بختياري</v>
      </c>
      <c r="AD1937" s="1" t="str">
        <f>"95/04/13"</f>
        <v>95/04/13</v>
      </c>
      <c r="AE1937" s="1" t="str">
        <f t="shared" si="508"/>
        <v>اختتام</v>
      </c>
      <c r="AF1937" s="1" t="str">
        <f>""</f>
        <v/>
      </c>
      <c r="AG1937" s="1" t="str">
        <f>""</f>
        <v/>
      </c>
      <c r="AH1937" s="1" t="str">
        <f>""</f>
        <v/>
      </c>
      <c r="AI1937" s="1" t="str">
        <f>""</f>
        <v/>
      </c>
      <c r="AJ1937" s="1" t="str">
        <f>""</f>
        <v/>
      </c>
      <c r="AK1937" s="1" t="str">
        <f>""</f>
        <v/>
      </c>
    </row>
    <row r="1938" spans="1:37" x14ac:dyDescent="0.2">
      <c r="A1938" s="1">
        <v>105000</v>
      </c>
      <c r="B1938" s="1">
        <v>956200056</v>
      </c>
      <c r="C1938" s="1" t="str">
        <f>"تخليه-شهرکرد-کارخانه آسفالت شرکت زرين استحکام-بعداز تونل اصفهان شهرکرد"</f>
        <v>تخليه-شهرکرد-کارخانه آسفالت شرکت زرين استحکام-بعداز تونل اصفهان شهرکرد</v>
      </c>
      <c r="D1938" s="1">
        <v>5950</v>
      </c>
      <c r="E1938" s="1">
        <v>104720</v>
      </c>
      <c r="F1938" s="1">
        <v>95</v>
      </c>
      <c r="G1938" s="1">
        <v>280</v>
      </c>
      <c r="H1938" s="1" t="str">
        <f>"95/04/15"</f>
        <v>95/04/15</v>
      </c>
      <c r="I1938" s="1" t="str">
        <f t="shared" si="511"/>
        <v>كيلوگرم</v>
      </c>
      <c r="J1938" s="1" t="str">
        <f t="shared" si="509"/>
        <v>1000000002</v>
      </c>
      <c r="K1938" s="1" t="str">
        <f t="shared" si="510"/>
        <v>قير 85/100 - فله</v>
      </c>
      <c r="L1938" s="1">
        <v>100</v>
      </c>
      <c r="M1938" s="1" t="str">
        <f t="shared" si="517"/>
        <v>مخازن قير اصفهان</v>
      </c>
      <c r="N1938" s="1">
        <v>11134</v>
      </c>
      <c r="O1938" s="1">
        <v>50031208</v>
      </c>
      <c r="P1938" s="1" t="str">
        <f>"  آژينه سازه زاگرس"</f>
        <v xml:space="preserve">  آژينه سازه زاگرس</v>
      </c>
      <c r="Q1938" s="1">
        <v>62</v>
      </c>
      <c r="R1938" s="1" t="str">
        <f>"فروش داخلي - سازمان بنيادمسكن انقلاب اسلامي"</f>
        <v>فروش داخلي - سازمان بنيادمسكن انقلاب اسلامي</v>
      </c>
      <c r="S1938" s="1" t="str">
        <f t="shared" si="513"/>
        <v>قرارداد فروش</v>
      </c>
      <c r="T1938" s="1" t="str">
        <f t="shared" si="514"/>
        <v>ندارد</v>
      </c>
      <c r="U1938" s="1" t="str">
        <f>"قره باغي مجيد(1871065)"</f>
        <v>قره باغي مجيد(1871065)</v>
      </c>
      <c r="V1938" s="1">
        <v>956200056</v>
      </c>
      <c r="W1938" s="1">
        <v>956200056</v>
      </c>
      <c r="X1938" s="1" t="str">
        <f>"1395413315"</f>
        <v>1395413315</v>
      </c>
      <c r="Y1938" s="1" t="str">
        <f>"95/04/15"</f>
        <v>95/04/15</v>
      </c>
      <c r="Z1938" s="1" t="str">
        <f>"14956/د"</f>
        <v>14956/د</v>
      </c>
      <c r="AA1938" s="1" t="str">
        <f>"بنيادمسكن انقلاب اسلامي"</f>
        <v>بنيادمسكن انقلاب اسلامي</v>
      </c>
      <c r="AB1938" s="1" t="str">
        <f>"95/04/14"</f>
        <v>95/04/14</v>
      </c>
      <c r="AC1938" s="1" t="str">
        <f t="shared" si="518"/>
        <v>استان چهارمحال بختياري</v>
      </c>
      <c r="AD1938" s="1" t="str">
        <f>"95/04/15"</f>
        <v>95/04/15</v>
      </c>
      <c r="AE1938" s="1" t="str">
        <f t="shared" si="508"/>
        <v>اختتام</v>
      </c>
      <c r="AF1938" s="1" t="str">
        <f>""</f>
        <v/>
      </c>
      <c r="AG1938" s="1" t="str">
        <f>""</f>
        <v/>
      </c>
      <c r="AH1938" s="1" t="str">
        <f>""</f>
        <v/>
      </c>
      <c r="AI1938" s="1" t="str">
        <f>""</f>
        <v/>
      </c>
      <c r="AJ1938" s="1" t="str">
        <f>""</f>
        <v/>
      </c>
      <c r="AK1938" s="1" t="str">
        <f>""</f>
        <v/>
      </c>
    </row>
    <row r="1939" spans="1:37" x14ac:dyDescent="0.2">
      <c r="A1939" s="1">
        <v>76000</v>
      </c>
      <c r="B1939" s="1">
        <v>952000208</v>
      </c>
      <c r="C1939" s="1" t="str">
        <f>"تخليه چهارمحال وبختياري شهركردناغان نرسيده به تونل شركت اتحادوآسفالتكاران"</f>
        <v>تخليه چهارمحال وبختياري شهركردناغان نرسيده به تونل شركت اتحادوآسفالتكاران</v>
      </c>
      <c r="D1939" s="1">
        <v>8023</v>
      </c>
      <c r="E1939" s="1">
        <v>75700</v>
      </c>
      <c r="F1939" s="1">
        <v>95</v>
      </c>
      <c r="G1939" s="1">
        <v>300</v>
      </c>
      <c r="H1939" s="1" t="str">
        <f>"95/08/16"</f>
        <v>95/08/16</v>
      </c>
      <c r="I1939" s="1" t="str">
        <f t="shared" si="511"/>
        <v>كيلوگرم</v>
      </c>
      <c r="J1939" s="1" t="str">
        <f t="shared" si="509"/>
        <v>1000000002</v>
      </c>
      <c r="K1939" s="1" t="str">
        <f t="shared" si="510"/>
        <v>قير 85/100 - فله</v>
      </c>
      <c r="L1939" s="1">
        <v>100</v>
      </c>
      <c r="M1939" s="1" t="str">
        <f t="shared" si="517"/>
        <v>مخازن قير اصفهان</v>
      </c>
      <c r="N1939" s="1">
        <v>11152</v>
      </c>
      <c r="O1939" s="1">
        <v>50032516</v>
      </c>
      <c r="P1939" s="1" t="str">
        <f>"  شهرداري ناغان"</f>
        <v xml:space="preserve">  شهرداري ناغان</v>
      </c>
      <c r="Q1939" s="1">
        <v>20</v>
      </c>
      <c r="R1939" s="1" t="str">
        <f>"فروش داخلي - سازمان شهرداري ها و دهياري هاي كشور"</f>
        <v>فروش داخلي - سازمان شهرداري ها و دهياري هاي كشور</v>
      </c>
      <c r="S1939" s="1" t="str">
        <f t="shared" si="513"/>
        <v>قرارداد فروش</v>
      </c>
      <c r="T1939" s="1" t="str">
        <f t="shared" si="514"/>
        <v>ندارد</v>
      </c>
      <c r="U1939" s="1" t="str">
        <f>"سيفي پور گودرز(1019ج89)"</f>
        <v>سيفي پور گودرز(1019ج89)</v>
      </c>
      <c r="V1939" s="1">
        <v>952000208</v>
      </c>
      <c r="W1939" s="1">
        <v>952000208</v>
      </c>
      <c r="X1939" s="1" t="str">
        <f>"1395443205"</f>
        <v>1395443205</v>
      </c>
      <c r="Y1939" s="1" t="str">
        <f>"95/08/16"</f>
        <v>95/08/16</v>
      </c>
      <c r="Z1939" s="1" t="str">
        <f>"39508"</f>
        <v>39508</v>
      </c>
      <c r="AA1939" s="1" t="str">
        <f>"شهرداريها"</f>
        <v>شهرداريها</v>
      </c>
      <c r="AB1939" s="1" t="str">
        <f>"95/08/11"</f>
        <v>95/08/11</v>
      </c>
      <c r="AC1939" s="1" t="str">
        <f t="shared" si="518"/>
        <v>استان چهارمحال بختياري</v>
      </c>
      <c r="AD1939" s="1" t="str">
        <f>"95/08/15"</f>
        <v>95/08/15</v>
      </c>
      <c r="AE1939" s="1" t="str">
        <f t="shared" si="508"/>
        <v>اختتام</v>
      </c>
      <c r="AF1939" s="1" t="str">
        <f>""</f>
        <v/>
      </c>
      <c r="AG1939" s="1" t="str">
        <f>""</f>
        <v/>
      </c>
      <c r="AH1939" s="1" t="str">
        <f>""</f>
        <v/>
      </c>
      <c r="AI1939" s="1" t="str">
        <f>""</f>
        <v/>
      </c>
      <c r="AJ1939" s="1" t="str">
        <f>""</f>
        <v/>
      </c>
      <c r="AK1939" s="1" t="str">
        <f>""</f>
        <v/>
      </c>
    </row>
    <row r="1940" spans="1:37" x14ac:dyDescent="0.2">
      <c r="A1940" s="1">
        <v>73000</v>
      </c>
      <c r="B1940" s="1">
        <v>952000028</v>
      </c>
      <c r="C1940" s="1" t="str">
        <f>"تخليه -چهارمحال وبختياري -شهركردهفشجان نوآباد"</f>
        <v>تخليه -چهارمحال وبختياري -شهركردهفشجان نوآباد</v>
      </c>
      <c r="D1940" s="1">
        <v>6426</v>
      </c>
      <c r="E1940" s="1">
        <v>71680</v>
      </c>
      <c r="F1940" s="1">
        <v>95</v>
      </c>
      <c r="G1940" s="1">
        <v>1320</v>
      </c>
      <c r="H1940" s="1" t="str">
        <f>"95/05/27"</f>
        <v>95/05/27</v>
      </c>
      <c r="I1940" s="1" t="str">
        <f t="shared" si="511"/>
        <v>كيلوگرم</v>
      </c>
      <c r="J1940" s="1" t="str">
        <f t="shared" si="509"/>
        <v>1000000002</v>
      </c>
      <c r="K1940" s="1" t="str">
        <f t="shared" si="510"/>
        <v>قير 85/100 - فله</v>
      </c>
      <c r="L1940" s="1">
        <v>100</v>
      </c>
      <c r="M1940" s="1" t="str">
        <f t="shared" si="517"/>
        <v>مخازن قير اصفهان</v>
      </c>
      <c r="N1940" s="1">
        <v>11153</v>
      </c>
      <c r="O1940" s="1">
        <v>50031578</v>
      </c>
      <c r="P1940" s="1" t="str">
        <f>"  شهرداري هاروني"</f>
        <v xml:space="preserve">  شهرداري هاروني</v>
      </c>
      <c r="Q1940" s="1">
        <v>20</v>
      </c>
      <c r="R1940" s="1" t="str">
        <f>"فروش داخلي - سازمان شهرداري ها و دهياري هاي كشور"</f>
        <v>فروش داخلي - سازمان شهرداري ها و دهياري هاي كشور</v>
      </c>
      <c r="S1940" s="1" t="str">
        <f t="shared" si="513"/>
        <v>قرارداد فروش</v>
      </c>
      <c r="T1940" s="1" t="str">
        <f t="shared" si="514"/>
        <v>ندارد</v>
      </c>
      <c r="U1940" s="1" t="str">
        <f>"قره باغي مجيد(1871065)"</f>
        <v>قره باغي مجيد(1871065)</v>
      </c>
      <c r="V1940" s="1">
        <v>952000028</v>
      </c>
      <c r="W1940" s="1">
        <v>952000028</v>
      </c>
      <c r="X1940" s="1" t="str">
        <f>"1395423681"</f>
        <v>1395423681</v>
      </c>
      <c r="Y1940" s="1" t="str">
        <f>"95/05/25"</f>
        <v>95/05/25</v>
      </c>
      <c r="Z1940" s="1" t="str">
        <f>"19206"</f>
        <v>19206</v>
      </c>
      <c r="AA1940" s="1" t="str">
        <f>"شهرداريها"</f>
        <v>شهرداريها</v>
      </c>
      <c r="AB1940" s="1" t="str">
        <f>"95/05/04"</f>
        <v>95/05/04</v>
      </c>
      <c r="AC1940" s="1" t="str">
        <f t="shared" si="518"/>
        <v>استان چهارمحال بختياري</v>
      </c>
      <c r="AD1940" s="1" t="str">
        <f>"95/05/24"</f>
        <v>95/05/24</v>
      </c>
      <c r="AE1940" s="1" t="str">
        <f t="shared" si="508"/>
        <v>اختتام</v>
      </c>
      <c r="AF1940" s="1" t="str">
        <f>""</f>
        <v/>
      </c>
      <c r="AG1940" s="1" t="str">
        <f>""</f>
        <v/>
      </c>
      <c r="AH1940" s="1" t="str">
        <f>""</f>
        <v/>
      </c>
      <c r="AI1940" s="1" t="str">
        <f>""</f>
        <v/>
      </c>
      <c r="AJ1940" s="1" t="str">
        <f>""</f>
        <v/>
      </c>
      <c r="AK1940" s="1" t="str">
        <f>""</f>
        <v/>
      </c>
    </row>
    <row r="1941" spans="1:37" x14ac:dyDescent="0.2">
      <c r="A1941" s="1">
        <v>111000</v>
      </c>
      <c r="B1941" s="1">
        <v>952000008</v>
      </c>
      <c r="C1941" s="1" t="str">
        <f>"تخليه -چهارمحال وبختياري فارسان گوجان كيلومتر2جاده بيدگل كارخانه آسفالت رضايي"</f>
        <v>تخليه -چهارمحال وبختياري فارسان گوجان كيلومتر2جاده بيدگل كارخانه آسفالت رضايي</v>
      </c>
      <c r="D1941" s="1">
        <v>6426</v>
      </c>
      <c r="E1941" s="1">
        <v>110780</v>
      </c>
      <c r="F1941" s="1">
        <v>95</v>
      </c>
      <c r="G1941" s="1">
        <v>220</v>
      </c>
      <c r="H1941" s="1" t="str">
        <f>"95/05/25"</f>
        <v>95/05/25</v>
      </c>
      <c r="I1941" s="1" t="str">
        <f t="shared" si="511"/>
        <v>كيلوگرم</v>
      </c>
      <c r="J1941" s="1" t="str">
        <f t="shared" si="509"/>
        <v>1000000002</v>
      </c>
      <c r="K1941" s="1" t="str">
        <f t="shared" si="510"/>
        <v>قير 85/100 - فله</v>
      </c>
      <c r="L1941" s="1">
        <v>100</v>
      </c>
      <c r="M1941" s="1" t="str">
        <f t="shared" si="517"/>
        <v>مخازن قير اصفهان</v>
      </c>
      <c r="N1941" s="1">
        <v>11157</v>
      </c>
      <c r="O1941" s="1">
        <v>50031543</v>
      </c>
      <c r="P1941" s="1" t="str">
        <f>"  شهرداري سورشجان"</f>
        <v xml:space="preserve">  شهرداري سورشجان</v>
      </c>
      <c r="Q1941" s="1">
        <v>20</v>
      </c>
      <c r="R1941" s="1" t="str">
        <f>"فروش داخلي - سازمان شهرداري ها و دهياري هاي كشور"</f>
        <v>فروش داخلي - سازمان شهرداري ها و دهياري هاي كشور</v>
      </c>
      <c r="S1941" s="1" t="str">
        <f t="shared" si="513"/>
        <v>قرارداد فروش</v>
      </c>
      <c r="T1941" s="1" t="str">
        <f t="shared" si="514"/>
        <v>ندارد</v>
      </c>
      <c r="U1941" s="1" t="str">
        <f>"سيفي پور گودرز(1019ج89)"</f>
        <v>سيفي پور گودرز(1019ج89)</v>
      </c>
      <c r="V1941" s="1">
        <v>952000008</v>
      </c>
      <c r="W1941" s="1">
        <v>952000008</v>
      </c>
      <c r="X1941" s="1" t="str">
        <f>"1395423681"</f>
        <v>1395423681</v>
      </c>
      <c r="Y1941" s="1" t="str">
        <f>"95/05/24"</f>
        <v>95/05/24</v>
      </c>
      <c r="Z1941" s="1" t="str">
        <f>"18460"</f>
        <v>18460</v>
      </c>
      <c r="AA1941" s="1" t="str">
        <f>"شهرداريها"</f>
        <v>شهرداريها</v>
      </c>
      <c r="AB1941" s="1" t="str">
        <f>"95/05/02"</f>
        <v>95/05/02</v>
      </c>
      <c r="AC1941" s="1" t="str">
        <f t="shared" si="518"/>
        <v>استان چهارمحال بختياري</v>
      </c>
      <c r="AD1941" s="1" t="str">
        <f>"95/05/24"</f>
        <v>95/05/24</v>
      </c>
      <c r="AE1941" s="1" t="str">
        <f t="shared" si="508"/>
        <v>اختتام</v>
      </c>
      <c r="AF1941" s="1" t="str">
        <f>""</f>
        <v/>
      </c>
      <c r="AG1941" s="1" t="str">
        <f>""</f>
        <v/>
      </c>
      <c r="AH1941" s="1" t="str">
        <f>""</f>
        <v/>
      </c>
      <c r="AI1941" s="1" t="str">
        <f>""</f>
        <v/>
      </c>
      <c r="AJ1941" s="1" t="str">
        <f>""</f>
        <v/>
      </c>
      <c r="AK1941" s="1" t="str">
        <f>""</f>
        <v/>
      </c>
    </row>
    <row r="1942" spans="1:37" x14ac:dyDescent="0.2">
      <c r="A1942" s="1">
        <v>272000</v>
      </c>
      <c r="B1942" s="1">
        <v>956200111</v>
      </c>
      <c r="C1942" s="1" t="str">
        <f>"تخليه - چهارمحال و بختياري-شهرکرد-هفشجان-کارخانه آسفالت سازمان همياري شهرداريهاي استان"</f>
        <v>تخليه - چهارمحال و بختياري-شهرکرد-هفشجان-کارخانه آسفالت سازمان همياري شهرداريهاي استان</v>
      </c>
      <c r="D1942" s="1">
        <v>8861</v>
      </c>
      <c r="E1942" s="1">
        <v>271460</v>
      </c>
      <c r="F1942" s="1">
        <v>95</v>
      </c>
      <c r="G1942" s="1">
        <v>540</v>
      </c>
      <c r="H1942" s="1" t="str">
        <f>"95/10/05"</f>
        <v>95/10/05</v>
      </c>
      <c r="I1942" s="1" t="str">
        <f t="shared" si="511"/>
        <v>كيلوگرم</v>
      </c>
      <c r="J1942" s="1" t="str">
        <f t="shared" si="509"/>
        <v>1000000002</v>
      </c>
      <c r="K1942" s="1" t="str">
        <f t="shared" si="510"/>
        <v>قير 85/100 - فله</v>
      </c>
      <c r="L1942" s="1">
        <v>100</v>
      </c>
      <c r="M1942" s="1" t="str">
        <f t="shared" si="517"/>
        <v>مخازن قير اصفهان</v>
      </c>
      <c r="N1942" s="1">
        <v>11223</v>
      </c>
      <c r="O1942" s="1">
        <v>50033148</v>
      </c>
      <c r="P1942" s="1" t="str">
        <f>"  مهرساخت جنوب"</f>
        <v xml:space="preserve">  مهرساخت جنوب</v>
      </c>
      <c r="Q1942" s="1">
        <v>62</v>
      </c>
      <c r="R1942" s="1" t="str">
        <f t="shared" ref="R1942:R1949" si="519">"فروش داخلي - سازمان بنيادمسكن انقلاب اسلامي"</f>
        <v>فروش داخلي - سازمان بنيادمسكن انقلاب اسلامي</v>
      </c>
      <c r="S1942" s="1" t="str">
        <f t="shared" si="513"/>
        <v>قرارداد فروش</v>
      </c>
      <c r="T1942" s="1" t="str">
        <f t="shared" si="514"/>
        <v>ندارد</v>
      </c>
      <c r="U1942" s="1" t="str">
        <f>"قره باغي مجيد(1871065)"</f>
        <v>قره باغي مجيد(1871065)</v>
      </c>
      <c r="V1942" s="1">
        <v>956200111</v>
      </c>
      <c r="W1942" s="1">
        <v>956200111</v>
      </c>
      <c r="X1942" s="1" t="str">
        <f>"1395454457"</f>
        <v>1395454457</v>
      </c>
      <c r="Y1942" s="1" t="str">
        <f>"95/10/05"</f>
        <v>95/10/05</v>
      </c>
      <c r="Z1942" s="1" t="str">
        <f>"40317/د"</f>
        <v>40317/د</v>
      </c>
      <c r="AA1942" s="1" t="str">
        <f t="shared" ref="AA1942:AA1949" si="520">"بنيادمسكن انقلاب اسلامي"</f>
        <v>بنيادمسكن انقلاب اسلامي</v>
      </c>
      <c r="AB1942" s="1" t="str">
        <f>"95/09/23"</f>
        <v>95/09/23</v>
      </c>
      <c r="AC1942" s="1" t="str">
        <f t="shared" si="518"/>
        <v>استان چهارمحال بختياري</v>
      </c>
      <c r="AD1942" s="1" t="str">
        <f>"95/10/05"</f>
        <v>95/10/05</v>
      </c>
      <c r="AE1942" s="1" t="str">
        <f t="shared" si="508"/>
        <v>اختتام</v>
      </c>
      <c r="AF1942" s="1" t="str">
        <f>""</f>
        <v/>
      </c>
      <c r="AG1942" s="1" t="str">
        <f>""</f>
        <v/>
      </c>
      <c r="AH1942" s="1" t="str">
        <f>""</f>
        <v/>
      </c>
      <c r="AI1942" s="1" t="str">
        <f>""</f>
        <v/>
      </c>
      <c r="AJ1942" s="1" t="str">
        <f>""</f>
        <v/>
      </c>
      <c r="AK1942" s="1" t="str">
        <f>""</f>
        <v/>
      </c>
    </row>
    <row r="1943" spans="1:37" x14ac:dyDescent="0.2">
      <c r="A1943" s="1">
        <v>159000</v>
      </c>
      <c r="B1943" s="1">
        <v>956200187</v>
      </c>
      <c r="C1943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1943" s="1">
        <v>9361</v>
      </c>
      <c r="E1943" s="1">
        <v>159000</v>
      </c>
      <c r="F1943" s="1">
        <v>95</v>
      </c>
      <c r="G1943" s="1">
        <v>0</v>
      </c>
      <c r="H1943" s="1" t="str">
        <f>"95/11/13"</f>
        <v>95/11/13</v>
      </c>
      <c r="I1943" s="1" t="str">
        <f t="shared" si="511"/>
        <v>كيلوگرم</v>
      </c>
      <c r="J1943" s="1" t="str">
        <f t="shared" si="509"/>
        <v>1000000002</v>
      </c>
      <c r="K1943" s="1" t="str">
        <f t="shared" si="510"/>
        <v>قير 85/100 - فله</v>
      </c>
      <c r="L1943" s="1">
        <v>100</v>
      </c>
      <c r="M1943" s="1" t="str">
        <f t="shared" si="517"/>
        <v>مخازن قير اصفهان</v>
      </c>
      <c r="N1943" s="1">
        <v>11237</v>
      </c>
      <c r="O1943" s="1">
        <v>50033577</v>
      </c>
      <c r="P1943" s="1" t="str">
        <f>"  بنياد مسکن انقلاب اسلامي زنجان"</f>
        <v xml:space="preserve">  بنياد مسکن انقلاب اسلامي زنجان</v>
      </c>
      <c r="Q1943" s="1">
        <v>62</v>
      </c>
      <c r="R1943" s="1" t="str">
        <f t="shared" si="519"/>
        <v>فروش داخلي - سازمان بنيادمسكن انقلاب اسلامي</v>
      </c>
      <c r="S1943" s="1" t="str">
        <f t="shared" si="513"/>
        <v>قرارداد فروش</v>
      </c>
      <c r="T1943" s="1" t="str">
        <f t="shared" si="514"/>
        <v>ندارد</v>
      </c>
      <c r="U1943" s="1" t="str">
        <f>"آخوندي احمد(1841051)"</f>
        <v>آخوندي احمد(1841051)</v>
      </c>
      <c r="V1943" s="1">
        <v>956200187</v>
      </c>
      <c r="W1943" s="1">
        <v>956200187</v>
      </c>
      <c r="X1943" s="1" t="str">
        <f>"1395461991"</f>
        <v>1395461991</v>
      </c>
      <c r="Y1943" s="1" t="str">
        <f>"95/11/13"</f>
        <v>95/11/13</v>
      </c>
      <c r="Z1943" s="1" t="str">
        <f>"48782/د"</f>
        <v>48782/د</v>
      </c>
      <c r="AA1943" s="1" t="str">
        <f t="shared" si="520"/>
        <v>بنيادمسكن انقلاب اسلامي</v>
      </c>
      <c r="AB1943" s="1" t="str">
        <f>"95/11/11"</f>
        <v>95/11/11</v>
      </c>
      <c r="AC1943" s="1" t="str">
        <f>"استان زنجان"</f>
        <v>استان زنجان</v>
      </c>
      <c r="AD1943" s="1" t="str">
        <f>"95/11/12"</f>
        <v>95/11/12</v>
      </c>
      <c r="AE1943" s="1" t="str">
        <f t="shared" si="508"/>
        <v>اختتام</v>
      </c>
      <c r="AF1943" s="1" t="str">
        <f>""</f>
        <v/>
      </c>
      <c r="AG1943" s="1" t="str">
        <f>""</f>
        <v/>
      </c>
      <c r="AH1943" s="1" t="str">
        <f>""</f>
        <v/>
      </c>
      <c r="AI1943" s="1" t="str">
        <f>""</f>
        <v/>
      </c>
      <c r="AJ1943" s="1" t="str">
        <f>""</f>
        <v/>
      </c>
      <c r="AK1943" s="1" t="str">
        <f>""</f>
        <v/>
      </c>
    </row>
    <row r="1944" spans="1:37" x14ac:dyDescent="0.2">
      <c r="A1944" s="1">
        <v>130000</v>
      </c>
      <c r="B1944" s="1">
        <v>956200247</v>
      </c>
      <c r="C1944" s="1" t="str">
        <f>"تخليه - کردستان-بيجار - کارخانه آسفالت زرده کمر"</f>
        <v>تخليه - کردستان-بيجار - کارخانه آسفالت زرده کمر</v>
      </c>
      <c r="D1944" s="1">
        <v>9361</v>
      </c>
      <c r="E1944" s="1">
        <v>129660</v>
      </c>
      <c r="F1944" s="1">
        <v>95</v>
      </c>
      <c r="G1944" s="1">
        <v>340</v>
      </c>
      <c r="H1944" s="1" t="str">
        <f>"95/11/27"</f>
        <v>95/11/27</v>
      </c>
      <c r="I1944" s="1" t="str">
        <f t="shared" si="511"/>
        <v>كيلوگرم</v>
      </c>
      <c r="J1944" s="1" t="str">
        <f t="shared" si="509"/>
        <v>1000000002</v>
      </c>
      <c r="K1944" s="1" t="str">
        <f t="shared" si="510"/>
        <v>قير 85/100 - فله</v>
      </c>
      <c r="L1944" s="1">
        <v>100</v>
      </c>
      <c r="M1944" s="1" t="str">
        <f t="shared" si="517"/>
        <v>مخازن قير اصفهان</v>
      </c>
      <c r="N1944" s="1">
        <v>11242</v>
      </c>
      <c r="O1944" s="1">
        <v>50033780</v>
      </c>
      <c r="P1944" s="1" t="str">
        <f>"  پاليز راه نوين ماد"</f>
        <v xml:space="preserve">  پاليز راه نوين ماد</v>
      </c>
      <c r="Q1944" s="1">
        <v>62</v>
      </c>
      <c r="R1944" s="1" t="str">
        <f t="shared" si="519"/>
        <v>فروش داخلي - سازمان بنيادمسكن انقلاب اسلامي</v>
      </c>
      <c r="S1944" s="1" t="str">
        <f t="shared" si="513"/>
        <v>قرارداد فروش</v>
      </c>
      <c r="T1944" s="1" t="str">
        <f t="shared" si="514"/>
        <v>ندارد</v>
      </c>
      <c r="U1944" s="1" t="str">
        <f>"حاجيلوئي علي اصغر(2842019)"</f>
        <v>حاجيلوئي علي اصغر(2842019)</v>
      </c>
      <c r="V1944" s="1">
        <v>956200247</v>
      </c>
      <c r="W1944" s="1">
        <v>956200247</v>
      </c>
      <c r="X1944" s="1" t="str">
        <f>"1395465844"</f>
        <v>1395465844</v>
      </c>
      <c r="Y1944" s="1" t="str">
        <f>"95/11/27"</f>
        <v>95/11/27</v>
      </c>
      <c r="Z1944" s="1" t="str">
        <f>"51505/د"</f>
        <v>51505/د</v>
      </c>
      <c r="AA1944" s="1" t="str">
        <f t="shared" si="520"/>
        <v>بنيادمسكن انقلاب اسلامي</v>
      </c>
      <c r="AB1944" s="1" t="str">
        <f>"95/11/26"</f>
        <v>95/11/26</v>
      </c>
      <c r="AC1944" s="1" t="str">
        <f>"استان كردستان"</f>
        <v>استان كردستان</v>
      </c>
      <c r="AD1944" s="1" t="str">
        <f>"95/11/27"</f>
        <v>95/11/27</v>
      </c>
      <c r="AE1944" s="1" t="str">
        <f t="shared" si="508"/>
        <v>اختتام</v>
      </c>
      <c r="AF1944" s="1" t="str">
        <f>""</f>
        <v/>
      </c>
      <c r="AG1944" s="1" t="str">
        <f>""</f>
        <v/>
      </c>
      <c r="AH1944" s="1" t="str">
        <f>""</f>
        <v/>
      </c>
      <c r="AI1944" s="1" t="str">
        <f>""</f>
        <v/>
      </c>
      <c r="AJ1944" s="1" t="str">
        <f>""</f>
        <v/>
      </c>
      <c r="AK1944" s="1" t="str">
        <f>""</f>
        <v/>
      </c>
    </row>
    <row r="1945" spans="1:37" x14ac:dyDescent="0.2">
      <c r="A1945" s="1">
        <v>165000</v>
      </c>
      <c r="B1945" s="1">
        <v>956200214</v>
      </c>
      <c r="C1945" s="1" t="str">
        <f>"تخليه - کردستان - سه راه مريوان -کارخانه آسفالت قشلاق"</f>
        <v>تخليه - کردستان - سه راه مريوان -کارخانه آسفالت قشلاق</v>
      </c>
      <c r="D1945" s="1">
        <v>9361</v>
      </c>
      <c r="E1945" s="1">
        <v>162500</v>
      </c>
      <c r="F1945" s="1">
        <v>95</v>
      </c>
      <c r="G1945" s="1">
        <v>2500</v>
      </c>
      <c r="H1945" s="1" t="str">
        <f>"95/11/20"</f>
        <v>95/11/20</v>
      </c>
      <c r="I1945" s="1" t="str">
        <f t="shared" si="511"/>
        <v>كيلوگرم</v>
      </c>
      <c r="J1945" s="1" t="str">
        <f t="shared" si="509"/>
        <v>1000000002</v>
      </c>
      <c r="K1945" s="1" t="str">
        <f t="shared" si="510"/>
        <v>قير 85/100 - فله</v>
      </c>
      <c r="L1945" s="1">
        <v>100</v>
      </c>
      <c r="M1945" s="1" t="str">
        <f t="shared" si="517"/>
        <v>مخازن قير اصفهان</v>
      </c>
      <c r="N1945" s="1">
        <v>11243</v>
      </c>
      <c r="O1945" s="1">
        <v>50033651</v>
      </c>
      <c r="P1945" s="1" t="str">
        <f>"  عرش گستران کامياب"</f>
        <v xml:space="preserve">  عرش گستران کامياب</v>
      </c>
      <c r="Q1945" s="1">
        <v>62</v>
      </c>
      <c r="R1945" s="1" t="str">
        <f t="shared" si="519"/>
        <v>فروش داخلي - سازمان بنيادمسكن انقلاب اسلامي</v>
      </c>
      <c r="S1945" s="1" t="str">
        <f t="shared" si="513"/>
        <v>قرارداد فروش</v>
      </c>
      <c r="T1945" s="1" t="str">
        <f t="shared" si="514"/>
        <v>ندارد</v>
      </c>
      <c r="U1945" s="1" t="str">
        <f>"قنبري امين(2872037)"</f>
        <v>قنبري امين(2872037)</v>
      </c>
      <c r="V1945" s="1">
        <v>956200214</v>
      </c>
      <c r="W1945" s="1">
        <v>956200214</v>
      </c>
      <c r="X1945" s="1" t="str">
        <f>"1395464205"</f>
        <v>1395464205</v>
      </c>
      <c r="Y1945" s="1" t="str">
        <f>"95/11/20"</f>
        <v>95/11/20</v>
      </c>
      <c r="Z1945" s="1" t="str">
        <f>"50206/د"</f>
        <v>50206/د</v>
      </c>
      <c r="AA1945" s="1" t="str">
        <f t="shared" si="520"/>
        <v>بنيادمسكن انقلاب اسلامي</v>
      </c>
      <c r="AB1945" s="1" t="str">
        <f>"95/11/19"</f>
        <v>95/11/19</v>
      </c>
      <c r="AC1945" s="1" t="str">
        <f>"استان كردستان"</f>
        <v>استان كردستان</v>
      </c>
      <c r="AD1945" s="1" t="str">
        <f>"95/11/20"</f>
        <v>95/11/20</v>
      </c>
      <c r="AE1945" s="1" t="str">
        <f t="shared" si="508"/>
        <v>اختتام</v>
      </c>
      <c r="AF1945" s="1" t="str">
        <f>""</f>
        <v/>
      </c>
      <c r="AG1945" s="1" t="str">
        <f>""</f>
        <v/>
      </c>
      <c r="AH1945" s="1" t="str">
        <f>""</f>
        <v/>
      </c>
      <c r="AI1945" s="1" t="str">
        <f>""</f>
        <v/>
      </c>
      <c r="AJ1945" s="1" t="str">
        <f>""</f>
        <v/>
      </c>
      <c r="AK1945" s="1" t="str">
        <f>""</f>
        <v/>
      </c>
    </row>
    <row r="1946" spans="1:37" x14ac:dyDescent="0.2">
      <c r="A1946" s="1">
        <v>130000</v>
      </c>
      <c r="B1946" s="1">
        <v>956200220</v>
      </c>
      <c r="C1946" s="1" t="str">
        <f>"تخليه اردبيل كيلومتر15جاده مشكين شهرسه راهي قره قيه كارخانه آسفالت عمراني ايل يولي"</f>
        <v>تخليه اردبيل كيلومتر15جاده مشكين شهرسه راهي قره قيه كارخانه آسفالت عمراني ايل يولي</v>
      </c>
      <c r="D1946" s="1">
        <v>9361</v>
      </c>
      <c r="E1946" s="1">
        <v>130000</v>
      </c>
      <c r="F1946" s="1">
        <v>95</v>
      </c>
      <c r="G1946" s="1">
        <v>0</v>
      </c>
      <c r="H1946" s="1" t="str">
        <f>"95/11/23"</f>
        <v>95/11/23</v>
      </c>
      <c r="I1946" s="1" t="str">
        <f t="shared" si="511"/>
        <v>كيلوگرم</v>
      </c>
      <c r="J1946" s="1" t="str">
        <f t="shared" si="509"/>
        <v>1000000002</v>
      </c>
      <c r="K1946" s="1" t="str">
        <f t="shared" si="510"/>
        <v>قير 85/100 - فله</v>
      </c>
      <c r="L1946" s="1">
        <v>100</v>
      </c>
      <c r="M1946" s="1" t="str">
        <f t="shared" si="517"/>
        <v>مخازن قير اصفهان</v>
      </c>
      <c r="N1946" s="1">
        <v>11250</v>
      </c>
      <c r="O1946" s="1">
        <v>50033659</v>
      </c>
      <c r="P1946" s="1" t="str">
        <f>"  خدمات عمران ائل يولي اردبيل"</f>
        <v xml:space="preserve">  خدمات عمران ائل يولي اردبيل</v>
      </c>
      <c r="Q1946" s="1">
        <v>62</v>
      </c>
      <c r="R1946" s="1" t="str">
        <f t="shared" si="519"/>
        <v>فروش داخلي - سازمان بنيادمسكن انقلاب اسلامي</v>
      </c>
      <c r="S1946" s="1" t="str">
        <f t="shared" si="513"/>
        <v>قرارداد فروش</v>
      </c>
      <c r="T1946" s="1" t="str">
        <f t="shared" si="514"/>
        <v>ندارد</v>
      </c>
      <c r="U1946" s="1" t="str">
        <f>"علافي اسكويي محمد تقي(3843004)"</f>
        <v>علافي اسكويي محمد تقي(3843004)</v>
      </c>
      <c r="V1946" s="1">
        <v>956200220</v>
      </c>
      <c r="W1946" s="1">
        <v>956200220</v>
      </c>
      <c r="X1946" s="1" t="str">
        <f>"1395464205"</f>
        <v>1395464205</v>
      </c>
      <c r="Y1946" s="1" t="str">
        <f>"95/11/23"</f>
        <v>95/11/23</v>
      </c>
      <c r="Z1946" s="1" t="str">
        <f>"50209/د"</f>
        <v>50209/د</v>
      </c>
      <c r="AA1946" s="1" t="str">
        <f t="shared" si="520"/>
        <v>بنيادمسكن انقلاب اسلامي</v>
      </c>
      <c r="AB1946" s="1" t="str">
        <f>"95/11/19"</f>
        <v>95/11/19</v>
      </c>
      <c r="AC1946" s="1" t="str">
        <f>"استان اردبيل"</f>
        <v>استان اردبيل</v>
      </c>
      <c r="AD1946" s="1" t="str">
        <f>"95/11/20"</f>
        <v>95/11/20</v>
      </c>
      <c r="AE1946" s="1" t="str">
        <f t="shared" si="508"/>
        <v>اختتام</v>
      </c>
      <c r="AF1946" s="1" t="str">
        <f>""</f>
        <v/>
      </c>
      <c r="AG1946" s="1" t="str">
        <f>""</f>
        <v/>
      </c>
      <c r="AH1946" s="1" t="str">
        <f>""</f>
        <v/>
      </c>
      <c r="AI1946" s="1" t="str">
        <f>""</f>
        <v/>
      </c>
      <c r="AJ1946" s="1" t="str">
        <f>""</f>
        <v/>
      </c>
      <c r="AK1946" s="1" t="str">
        <f>""</f>
        <v/>
      </c>
    </row>
    <row r="1947" spans="1:37" x14ac:dyDescent="0.2">
      <c r="A1947" s="1">
        <v>215000</v>
      </c>
      <c r="B1947" s="1">
        <v>956200224</v>
      </c>
      <c r="C1947" s="1" t="str">
        <f>"تخليه اردبيل كيلومتر15جاده مشكين شهرسه راهي قره قيه كارخانه آسفالت عمراني ايل يولي"</f>
        <v>تخليه اردبيل كيلومتر15جاده مشكين شهرسه راهي قره قيه كارخانه آسفالت عمراني ايل يولي</v>
      </c>
      <c r="D1947" s="1">
        <v>9361</v>
      </c>
      <c r="E1947" s="1">
        <v>215000</v>
      </c>
      <c r="F1947" s="1">
        <v>95</v>
      </c>
      <c r="G1947" s="1">
        <v>0</v>
      </c>
      <c r="H1947" s="1" t="str">
        <f>"95/11/24"</f>
        <v>95/11/24</v>
      </c>
      <c r="I1947" s="1" t="str">
        <f t="shared" si="511"/>
        <v>كيلوگرم</v>
      </c>
      <c r="J1947" s="1" t="str">
        <f t="shared" si="509"/>
        <v>1000000002</v>
      </c>
      <c r="K1947" s="1" t="str">
        <f t="shared" si="510"/>
        <v>قير 85/100 - فله</v>
      </c>
      <c r="L1947" s="1">
        <v>100</v>
      </c>
      <c r="M1947" s="1" t="str">
        <f t="shared" si="517"/>
        <v>مخازن قير اصفهان</v>
      </c>
      <c r="N1947" s="1">
        <v>11250</v>
      </c>
      <c r="O1947" s="1">
        <v>50033690</v>
      </c>
      <c r="P1947" s="1" t="str">
        <f>"  خدمات عمران ائل يولي اردبيل"</f>
        <v xml:space="preserve">  خدمات عمران ائل يولي اردبيل</v>
      </c>
      <c r="Q1947" s="1">
        <v>62</v>
      </c>
      <c r="R1947" s="1" t="str">
        <f t="shared" si="519"/>
        <v>فروش داخلي - سازمان بنيادمسكن انقلاب اسلامي</v>
      </c>
      <c r="S1947" s="1" t="str">
        <f t="shared" si="513"/>
        <v>قرارداد فروش</v>
      </c>
      <c r="T1947" s="1" t="str">
        <f t="shared" si="514"/>
        <v>ندارد</v>
      </c>
      <c r="U1947" s="1" t="str">
        <f>"علافي اسكويي محمد تقي(3843004)"</f>
        <v>علافي اسكويي محمد تقي(3843004)</v>
      </c>
      <c r="V1947" s="1">
        <v>956200224</v>
      </c>
      <c r="W1947" s="1">
        <v>956200224</v>
      </c>
      <c r="X1947" s="1" t="str">
        <f>"1395464205"</f>
        <v>1395464205</v>
      </c>
      <c r="Y1947" s="1" t="str">
        <f>"95/11/24"</f>
        <v>95/11/24</v>
      </c>
      <c r="Z1947" s="1" t="str">
        <f>"50220/د"</f>
        <v>50220/د</v>
      </c>
      <c r="AA1947" s="1" t="str">
        <f t="shared" si="520"/>
        <v>بنيادمسكن انقلاب اسلامي</v>
      </c>
      <c r="AB1947" s="1" t="str">
        <f>"95/11/19"</f>
        <v>95/11/19</v>
      </c>
      <c r="AC1947" s="1" t="str">
        <f>"استان اردبيل"</f>
        <v>استان اردبيل</v>
      </c>
      <c r="AD1947" s="1" t="str">
        <f>"95/11/20"</f>
        <v>95/11/20</v>
      </c>
      <c r="AE1947" s="1" t="str">
        <f t="shared" ref="AE1947:AE1963" si="521">"اختتام"</f>
        <v>اختتام</v>
      </c>
      <c r="AF1947" s="1" t="str">
        <f>""</f>
        <v/>
      </c>
      <c r="AG1947" s="1" t="str">
        <f>""</f>
        <v/>
      </c>
      <c r="AH1947" s="1" t="str">
        <f>""</f>
        <v/>
      </c>
      <c r="AI1947" s="1" t="str">
        <f>""</f>
        <v/>
      </c>
      <c r="AJ1947" s="1" t="str">
        <f>""</f>
        <v/>
      </c>
      <c r="AK1947" s="1" t="str">
        <f>""</f>
        <v/>
      </c>
    </row>
    <row r="1948" spans="1:37" x14ac:dyDescent="0.2">
      <c r="A1948" s="1">
        <v>15000</v>
      </c>
      <c r="B1948" s="1">
        <v>956200303</v>
      </c>
      <c r="C1948" s="1" t="str">
        <f>"تخليه - کردستان - کيلومتر 5 جاده ديواندره سنندج-کارخانه آسفالت سرچنارراه"</f>
        <v>تخليه - کردستان - کيلومتر 5 جاده ديواندره سنندج-کارخانه آسفالت سرچنارراه</v>
      </c>
      <c r="D1948" s="1">
        <v>8848</v>
      </c>
      <c r="E1948" s="1">
        <v>14360</v>
      </c>
      <c r="F1948" s="1">
        <v>95</v>
      </c>
      <c r="G1948" s="1">
        <v>640</v>
      </c>
      <c r="H1948" s="1" t="str">
        <f>"95/12/09"</f>
        <v>95/12/09</v>
      </c>
      <c r="I1948" s="1" t="str">
        <f t="shared" si="511"/>
        <v>كيلوگرم</v>
      </c>
      <c r="J1948" s="1" t="str">
        <f t="shared" si="509"/>
        <v>1000000002</v>
      </c>
      <c r="K1948" s="1" t="str">
        <f t="shared" si="510"/>
        <v>قير 85/100 - فله</v>
      </c>
      <c r="L1948" s="1">
        <v>100</v>
      </c>
      <c r="M1948" s="1" t="str">
        <f t="shared" si="517"/>
        <v>مخازن قير اصفهان</v>
      </c>
      <c r="N1948" s="1">
        <v>11280</v>
      </c>
      <c r="O1948" s="1">
        <v>50033908</v>
      </c>
      <c r="P1948" s="1" t="str">
        <f>"  چيدمان سازه گستر آريا"</f>
        <v xml:space="preserve">  چيدمان سازه گستر آريا</v>
      </c>
      <c r="Q1948" s="1">
        <v>62</v>
      </c>
      <c r="R1948" s="1" t="str">
        <f t="shared" si="519"/>
        <v>فروش داخلي - سازمان بنيادمسكن انقلاب اسلامي</v>
      </c>
      <c r="S1948" s="1" t="str">
        <f t="shared" si="513"/>
        <v>قرارداد فروش</v>
      </c>
      <c r="T1948" s="1" t="str">
        <f t="shared" si="514"/>
        <v>ندارد</v>
      </c>
      <c r="U1948" s="1" t="str">
        <f>"قنبري امين(2872037)"</f>
        <v>قنبري امين(2872037)</v>
      </c>
      <c r="V1948" s="1">
        <v>956200303</v>
      </c>
      <c r="W1948" s="1">
        <v>956200303</v>
      </c>
      <c r="X1948" s="1" t="str">
        <f>"1395467744"</f>
        <v>1395467744</v>
      </c>
      <c r="Y1948" s="1" t="str">
        <f>"95/12/09"</f>
        <v>95/12/09</v>
      </c>
      <c r="Z1948" s="1" t="str">
        <f>"53777/د"</f>
        <v>53777/د</v>
      </c>
      <c r="AA1948" s="1" t="str">
        <f t="shared" si="520"/>
        <v>بنيادمسكن انقلاب اسلامي</v>
      </c>
      <c r="AB1948" s="1" t="str">
        <f>"95/12/07"</f>
        <v>95/12/07</v>
      </c>
      <c r="AC1948" s="1" t="str">
        <f>"استان كردستان"</f>
        <v>استان كردستان</v>
      </c>
      <c r="AD1948" s="1" t="str">
        <f>"95/12/08"</f>
        <v>95/12/08</v>
      </c>
      <c r="AE1948" s="1" t="str">
        <f t="shared" si="521"/>
        <v>اختتام</v>
      </c>
      <c r="AF1948" s="1" t="str">
        <f>""</f>
        <v/>
      </c>
      <c r="AG1948" s="1" t="str">
        <f>""</f>
        <v/>
      </c>
      <c r="AH1948" s="1" t="str">
        <f>""</f>
        <v/>
      </c>
      <c r="AI1948" s="1" t="str">
        <f>""</f>
        <v/>
      </c>
      <c r="AJ1948" s="1" t="str">
        <f>""</f>
        <v/>
      </c>
      <c r="AK1948" s="1" t="str">
        <f>""</f>
        <v/>
      </c>
    </row>
    <row r="1949" spans="1:37" x14ac:dyDescent="0.2">
      <c r="A1949" s="1">
        <v>22000</v>
      </c>
      <c r="B1949" s="1">
        <v>956200162</v>
      </c>
      <c r="C1949" s="1" t="str">
        <f>"تخليه-جاده سيمان سپاهان- خ يازدهم-منطقه صنعتي اشترجان"</f>
        <v>تخليه-جاده سيمان سپاهان- خ يازدهم-منطقه صنعتي اشترجان</v>
      </c>
      <c r="D1949" s="1">
        <v>12507</v>
      </c>
      <c r="E1949" s="1">
        <v>22000</v>
      </c>
      <c r="F1949" s="1">
        <v>95</v>
      </c>
      <c r="G1949" s="1">
        <v>0</v>
      </c>
      <c r="H1949" s="1" t="str">
        <f>"95/10/23"</f>
        <v>95/10/23</v>
      </c>
      <c r="I1949" s="1" t="str">
        <f t="shared" si="511"/>
        <v>كيلوگرم</v>
      </c>
      <c r="J1949" s="1" t="str">
        <f t="shared" ref="J1949:J1966" si="522">"1000000003"</f>
        <v>1000000003</v>
      </c>
      <c r="K1949" s="1" t="str">
        <f t="shared" ref="K1949:K1966" si="523">"قير MC250"</f>
        <v>قير MC250</v>
      </c>
      <c r="L1949" s="1">
        <v>100</v>
      </c>
      <c r="M1949" s="1" t="str">
        <f t="shared" si="517"/>
        <v>مخازن قير اصفهان</v>
      </c>
      <c r="N1949" s="1">
        <v>1002</v>
      </c>
      <c r="O1949" s="1">
        <v>50033383</v>
      </c>
      <c r="P1949" s="1" t="str">
        <f>"  راه آژند"</f>
        <v xml:space="preserve">  راه آژند</v>
      </c>
      <c r="Q1949" s="1">
        <v>62</v>
      </c>
      <c r="R1949" s="1" t="str">
        <f t="shared" si="519"/>
        <v>فروش داخلي - سازمان بنيادمسكن انقلاب اسلامي</v>
      </c>
      <c r="S1949" s="1" t="str">
        <f t="shared" si="513"/>
        <v>قرارداد فروش</v>
      </c>
      <c r="T1949" s="1" t="str">
        <f t="shared" si="514"/>
        <v>ندارد</v>
      </c>
      <c r="U1949" s="1" t="str">
        <f>"سيفي پور عبدالمجيد(1009ج89)"</f>
        <v>سيفي پور عبدالمجيد(1009ج89)</v>
      </c>
      <c r="V1949" s="1">
        <v>956200162</v>
      </c>
      <c r="W1949" s="1">
        <v>956200162</v>
      </c>
      <c r="X1949" s="1" t="str">
        <f>"1395457939"</f>
        <v>1395457939</v>
      </c>
      <c r="Y1949" s="1" t="str">
        <f>"95/10/23"</f>
        <v>95/10/23</v>
      </c>
      <c r="Z1949" s="1" t="str">
        <f>"44843/د"</f>
        <v>44843/د</v>
      </c>
      <c r="AA1949" s="1" t="str">
        <f t="shared" si="520"/>
        <v>بنيادمسكن انقلاب اسلامي</v>
      </c>
      <c r="AB1949" s="1" t="str">
        <f>"95/10/20"</f>
        <v>95/10/20</v>
      </c>
      <c r="AC1949" s="1" t="str">
        <f>"استان اصفهان"</f>
        <v>استان اصفهان</v>
      </c>
      <c r="AD1949" s="1" t="str">
        <f>"95/10/22"</f>
        <v>95/10/22</v>
      </c>
      <c r="AE1949" s="1" t="str">
        <f t="shared" si="521"/>
        <v>اختتام</v>
      </c>
      <c r="AF1949" s="1" t="str">
        <f>""</f>
        <v/>
      </c>
      <c r="AG1949" s="1" t="str">
        <f>""</f>
        <v/>
      </c>
      <c r="AH1949" s="1" t="str">
        <f>""</f>
        <v/>
      </c>
      <c r="AI1949" s="1" t="str">
        <f>""</f>
        <v/>
      </c>
      <c r="AJ1949" s="1" t="str">
        <f>""</f>
        <v/>
      </c>
      <c r="AK1949" s="1" t="str">
        <f>""</f>
        <v/>
      </c>
    </row>
    <row r="1950" spans="1:37" x14ac:dyDescent="0.2">
      <c r="A1950" s="1">
        <v>120000</v>
      </c>
      <c r="B1950" s="1">
        <v>951400044</v>
      </c>
      <c r="C1950" s="1" t="str">
        <f>"تخليه-خراسان جنوبي-اداره راه وشهرسازي شهرستان قاين"</f>
        <v>تخليه-خراسان جنوبي-اداره راه وشهرسازي شهرستان قاين</v>
      </c>
      <c r="D1950" s="1">
        <v>9980</v>
      </c>
      <c r="E1950" s="1">
        <v>116320</v>
      </c>
      <c r="F1950" s="1">
        <v>95</v>
      </c>
      <c r="G1950" s="1">
        <v>3680</v>
      </c>
      <c r="H1950" s="1" t="str">
        <f>"95/04/28"</f>
        <v>95/04/28</v>
      </c>
      <c r="I1950" s="1" t="str">
        <f t="shared" si="511"/>
        <v>كيلوگرم</v>
      </c>
      <c r="J1950" s="1" t="str">
        <f t="shared" si="522"/>
        <v>1000000003</v>
      </c>
      <c r="K1950" s="1" t="str">
        <f t="shared" si="523"/>
        <v>قير MC250</v>
      </c>
      <c r="L1950" s="1">
        <v>100</v>
      </c>
      <c r="M1950" s="1" t="str">
        <f t="shared" si="517"/>
        <v>مخازن قير اصفهان</v>
      </c>
      <c r="N1950" s="1">
        <v>4012</v>
      </c>
      <c r="O1950" s="1">
        <v>50031310</v>
      </c>
      <c r="P1950" s="1" t="str">
        <f>"  اداره كل راه و شهرسازي خراسان جنوبي"</f>
        <v xml:space="preserve">  اداره كل راه و شهرسازي خراسان جنوبي</v>
      </c>
      <c r="Q1950" s="1">
        <v>14</v>
      </c>
      <c r="R1950" s="1" t="str">
        <f>"فروش داخلي - وزارت راه - حوزه راه روستايي ساخت"</f>
        <v>فروش داخلي - وزارت راه - حوزه راه روستايي ساخت</v>
      </c>
      <c r="S1950" s="1" t="str">
        <f t="shared" si="513"/>
        <v>قرارداد فروش</v>
      </c>
      <c r="T1950" s="1" t="str">
        <f t="shared" si="514"/>
        <v>ندارد</v>
      </c>
      <c r="U1950" s="1" t="str">
        <f>"مظفري مرتضي(4844023)"</f>
        <v>مظفري مرتضي(4844023)</v>
      </c>
      <c r="V1950" s="1">
        <v>951400044</v>
      </c>
      <c r="W1950" s="1">
        <v>951400044</v>
      </c>
      <c r="X1950" s="1" t="str">
        <f>"1395416200"</f>
        <v>1395416200</v>
      </c>
      <c r="Y1950" s="1" t="str">
        <f>"95/04/28"</f>
        <v>95/04/28</v>
      </c>
      <c r="Z1950" s="1" t="str">
        <f>"17854/510"</f>
        <v>17854/510</v>
      </c>
      <c r="AA1950" s="1" t="str">
        <f>"راه وروستايي -ساخت"</f>
        <v>راه وروستايي -ساخت</v>
      </c>
      <c r="AB1950" s="1" t="str">
        <f>"95/04/26"</f>
        <v>95/04/26</v>
      </c>
      <c r="AC1950" s="1" t="str">
        <f>"خراسان جنوبي"</f>
        <v>خراسان جنوبي</v>
      </c>
      <c r="AD1950" s="1" t="str">
        <f>"95/04/28"</f>
        <v>95/04/28</v>
      </c>
      <c r="AE1950" s="1" t="str">
        <f t="shared" si="521"/>
        <v>اختتام</v>
      </c>
      <c r="AF1950" s="1" t="str">
        <f>""</f>
        <v/>
      </c>
      <c r="AG1950" s="1" t="str">
        <f>""</f>
        <v/>
      </c>
      <c r="AH1950" s="1" t="str">
        <f>""</f>
        <v/>
      </c>
      <c r="AI1950" s="1" t="str">
        <f>""</f>
        <v/>
      </c>
      <c r="AJ1950" s="1" t="str">
        <f>""</f>
        <v/>
      </c>
      <c r="AK1950" s="1" t="str">
        <f>""</f>
        <v/>
      </c>
    </row>
    <row r="1951" spans="1:37" x14ac:dyDescent="0.2">
      <c r="A1951" s="1">
        <v>340000</v>
      </c>
      <c r="B1951" s="1">
        <v>951400059</v>
      </c>
      <c r="C1951" s="1" t="str">
        <f>"تخليه -خراسان جنوبي -كارخانه آسفالت راه وشهرسازي خراسان جنوبي"</f>
        <v>تخليه -خراسان جنوبي -كارخانه آسفالت راه وشهرسازي خراسان جنوبي</v>
      </c>
      <c r="D1951" s="1">
        <v>10200</v>
      </c>
      <c r="E1951" s="1">
        <v>334580</v>
      </c>
      <c r="F1951" s="1">
        <v>95</v>
      </c>
      <c r="G1951" s="1">
        <v>5420</v>
      </c>
      <c r="H1951" s="1" t="str">
        <f>"95/05/24"</f>
        <v>95/05/24</v>
      </c>
      <c r="I1951" s="1" t="str">
        <f t="shared" si="511"/>
        <v>كيلوگرم</v>
      </c>
      <c r="J1951" s="1" t="str">
        <f t="shared" si="522"/>
        <v>1000000003</v>
      </c>
      <c r="K1951" s="1" t="str">
        <f t="shared" si="523"/>
        <v>قير MC250</v>
      </c>
      <c r="L1951" s="1">
        <v>100</v>
      </c>
      <c r="M1951" s="1" t="str">
        <f t="shared" si="517"/>
        <v>مخازن قير اصفهان</v>
      </c>
      <c r="N1951" s="1">
        <v>4012</v>
      </c>
      <c r="O1951" s="1">
        <v>50031516</v>
      </c>
      <c r="P1951" s="1" t="str">
        <f>"  اداره كل راه و شهرسازي خراسان جنوبي"</f>
        <v xml:space="preserve">  اداره كل راه و شهرسازي خراسان جنوبي</v>
      </c>
      <c r="Q1951" s="1">
        <v>14</v>
      </c>
      <c r="R1951" s="1" t="str">
        <f>"فروش داخلي - وزارت راه - حوزه راه روستايي ساخت"</f>
        <v>فروش داخلي - وزارت راه - حوزه راه روستايي ساخت</v>
      </c>
      <c r="S1951" s="1" t="str">
        <f t="shared" si="513"/>
        <v>قرارداد فروش</v>
      </c>
      <c r="T1951" s="1" t="str">
        <f t="shared" si="514"/>
        <v>ندارد</v>
      </c>
      <c r="U1951" s="1" t="str">
        <f>"بابامحمدي عنايت اله(4844000)"</f>
        <v>بابامحمدي عنايت اله(4844000)</v>
      </c>
      <c r="V1951" s="1">
        <v>951400059</v>
      </c>
      <c r="W1951" s="1">
        <v>951400059</v>
      </c>
      <c r="X1951" s="1" t="str">
        <f>"1395423485"</f>
        <v>1395423485</v>
      </c>
      <c r="Y1951" s="1" t="str">
        <f>"95/05/24"</f>
        <v>95/05/24</v>
      </c>
      <c r="Z1951" s="1" t="str">
        <f>"22308/510"</f>
        <v>22308/510</v>
      </c>
      <c r="AA1951" s="1" t="str">
        <f>"راه وروستايي -ساخت"</f>
        <v>راه وروستايي -ساخت</v>
      </c>
      <c r="AB1951" s="1" t="str">
        <f>"95/05/18"</f>
        <v>95/05/18</v>
      </c>
      <c r="AC1951" s="1" t="str">
        <f>"خراسان جنوبي"</f>
        <v>خراسان جنوبي</v>
      </c>
      <c r="AD1951" s="1" t="str">
        <f>"95/05/23"</f>
        <v>95/05/23</v>
      </c>
      <c r="AE1951" s="1" t="str">
        <f t="shared" si="521"/>
        <v>اختتام</v>
      </c>
      <c r="AF1951" s="1" t="str">
        <f>""</f>
        <v/>
      </c>
      <c r="AG1951" s="1" t="str">
        <f>""</f>
        <v/>
      </c>
      <c r="AH1951" s="1" t="str">
        <f>""</f>
        <v/>
      </c>
      <c r="AI1951" s="1" t="str">
        <f>""</f>
        <v/>
      </c>
      <c r="AJ1951" s="1" t="str">
        <f>""</f>
        <v/>
      </c>
      <c r="AK1951" s="1" t="str">
        <f>""</f>
        <v/>
      </c>
    </row>
    <row r="1952" spans="1:37" x14ac:dyDescent="0.2">
      <c r="A1952" s="1">
        <v>60000</v>
      </c>
      <c r="B1952" s="1">
        <v>951100104</v>
      </c>
      <c r="C1952" s="1" t="str">
        <f>"تخليه رفسنجان كارخانه آسفالت شهرداري رفسنجان"</f>
        <v>تخليه رفسنجان كارخانه آسفالت شهرداري رفسنجان</v>
      </c>
      <c r="D1952" s="1">
        <v>10200</v>
      </c>
      <c r="E1952" s="1">
        <v>59480</v>
      </c>
      <c r="F1952" s="1">
        <v>95</v>
      </c>
      <c r="G1952" s="1">
        <v>520</v>
      </c>
      <c r="H1952" s="1" t="str">
        <f>"95/05/25"</f>
        <v>95/05/25</v>
      </c>
      <c r="I1952" s="1" t="str">
        <f t="shared" si="511"/>
        <v>كيلوگرم</v>
      </c>
      <c r="J1952" s="1" t="str">
        <f t="shared" si="522"/>
        <v>1000000003</v>
      </c>
      <c r="K1952" s="1" t="str">
        <f t="shared" si="523"/>
        <v>قير MC250</v>
      </c>
      <c r="L1952" s="1">
        <v>100</v>
      </c>
      <c r="M1952" s="1" t="str">
        <f t="shared" si="517"/>
        <v>مخازن قير اصفهان</v>
      </c>
      <c r="N1952" s="1">
        <v>4059</v>
      </c>
      <c r="O1952" s="1">
        <v>50031535</v>
      </c>
      <c r="P1952" s="1" t="str">
        <f>"  شهرداري رفسنجان(00113)"</f>
        <v xml:space="preserve">  شهرداري رفسنجان(00113)</v>
      </c>
      <c r="Q1952" s="1">
        <v>11</v>
      </c>
      <c r="R1952" s="1" t="str">
        <f>"فروش داخلي تهران - بورس"</f>
        <v>فروش داخلي تهران - بورس</v>
      </c>
      <c r="S1952" s="1" t="str">
        <f t="shared" si="513"/>
        <v>قرارداد فروش</v>
      </c>
      <c r="T1952" s="1" t="str">
        <f t="shared" si="514"/>
        <v>ندارد</v>
      </c>
      <c r="U1952" s="1" t="str">
        <f>"خضرائي فريدون(4844003)"</f>
        <v>خضرائي فريدون(4844003)</v>
      </c>
      <c r="V1952" s="1">
        <v>951100104</v>
      </c>
      <c r="W1952" s="1">
        <v>951100104</v>
      </c>
      <c r="X1952" s="1" t="str">
        <f>"1395423483"</f>
        <v>1395423483</v>
      </c>
      <c r="Y1952" s="1" t="str">
        <f>"95/05/24"</f>
        <v>95/05/24</v>
      </c>
      <c r="Z1952" s="1" t="str">
        <f>"95-34544"</f>
        <v>95-34544</v>
      </c>
      <c r="AA1952" s="1" t="str">
        <f>"شهرداريها"</f>
        <v>شهرداريها</v>
      </c>
      <c r="AB1952" s="1" t="str">
        <f>"95/05/24"</f>
        <v>95/05/24</v>
      </c>
      <c r="AC1952" s="1" t="str">
        <f>"استان كرمان"</f>
        <v>استان كرمان</v>
      </c>
      <c r="AD1952" s="1" t="str">
        <f>"95/05/23"</f>
        <v>95/05/23</v>
      </c>
      <c r="AE1952" s="1" t="str">
        <f t="shared" si="521"/>
        <v>اختتام</v>
      </c>
      <c r="AF1952" s="1" t="str">
        <f>""</f>
        <v/>
      </c>
      <c r="AG1952" s="1" t="str">
        <f>""</f>
        <v/>
      </c>
      <c r="AH1952" s="1" t="str">
        <f>""</f>
        <v/>
      </c>
      <c r="AI1952" s="1" t="str">
        <f>""</f>
        <v/>
      </c>
      <c r="AJ1952" s="1" t="str">
        <f>""</f>
        <v/>
      </c>
      <c r="AK1952" s="1" t="str">
        <f>""</f>
        <v/>
      </c>
    </row>
    <row r="1953" spans="1:37" x14ac:dyDescent="0.2">
      <c r="A1953" s="1">
        <v>25000</v>
      </c>
      <c r="B1953" s="1">
        <v>951100171</v>
      </c>
      <c r="C1953" s="1" t="str">
        <f>"يزد-تفت -كيلومتر5-شركت ناورود"</f>
        <v>يزد-تفت -كيلومتر5-شركت ناورود</v>
      </c>
      <c r="D1953" s="1">
        <v>12507</v>
      </c>
      <c r="E1953" s="1">
        <v>24180</v>
      </c>
      <c r="F1953" s="1">
        <v>95</v>
      </c>
      <c r="G1953" s="1">
        <v>820</v>
      </c>
      <c r="H1953" s="1" t="str">
        <f>"95/10/12"</f>
        <v>95/10/12</v>
      </c>
      <c r="I1953" s="1" t="str">
        <f t="shared" si="511"/>
        <v>كيلوگرم</v>
      </c>
      <c r="J1953" s="1" t="str">
        <f t="shared" si="522"/>
        <v>1000000003</v>
      </c>
      <c r="K1953" s="1" t="str">
        <f t="shared" si="523"/>
        <v>قير MC250</v>
      </c>
      <c r="L1953" s="1">
        <v>100</v>
      </c>
      <c r="M1953" s="1" t="str">
        <f t="shared" si="517"/>
        <v>مخازن قير اصفهان</v>
      </c>
      <c r="N1953" s="1">
        <v>4062</v>
      </c>
      <c r="O1953" s="1">
        <v>50033235</v>
      </c>
      <c r="P1953" s="1" t="str">
        <f>"  ناورود"</f>
        <v xml:space="preserve">  ناورود</v>
      </c>
      <c r="Q1953" s="1">
        <v>11</v>
      </c>
      <c r="R1953" s="1" t="str">
        <f>"فروش داخلي تهران - بورس"</f>
        <v>فروش داخلي تهران - بورس</v>
      </c>
      <c r="S1953" s="1" t="str">
        <f t="shared" si="513"/>
        <v>قرارداد فروش</v>
      </c>
      <c r="T1953" s="1" t="str">
        <f t="shared" si="514"/>
        <v>ندارد</v>
      </c>
      <c r="U1953" s="1" t="str">
        <f>"فتاح زاده سيداحمد(3843011)"</f>
        <v>فتاح زاده سيداحمد(3843011)</v>
      </c>
      <c r="V1953" s="1">
        <v>951100171</v>
      </c>
      <c r="W1953" s="1">
        <v>951100171</v>
      </c>
      <c r="X1953" s="1" t="str">
        <f>"1395456106"</f>
        <v>1395456106</v>
      </c>
      <c r="Y1953" s="1" t="str">
        <f>"95/10/11"</f>
        <v>95/10/11</v>
      </c>
      <c r="Z1953" s="1" t="str">
        <f>"95-203-1721"</f>
        <v>95-203-1721</v>
      </c>
      <c r="AA1953" s="1" t="str">
        <f>"وزارت راه و ترابري-استانها"</f>
        <v>وزارت راه و ترابري-استانها</v>
      </c>
      <c r="AB1953" s="1" t="str">
        <f>"95/10/02"</f>
        <v>95/10/02</v>
      </c>
      <c r="AC1953" s="1" t="str">
        <f>"استان يزد"</f>
        <v>استان يزد</v>
      </c>
      <c r="AD1953" s="1" t="str">
        <f>"95/10/11"</f>
        <v>95/10/11</v>
      </c>
      <c r="AE1953" s="1" t="str">
        <f t="shared" si="521"/>
        <v>اختتام</v>
      </c>
      <c r="AF1953" s="1" t="str">
        <f>""</f>
        <v/>
      </c>
      <c r="AG1953" s="1" t="str">
        <f>""</f>
        <v/>
      </c>
      <c r="AH1953" s="1" t="str">
        <f>""</f>
        <v/>
      </c>
      <c r="AI1953" s="1" t="str">
        <f>""</f>
        <v/>
      </c>
      <c r="AJ1953" s="1" t="str">
        <f>""</f>
        <v/>
      </c>
      <c r="AK1953" s="1" t="str">
        <f>""</f>
        <v/>
      </c>
    </row>
    <row r="1954" spans="1:37" x14ac:dyDescent="0.2">
      <c r="A1954" s="1">
        <v>351000</v>
      </c>
      <c r="B1954" s="1">
        <v>951400006</v>
      </c>
      <c r="C1954" s="1" t="str">
        <f>"تخليه -سيستان وبلوچستان اداره راه وشهرسازي شهرستان جالق"</f>
        <v>تخليه -سيستان وبلوچستان اداره راه وشهرسازي شهرستان جالق</v>
      </c>
      <c r="D1954" s="1">
        <v>9324</v>
      </c>
      <c r="E1954" s="1">
        <v>344740</v>
      </c>
      <c r="F1954" s="1">
        <v>95</v>
      </c>
      <c r="G1954" s="1">
        <v>6260</v>
      </c>
      <c r="H1954" s="1" t="str">
        <f>"95/02/11"</f>
        <v>95/02/11</v>
      </c>
      <c r="I1954" s="1" t="str">
        <f t="shared" si="511"/>
        <v>كيلوگرم</v>
      </c>
      <c r="J1954" s="1" t="str">
        <f t="shared" si="522"/>
        <v>1000000003</v>
      </c>
      <c r="K1954" s="1" t="str">
        <f t="shared" si="523"/>
        <v>قير MC250</v>
      </c>
      <c r="L1954" s="1">
        <v>100</v>
      </c>
      <c r="M1954" s="1" t="str">
        <f t="shared" si="517"/>
        <v>مخازن قير اصفهان</v>
      </c>
      <c r="N1954" s="1">
        <v>4095</v>
      </c>
      <c r="O1954" s="1">
        <v>50030673</v>
      </c>
      <c r="P1954" s="1" t="str">
        <f>"  اداره كل راه وشهرسازي سيستان وبلوچستان"</f>
        <v xml:space="preserve">  اداره كل راه وشهرسازي سيستان وبلوچستان</v>
      </c>
      <c r="Q1954" s="1">
        <v>14</v>
      </c>
      <c r="R1954" s="1" t="str">
        <f>"فروش داخلي - وزارت راه - حوزه راه روستايي ساخت"</f>
        <v>فروش داخلي - وزارت راه - حوزه راه روستايي ساخت</v>
      </c>
      <c r="S1954" s="1" t="str">
        <f t="shared" si="513"/>
        <v>قرارداد فروش</v>
      </c>
      <c r="T1954" s="1" t="str">
        <f t="shared" si="514"/>
        <v>ندارد</v>
      </c>
      <c r="U1954" s="1" t="str">
        <f>"ميرحسيني چاپارحقيقت كرمان(4844008)"</f>
        <v>ميرحسيني چاپارحقيقت كرمان(4844008)</v>
      </c>
      <c r="V1954" s="1">
        <v>951400006</v>
      </c>
      <c r="W1954" s="1">
        <v>951400006</v>
      </c>
      <c r="X1954" s="1" t="str">
        <f>"1395401942"</f>
        <v>1395401942</v>
      </c>
      <c r="Y1954" s="1" t="str">
        <f>"95/02/11"</f>
        <v>95/02/11</v>
      </c>
      <c r="Z1954" s="1" t="str">
        <f>"65713/510"</f>
        <v>65713/510</v>
      </c>
      <c r="AA1954" s="1" t="str">
        <f>"راه وروستايي -ساخت"</f>
        <v>راه وروستايي -ساخت</v>
      </c>
      <c r="AB1954" s="1" t="str">
        <f>"94/11/28"</f>
        <v>94/11/28</v>
      </c>
      <c r="AC1954" s="1" t="str">
        <f>"استان سيستان بلوچستان"</f>
        <v>استان سيستان بلوچستان</v>
      </c>
      <c r="AD1954" s="1" t="str">
        <f>"95/02/11"</f>
        <v>95/02/11</v>
      </c>
      <c r="AE1954" s="1" t="str">
        <f t="shared" si="521"/>
        <v>اختتام</v>
      </c>
      <c r="AF1954" s="1" t="str">
        <f>""</f>
        <v/>
      </c>
      <c r="AG1954" s="1" t="str">
        <f>""</f>
        <v/>
      </c>
      <c r="AH1954" s="1" t="str">
        <f>""</f>
        <v/>
      </c>
      <c r="AI1954" s="1" t="str">
        <f>""</f>
        <v/>
      </c>
      <c r="AJ1954" s="1" t="str">
        <f>""</f>
        <v/>
      </c>
      <c r="AK1954" s="1" t="str">
        <f>""</f>
        <v/>
      </c>
    </row>
    <row r="1955" spans="1:37" x14ac:dyDescent="0.2">
      <c r="A1955" s="1">
        <v>16000</v>
      </c>
      <c r="B1955" s="1">
        <v>956200410</v>
      </c>
      <c r="C1955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1955" s="1">
        <v>12582</v>
      </c>
      <c r="E1955" s="1">
        <v>16000</v>
      </c>
      <c r="F1955" s="1">
        <v>95</v>
      </c>
      <c r="G1955" s="1">
        <v>0</v>
      </c>
      <c r="H1955" s="1" t="str">
        <f>"95/12/25"</f>
        <v>95/12/25</v>
      </c>
      <c r="I1955" s="1" t="str">
        <f t="shared" si="511"/>
        <v>كيلوگرم</v>
      </c>
      <c r="J1955" s="1" t="str">
        <f t="shared" si="522"/>
        <v>1000000003</v>
      </c>
      <c r="K1955" s="1" t="str">
        <f t="shared" si="523"/>
        <v>قير MC250</v>
      </c>
      <c r="L1955" s="1">
        <v>100</v>
      </c>
      <c r="M1955" s="1" t="str">
        <f t="shared" si="517"/>
        <v>مخازن قير اصفهان</v>
      </c>
      <c r="N1955" s="1">
        <v>7002</v>
      </c>
      <c r="O1955" s="1">
        <v>50034261</v>
      </c>
      <c r="P1955" s="1" t="str">
        <f>"  راه و ساختمان خاكپي"</f>
        <v xml:space="preserve">  راه و ساختمان خاكپي</v>
      </c>
      <c r="Q1955" s="1">
        <v>62</v>
      </c>
      <c r="R1955" s="1" t="str">
        <f>"فروش داخلي - سازمان بنيادمسكن انقلاب اسلامي"</f>
        <v>فروش داخلي - سازمان بنيادمسكن انقلاب اسلامي</v>
      </c>
      <c r="S1955" s="1" t="str">
        <f t="shared" si="513"/>
        <v>قرارداد فروش</v>
      </c>
      <c r="T1955" s="1" t="str">
        <f t="shared" si="514"/>
        <v>ندارد</v>
      </c>
      <c r="U1955" s="1" t="str">
        <f>"ريسماني حسن(1007ج89)"</f>
        <v>ريسماني حسن(1007ج89)</v>
      </c>
      <c r="V1955" s="1">
        <v>956200410</v>
      </c>
      <c r="W1955" s="1">
        <v>956200410</v>
      </c>
      <c r="X1955" s="1" t="str">
        <f>"1395470892"</f>
        <v>1395470892</v>
      </c>
      <c r="Y1955" s="1" t="str">
        <f>"95/12/25"</f>
        <v>95/12/25</v>
      </c>
      <c r="Z1955" s="1" t="str">
        <f>"57003/د"</f>
        <v>57003/د</v>
      </c>
      <c r="AA1955" s="1" t="str">
        <f>"بنيادمسكن انقلاب اسلامي"</f>
        <v>بنيادمسكن انقلاب اسلامي</v>
      </c>
      <c r="AB1955" s="1" t="str">
        <f>"95/12/22"</f>
        <v>95/12/22</v>
      </c>
      <c r="AC1955" s="1" t="str">
        <f>"استان اصفهان"</f>
        <v>استان اصفهان</v>
      </c>
      <c r="AD1955" s="1" t="str">
        <f>"95/12/23"</f>
        <v>95/12/23</v>
      </c>
      <c r="AE1955" s="1" t="str">
        <f t="shared" si="521"/>
        <v>اختتام</v>
      </c>
      <c r="AF1955" s="1" t="str">
        <f>""</f>
        <v/>
      </c>
      <c r="AG1955" s="1" t="str">
        <f>""</f>
        <v/>
      </c>
      <c r="AH1955" s="1" t="str">
        <f>""</f>
        <v/>
      </c>
      <c r="AI1955" s="1" t="str">
        <f>""</f>
        <v/>
      </c>
      <c r="AJ1955" s="1" t="str">
        <f>""</f>
        <v/>
      </c>
      <c r="AK1955" s="1" t="str">
        <f>""</f>
        <v/>
      </c>
    </row>
    <row r="1956" spans="1:37" x14ac:dyDescent="0.2">
      <c r="A1956" s="1">
        <v>832700</v>
      </c>
      <c r="B1956" s="1">
        <v>951700102</v>
      </c>
      <c r="C1956" s="1" t="str">
        <f>"تخليه -ادارات تابع وشرکتهاي طرف قرارداداداره کل راه وشهرسازي کرمان"</f>
        <v>تخليه -ادارات تابع وشرکتهاي طرف قرارداداداره کل راه وشهرسازي کرمان</v>
      </c>
      <c r="D1956" s="1">
        <v>9980</v>
      </c>
      <c r="E1956" s="1">
        <v>184540</v>
      </c>
      <c r="F1956" s="1">
        <v>95</v>
      </c>
      <c r="G1956" s="1">
        <v>648160</v>
      </c>
      <c r="H1956" s="1" t="str">
        <f>"95/04/19"</f>
        <v>95/04/19</v>
      </c>
      <c r="I1956" s="1" t="str">
        <f t="shared" si="511"/>
        <v>كيلوگرم</v>
      </c>
      <c r="J1956" s="1" t="str">
        <f t="shared" si="522"/>
        <v>1000000003</v>
      </c>
      <c r="K1956" s="1" t="str">
        <f t="shared" si="523"/>
        <v>قير MC250</v>
      </c>
      <c r="L1956" s="1">
        <v>100</v>
      </c>
      <c r="M1956" s="1" t="str">
        <f t="shared" si="517"/>
        <v>مخازن قير اصفهان</v>
      </c>
      <c r="N1956" s="1">
        <v>7034</v>
      </c>
      <c r="O1956" s="1">
        <v>50031245</v>
      </c>
      <c r="P1956" s="1" t="str">
        <f>"  اداره كل راه وشهرسازي كرمان"</f>
        <v xml:space="preserve">  اداره كل راه وشهرسازي كرمان</v>
      </c>
      <c r="Q1956" s="1">
        <v>17</v>
      </c>
      <c r="R1956" s="1" t="str">
        <f>"فروش داخلي تهران - وزارت راه - راه روستايي - روکش"</f>
        <v>فروش داخلي تهران - وزارت راه - راه روستايي - روکش</v>
      </c>
      <c r="S1956" s="1" t="str">
        <f t="shared" si="513"/>
        <v>قرارداد فروش</v>
      </c>
      <c r="T1956" s="1" t="str">
        <f t="shared" si="514"/>
        <v>ندارد</v>
      </c>
      <c r="U1956" s="1" t="str">
        <f>"خضرائي فريدون(4844003)"</f>
        <v>خضرائي فريدون(4844003)</v>
      </c>
      <c r="V1956" s="1">
        <v>951700102</v>
      </c>
      <c r="W1956" s="1">
        <v>951700102</v>
      </c>
      <c r="X1956" s="1" t="str">
        <f>"1394392609"</f>
        <v>1394392609</v>
      </c>
      <c r="Y1956" s="1" t="str">
        <f>"95/04/19"</f>
        <v>95/04/19</v>
      </c>
      <c r="Z1956" s="1" t="str">
        <f>"65117/510"</f>
        <v>65117/510</v>
      </c>
      <c r="AA1956" s="1" t="str">
        <f>"راه روستائي -روكش"</f>
        <v>راه روستائي -روكش</v>
      </c>
      <c r="AB1956" s="1" t="str">
        <f>"94/11/25"</f>
        <v>94/11/25</v>
      </c>
      <c r="AC1956" s="1" t="str">
        <f>"استان كرمان"</f>
        <v>استان كرمان</v>
      </c>
      <c r="AD1956" s="1" t="str">
        <f>"94/11/27"</f>
        <v>94/11/27</v>
      </c>
      <c r="AE1956" s="1" t="str">
        <f t="shared" si="521"/>
        <v>اختتام</v>
      </c>
      <c r="AF1956" s="1" t="str">
        <f>""</f>
        <v/>
      </c>
      <c r="AG1956" s="1" t="str">
        <f>""</f>
        <v/>
      </c>
      <c r="AH1956" s="1" t="str">
        <f>""</f>
        <v/>
      </c>
      <c r="AI1956" s="1" t="str">
        <f>""</f>
        <v/>
      </c>
      <c r="AJ1956" s="1" t="str">
        <f>""</f>
        <v/>
      </c>
      <c r="AK1956" s="1" t="str">
        <f>""</f>
        <v/>
      </c>
    </row>
    <row r="1957" spans="1:37" x14ac:dyDescent="0.2">
      <c r="A1957" s="1">
        <v>50000</v>
      </c>
      <c r="B1957" s="1">
        <v>951100046</v>
      </c>
      <c r="C1957" s="1" t="str">
        <f>"تخليه -قزوين -شهرك هفت سنگان -كارخانه آسفالت شهرداري قزوين"</f>
        <v>تخليه -قزوين -شهرك هفت سنگان -كارخانه آسفالت شهرداري قزوين</v>
      </c>
      <c r="D1957" s="1">
        <v>9324</v>
      </c>
      <c r="E1957" s="1">
        <v>49260</v>
      </c>
      <c r="F1957" s="1">
        <v>95</v>
      </c>
      <c r="G1957" s="1">
        <v>740</v>
      </c>
      <c r="H1957" s="1" t="str">
        <f>"95/02/21"</f>
        <v>95/02/21</v>
      </c>
      <c r="I1957" s="1" t="str">
        <f t="shared" si="511"/>
        <v>كيلوگرم</v>
      </c>
      <c r="J1957" s="1" t="str">
        <f t="shared" si="522"/>
        <v>1000000003</v>
      </c>
      <c r="K1957" s="1" t="str">
        <f t="shared" si="523"/>
        <v>قير MC250</v>
      </c>
      <c r="L1957" s="1">
        <v>100</v>
      </c>
      <c r="M1957" s="1" t="str">
        <f t="shared" si="517"/>
        <v>مخازن قير اصفهان</v>
      </c>
      <c r="N1957" s="1">
        <v>8459</v>
      </c>
      <c r="O1957" s="1">
        <v>50030809</v>
      </c>
      <c r="P1957" s="1" t="str">
        <f>"  سازمان عمران شهرداري قزوين"</f>
        <v xml:space="preserve">  سازمان عمران شهرداري قزوين</v>
      </c>
      <c r="Q1957" s="1">
        <v>11</v>
      </c>
      <c r="R1957" s="1" t="str">
        <f>"فروش داخلي تهران - بورس"</f>
        <v>فروش داخلي تهران - بورس</v>
      </c>
      <c r="S1957" s="1" t="str">
        <f t="shared" si="513"/>
        <v>قرارداد فروش</v>
      </c>
      <c r="T1957" s="1" t="str">
        <f t="shared" si="514"/>
        <v>ندارد</v>
      </c>
      <c r="U1957" s="1" t="str">
        <f>"درودي محمدكاظم(1841010)"</f>
        <v>درودي محمدكاظم(1841010)</v>
      </c>
      <c r="V1957" s="1">
        <v>951100046</v>
      </c>
      <c r="W1957" s="1">
        <v>951100046</v>
      </c>
      <c r="X1957" s="1" t="str">
        <f>"1395403077"</f>
        <v>1395403077</v>
      </c>
      <c r="Y1957" s="1" t="str">
        <f>"95/02/21"</f>
        <v>95/02/21</v>
      </c>
      <c r="Z1957" s="1" t="str">
        <f>"95-34345"</f>
        <v>95-34345</v>
      </c>
      <c r="AA1957" s="1" t="str">
        <f>"شهرداريها"</f>
        <v>شهرداريها</v>
      </c>
      <c r="AB1957" s="1" t="str">
        <f>"95/02/20"</f>
        <v>95/02/20</v>
      </c>
      <c r="AC1957" s="1" t="str">
        <f>"قزوين"</f>
        <v>قزوين</v>
      </c>
      <c r="AD1957" s="1" t="str">
        <f>"95/02/18"</f>
        <v>95/02/18</v>
      </c>
      <c r="AE1957" s="1" t="str">
        <f t="shared" si="521"/>
        <v>اختتام</v>
      </c>
      <c r="AF1957" s="1" t="str">
        <f>""</f>
        <v/>
      </c>
      <c r="AG1957" s="1" t="str">
        <f>""</f>
        <v/>
      </c>
      <c r="AH1957" s="1" t="str">
        <f>""</f>
        <v/>
      </c>
      <c r="AI1957" s="1" t="str">
        <f>""</f>
        <v/>
      </c>
      <c r="AJ1957" s="1" t="str">
        <f>""</f>
        <v/>
      </c>
      <c r="AK1957" s="1" t="str">
        <f>""</f>
        <v/>
      </c>
    </row>
    <row r="1958" spans="1:37" x14ac:dyDescent="0.2">
      <c r="A1958" s="1">
        <v>15000</v>
      </c>
      <c r="B1958" s="1">
        <v>956200184</v>
      </c>
      <c r="C1958" s="1" t="str">
        <f>"تخليه-نطنز- جاده گل آباد- مقابل ايستگاه راه آهن ابيازن"</f>
        <v>تخليه-نطنز- جاده گل آباد- مقابل ايستگاه راه آهن ابيازن</v>
      </c>
      <c r="D1958" s="1">
        <v>13027</v>
      </c>
      <c r="E1958" s="1">
        <v>14140</v>
      </c>
      <c r="F1958" s="1">
        <v>95</v>
      </c>
      <c r="G1958" s="1">
        <v>860</v>
      </c>
      <c r="H1958" s="1" t="str">
        <f>"95/11/05"</f>
        <v>95/11/05</v>
      </c>
      <c r="I1958" s="1" t="str">
        <f t="shared" si="511"/>
        <v>كيلوگرم</v>
      </c>
      <c r="J1958" s="1" t="str">
        <f t="shared" si="522"/>
        <v>1000000003</v>
      </c>
      <c r="K1958" s="1" t="str">
        <f t="shared" si="523"/>
        <v>قير MC250</v>
      </c>
      <c r="L1958" s="1">
        <v>100</v>
      </c>
      <c r="M1958" s="1" t="str">
        <f t="shared" si="517"/>
        <v>مخازن قير اصفهان</v>
      </c>
      <c r="N1958" s="1">
        <v>9450</v>
      </c>
      <c r="O1958" s="1">
        <v>50033543</v>
      </c>
      <c r="P1958" s="1" t="str">
        <f>"  ايران مترو"</f>
        <v xml:space="preserve">  ايران مترو</v>
      </c>
      <c r="Q1958" s="1">
        <v>62</v>
      </c>
      <c r="R1958" s="1" t="str">
        <f t="shared" ref="R1958:R1963" si="524">"فروش داخلي - سازمان بنيادمسكن انقلاب اسلامي"</f>
        <v>فروش داخلي - سازمان بنيادمسكن انقلاب اسلامي</v>
      </c>
      <c r="S1958" s="1" t="str">
        <f t="shared" si="513"/>
        <v>قرارداد فروش</v>
      </c>
      <c r="T1958" s="1" t="str">
        <f t="shared" si="514"/>
        <v>ندارد</v>
      </c>
      <c r="U1958" s="1" t="str">
        <f>"معماريان سعيد(1004ج89)"</f>
        <v>معماريان سعيد(1004ج89)</v>
      </c>
      <c r="V1958" s="1">
        <v>956200184</v>
      </c>
      <c r="W1958" s="1">
        <v>956200184</v>
      </c>
      <c r="X1958" s="1" t="str">
        <f>"1395460607"</f>
        <v>1395460607</v>
      </c>
      <c r="Y1958" s="1" t="str">
        <f>"95/11/05"</f>
        <v>95/11/05</v>
      </c>
      <c r="Z1958" s="1" t="str">
        <f>"46355/د"</f>
        <v>46355/د</v>
      </c>
      <c r="AA1958" s="1" t="str">
        <f t="shared" ref="AA1958:AA1963" si="525">"بنيادمسكن انقلاب اسلامي"</f>
        <v>بنيادمسكن انقلاب اسلامي</v>
      </c>
      <c r="AB1958" s="1" t="str">
        <f>"95/10/29"</f>
        <v>95/10/29</v>
      </c>
      <c r="AC1958" s="1" t="str">
        <f>"استان اصفهان"</f>
        <v>استان اصفهان</v>
      </c>
      <c r="AD1958" s="1" t="str">
        <f>"95/11/05"</f>
        <v>95/11/05</v>
      </c>
      <c r="AE1958" s="1" t="str">
        <f t="shared" si="521"/>
        <v>اختتام</v>
      </c>
      <c r="AF1958" s="1" t="str">
        <f>""</f>
        <v/>
      </c>
      <c r="AG1958" s="1" t="str">
        <f>""</f>
        <v/>
      </c>
      <c r="AH1958" s="1" t="str">
        <f>""</f>
        <v/>
      </c>
      <c r="AI1958" s="1" t="str">
        <f>""</f>
        <v/>
      </c>
      <c r="AJ1958" s="1" t="str">
        <f>""</f>
        <v/>
      </c>
      <c r="AK1958" s="1" t="str">
        <f>""</f>
        <v/>
      </c>
    </row>
    <row r="1959" spans="1:37" x14ac:dyDescent="0.2">
      <c r="A1959" s="1">
        <v>15000</v>
      </c>
      <c r="B1959" s="1">
        <v>956200412</v>
      </c>
      <c r="C1959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1959" s="1">
        <v>12582</v>
      </c>
      <c r="E1959" s="1">
        <v>15000</v>
      </c>
      <c r="F1959" s="1">
        <v>95</v>
      </c>
      <c r="G1959" s="1">
        <v>0</v>
      </c>
      <c r="H1959" s="1" t="str">
        <f>"95/12/28"</f>
        <v>95/12/28</v>
      </c>
      <c r="I1959" s="1" t="str">
        <f t="shared" si="511"/>
        <v>كيلوگرم</v>
      </c>
      <c r="J1959" s="1" t="str">
        <f t="shared" si="522"/>
        <v>1000000003</v>
      </c>
      <c r="K1959" s="1" t="str">
        <f t="shared" si="523"/>
        <v>قير MC250</v>
      </c>
      <c r="L1959" s="1">
        <v>100</v>
      </c>
      <c r="M1959" s="1" t="str">
        <f t="shared" si="517"/>
        <v>مخازن قير اصفهان</v>
      </c>
      <c r="N1959" s="1">
        <v>10088</v>
      </c>
      <c r="O1959" s="1">
        <v>50034299</v>
      </c>
      <c r="P1959" s="1" t="str">
        <f>"  عمراني بسترسازان كوير"</f>
        <v xml:space="preserve">  عمراني بسترسازان كوير</v>
      </c>
      <c r="Q1959" s="1">
        <v>62</v>
      </c>
      <c r="R1959" s="1" t="str">
        <f t="shared" si="524"/>
        <v>فروش داخلي - سازمان بنيادمسكن انقلاب اسلامي</v>
      </c>
      <c r="S1959" s="1" t="str">
        <f t="shared" si="513"/>
        <v>قرارداد فروش</v>
      </c>
      <c r="T1959" s="1" t="str">
        <f t="shared" si="514"/>
        <v>ندارد</v>
      </c>
      <c r="U1959" s="1" t="str">
        <f>"عزيزي صفر(1006ج 89)"</f>
        <v>عزيزي صفر(1006ج 89)</v>
      </c>
      <c r="V1959" s="1">
        <v>956200412</v>
      </c>
      <c r="W1959" s="1">
        <v>956200412</v>
      </c>
      <c r="X1959" s="1" t="str">
        <f>"1395470954"</f>
        <v>1395470954</v>
      </c>
      <c r="Y1959" s="1" t="str">
        <f>"95/12/28"</f>
        <v>95/12/28</v>
      </c>
      <c r="Z1959" s="1" t="str">
        <f>"57198/د"</f>
        <v>57198/د</v>
      </c>
      <c r="AA1959" s="1" t="str">
        <f t="shared" si="525"/>
        <v>بنيادمسكن انقلاب اسلامي</v>
      </c>
      <c r="AB1959" s="1" t="str">
        <f>"95/12/22"</f>
        <v>95/12/22</v>
      </c>
      <c r="AC1959" s="1" t="str">
        <f>"استان اصفهان"</f>
        <v>استان اصفهان</v>
      </c>
      <c r="AD1959" s="1" t="str">
        <f>"95/12/24"</f>
        <v>95/12/24</v>
      </c>
      <c r="AE1959" s="1" t="str">
        <f t="shared" si="521"/>
        <v>اختتام</v>
      </c>
      <c r="AF1959" s="1" t="str">
        <f>""</f>
        <v/>
      </c>
      <c r="AG1959" s="1" t="str">
        <f>""</f>
        <v/>
      </c>
      <c r="AH1959" s="1" t="str">
        <f>""</f>
        <v/>
      </c>
      <c r="AI1959" s="1" t="str">
        <f>""</f>
        <v/>
      </c>
      <c r="AJ1959" s="1" t="str">
        <f>""</f>
        <v/>
      </c>
      <c r="AK1959" s="1" t="str">
        <f>""</f>
        <v/>
      </c>
    </row>
    <row r="1960" spans="1:37" x14ac:dyDescent="0.2">
      <c r="A1960" s="1">
        <v>30000</v>
      </c>
      <c r="B1960" s="1">
        <v>956200009</v>
      </c>
      <c r="C1960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1960" s="1">
        <v>9860</v>
      </c>
      <c r="E1960" s="1">
        <v>28840</v>
      </c>
      <c r="F1960" s="1">
        <v>95</v>
      </c>
      <c r="G1960" s="1">
        <v>1160</v>
      </c>
      <c r="H1960" s="1" t="str">
        <f>"95/03/08"</f>
        <v>95/03/08</v>
      </c>
      <c r="I1960" s="1" t="str">
        <f t="shared" si="511"/>
        <v>كيلوگرم</v>
      </c>
      <c r="J1960" s="1" t="str">
        <f t="shared" si="522"/>
        <v>1000000003</v>
      </c>
      <c r="K1960" s="1" t="str">
        <f t="shared" si="523"/>
        <v>قير MC250</v>
      </c>
      <c r="L1960" s="1">
        <v>100</v>
      </c>
      <c r="M1960" s="1" t="str">
        <f t="shared" si="517"/>
        <v>مخازن قير اصفهان</v>
      </c>
      <c r="N1960" s="1">
        <v>10536</v>
      </c>
      <c r="O1960" s="1">
        <v>50030898</v>
      </c>
      <c r="P1960" s="1" t="str">
        <f>"  آبجيل صنعت"</f>
        <v xml:space="preserve">  آبجيل صنعت</v>
      </c>
      <c r="Q1960" s="1">
        <v>62</v>
      </c>
      <c r="R1960" s="1" t="str">
        <f t="shared" si="524"/>
        <v>فروش داخلي - سازمان بنيادمسكن انقلاب اسلامي</v>
      </c>
      <c r="S1960" s="1" t="str">
        <f t="shared" si="513"/>
        <v>قرارداد فروش</v>
      </c>
      <c r="T1960" s="1" t="str">
        <f t="shared" si="514"/>
        <v>ندارد</v>
      </c>
      <c r="U1960" s="1" t="str">
        <f>"سيفي پور گودرز(1019ج89)"</f>
        <v>سيفي پور گودرز(1019ج89)</v>
      </c>
      <c r="V1960" s="1">
        <v>956200009</v>
      </c>
      <c r="W1960" s="1">
        <v>956200009</v>
      </c>
      <c r="X1960" s="1" t="str">
        <f>"1395406249"</f>
        <v>1395406249</v>
      </c>
      <c r="Y1960" s="1" t="str">
        <f>"95/03/08"</f>
        <v>95/03/08</v>
      </c>
      <c r="Z1960" s="1" t="str">
        <f>"7591/د"</f>
        <v>7591/د</v>
      </c>
      <c r="AA1960" s="1" t="str">
        <f t="shared" si="525"/>
        <v>بنيادمسكن انقلاب اسلامي</v>
      </c>
      <c r="AB1960" s="1" t="str">
        <f>"95/02/28"</f>
        <v>95/02/28</v>
      </c>
      <c r="AC1960" s="1" t="str">
        <f>"استان اصفهان"</f>
        <v>استان اصفهان</v>
      </c>
      <c r="AD1960" s="1" t="str">
        <f>"95/03/08"</f>
        <v>95/03/08</v>
      </c>
      <c r="AE1960" s="1" t="str">
        <f t="shared" si="521"/>
        <v>اختتام</v>
      </c>
      <c r="AF1960" s="1" t="str">
        <f>""</f>
        <v/>
      </c>
      <c r="AG1960" s="1" t="str">
        <f>""</f>
        <v/>
      </c>
      <c r="AH1960" s="1" t="str">
        <f>""</f>
        <v/>
      </c>
      <c r="AI1960" s="1" t="str">
        <f>""</f>
        <v/>
      </c>
      <c r="AJ1960" s="1" t="str">
        <f>""</f>
        <v/>
      </c>
      <c r="AK1960" s="1" t="str">
        <f>""</f>
        <v/>
      </c>
    </row>
    <row r="1961" spans="1:37" x14ac:dyDescent="0.2">
      <c r="A1961" s="1">
        <v>45000</v>
      </c>
      <c r="B1961" s="1">
        <v>956200007</v>
      </c>
      <c r="C1961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1961" s="1">
        <v>9324</v>
      </c>
      <c r="E1961" s="1">
        <v>45000</v>
      </c>
      <c r="F1961" s="1">
        <v>95</v>
      </c>
      <c r="G1961" s="1">
        <v>0</v>
      </c>
      <c r="H1961" s="1" t="str">
        <f>"95/02/28"</f>
        <v>95/02/28</v>
      </c>
      <c r="I1961" s="1" t="str">
        <f t="shared" si="511"/>
        <v>كيلوگرم</v>
      </c>
      <c r="J1961" s="1" t="str">
        <f t="shared" si="522"/>
        <v>1000000003</v>
      </c>
      <c r="K1961" s="1" t="str">
        <f t="shared" si="523"/>
        <v>قير MC250</v>
      </c>
      <c r="L1961" s="1">
        <v>100</v>
      </c>
      <c r="M1961" s="1" t="str">
        <f t="shared" si="517"/>
        <v>مخازن قير اصفهان</v>
      </c>
      <c r="N1961" s="1">
        <v>11027</v>
      </c>
      <c r="O1961" s="1">
        <v>50030854</v>
      </c>
      <c r="P1961" s="1" t="str">
        <f>"  نوژان خشت"</f>
        <v xml:space="preserve">  نوژان خشت</v>
      </c>
      <c r="Q1961" s="1">
        <v>62</v>
      </c>
      <c r="R1961" s="1" t="str">
        <f t="shared" si="524"/>
        <v>فروش داخلي - سازمان بنيادمسكن انقلاب اسلامي</v>
      </c>
      <c r="S1961" s="1" t="str">
        <f t="shared" si="513"/>
        <v>قرارداد فروش</v>
      </c>
      <c r="T1961" s="1" t="str">
        <f t="shared" si="514"/>
        <v>ندارد</v>
      </c>
      <c r="U1961" s="1" t="str">
        <f>"ريسماني حسن(1007ج89)"</f>
        <v>ريسماني حسن(1007ج89)</v>
      </c>
      <c r="V1961" s="1">
        <v>956200007</v>
      </c>
      <c r="W1961" s="1">
        <v>956200007</v>
      </c>
      <c r="X1961" s="1" t="str">
        <f>"1395404451"</f>
        <v>1395404451</v>
      </c>
      <c r="Y1961" s="1" t="str">
        <f>"95/02/28"</f>
        <v>95/02/28</v>
      </c>
      <c r="Z1961" s="1" t="str">
        <f>"7178/د"</f>
        <v>7178/د</v>
      </c>
      <c r="AA1961" s="1" t="str">
        <f t="shared" si="525"/>
        <v>بنيادمسكن انقلاب اسلامي</v>
      </c>
      <c r="AB1961" s="1" t="str">
        <f>"95/02/26"</f>
        <v>95/02/26</v>
      </c>
      <c r="AC1961" s="1" t="str">
        <f>"استان اصفهان"</f>
        <v>استان اصفهان</v>
      </c>
      <c r="AD1961" s="1" t="str">
        <f>"95/02/27"</f>
        <v>95/02/27</v>
      </c>
      <c r="AE1961" s="1" t="str">
        <f t="shared" si="521"/>
        <v>اختتام</v>
      </c>
      <c r="AF1961" s="1" t="str">
        <f>""</f>
        <v/>
      </c>
      <c r="AG1961" s="1" t="str">
        <f>""</f>
        <v/>
      </c>
      <c r="AH1961" s="1" t="str">
        <f>""</f>
        <v/>
      </c>
      <c r="AI1961" s="1" t="str">
        <f>""</f>
        <v/>
      </c>
      <c r="AJ1961" s="1" t="str">
        <f>""</f>
        <v/>
      </c>
      <c r="AK1961" s="1" t="str">
        <f>""</f>
        <v/>
      </c>
    </row>
    <row r="1962" spans="1:37" x14ac:dyDescent="0.2">
      <c r="A1962" s="1">
        <v>25000</v>
      </c>
      <c r="B1962" s="1">
        <v>956200181</v>
      </c>
      <c r="C1962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1962" s="1">
        <v>13027</v>
      </c>
      <c r="E1962" s="1">
        <v>21660</v>
      </c>
      <c r="F1962" s="1">
        <v>95</v>
      </c>
      <c r="G1962" s="1">
        <v>3340</v>
      </c>
      <c r="H1962" s="1" t="str">
        <f>"95/11/05"</f>
        <v>95/11/05</v>
      </c>
      <c r="I1962" s="1" t="str">
        <f t="shared" si="511"/>
        <v>كيلوگرم</v>
      </c>
      <c r="J1962" s="1" t="str">
        <f t="shared" si="522"/>
        <v>1000000003</v>
      </c>
      <c r="K1962" s="1" t="str">
        <f t="shared" si="523"/>
        <v>قير MC250</v>
      </c>
      <c r="L1962" s="1">
        <v>100</v>
      </c>
      <c r="M1962" s="1" t="str">
        <f t="shared" si="517"/>
        <v>مخازن قير اصفهان</v>
      </c>
      <c r="N1962" s="1">
        <v>11027</v>
      </c>
      <c r="O1962" s="1">
        <v>50033540</v>
      </c>
      <c r="P1962" s="1" t="str">
        <f>"  نوژان خشت"</f>
        <v xml:space="preserve">  نوژان خشت</v>
      </c>
      <c r="Q1962" s="1">
        <v>62</v>
      </c>
      <c r="R1962" s="1" t="str">
        <f t="shared" si="524"/>
        <v>فروش داخلي - سازمان بنيادمسكن انقلاب اسلامي</v>
      </c>
      <c r="S1962" s="1" t="str">
        <f t="shared" si="513"/>
        <v>قرارداد فروش</v>
      </c>
      <c r="T1962" s="1" t="str">
        <f t="shared" si="514"/>
        <v>ندارد</v>
      </c>
      <c r="U1962" s="1" t="str">
        <f>"ريسماني حسن(1007ج89)"</f>
        <v>ريسماني حسن(1007ج89)</v>
      </c>
      <c r="V1962" s="1">
        <v>956200181</v>
      </c>
      <c r="W1962" s="1">
        <v>956200181</v>
      </c>
      <c r="X1962" s="1" t="str">
        <f>"1395460607"</f>
        <v>1395460607</v>
      </c>
      <c r="Y1962" s="1" t="str">
        <f>"95/11/05"</f>
        <v>95/11/05</v>
      </c>
      <c r="Z1962" s="1" t="str">
        <f>"45491/د"</f>
        <v>45491/د</v>
      </c>
      <c r="AA1962" s="1" t="str">
        <f t="shared" si="525"/>
        <v>بنيادمسكن انقلاب اسلامي</v>
      </c>
      <c r="AB1962" s="1" t="str">
        <f>"95/10/25"</f>
        <v>95/10/25</v>
      </c>
      <c r="AC1962" s="1" t="str">
        <f>"استان اصفهان"</f>
        <v>استان اصفهان</v>
      </c>
      <c r="AD1962" s="1" t="str">
        <f>"95/11/05"</f>
        <v>95/11/05</v>
      </c>
      <c r="AE1962" s="1" t="str">
        <f t="shared" si="521"/>
        <v>اختتام</v>
      </c>
      <c r="AF1962" s="1" t="str">
        <f>""</f>
        <v/>
      </c>
      <c r="AG1962" s="1" t="str">
        <f>""</f>
        <v/>
      </c>
      <c r="AH1962" s="1" t="str">
        <f>""</f>
        <v/>
      </c>
      <c r="AI1962" s="1" t="str">
        <f>""</f>
        <v/>
      </c>
      <c r="AJ1962" s="1" t="str">
        <f>""</f>
        <v/>
      </c>
      <c r="AK1962" s="1" t="str">
        <f>""</f>
        <v/>
      </c>
    </row>
    <row r="1963" spans="1:37" x14ac:dyDescent="0.2">
      <c r="A1963" s="1">
        <v>106000</v>
      </c>
      <c r="B1963" s="1">
        <v>956200019</v>
      </c>
      <c r="C1963" s="1" t="str">
        <f>"تخليه-سراوان-احمدآباد-کارگاه شن و ماسه ملک محمدي"</f>
        <v>تخليه-سراوان-احمدآباد-کارگاه شن و ماسه ملک محمدي</v>
      </c>
      <c r="D1963" s="1">
        <v>9860</v>
      </c>
      <c r="E1963" s="1">
        <v>106000</v>
      </c>
      <c r="F1963" s="1">
        <v>95</v>
      </c>
      <c r="G1963" s="1">
        <v>0</v>
      </c>
      <c r="H1963" s="1" t="str">
        <f>"95/03/12"</f>
        <v>95/03/12</v>
      </c>
      <c r="I1963" s="1" t="str">
        <f t="shared" si="511"/>
        <v>كيلوگرم</v>
      </c>
      <c r="J1963" s="1" t="str">
        <f t="shared" si="522"/>
        <v>1000000003</v>
      </c>
      <c r="K1963" s="1" t="str">
        <f t="shared" si="523"/>
        <v>قير MC250</v>
      </c>
      <c r="L1963" s="1">
        <v>100</v>
      </c>
      <c r="M1963" s="1" t="str">
        <f t="shared" si="517"/>
        <v>مخازن قير اصفهان</v>
      </c>
      <c r="N1963" s="1">
        <v>11070</v>
      </c>
      <c r="O1963" s="1">
        <v>50030944</v>
      </c>
      <c r="P1963" s="1" t="str">
        <f>"  شايان نقشه جنوب"</f>
        <v xml:space="preserve">  شايان نقشه جنوب</v>
      </c>
      <c r="Q1963" s="1">
        <v>62</v>
      </c>
      <c r="R1963" s="1" t="str">
        <f t="shared" si="524"/>
        <v>فروش داخلي - سازمان بنيادمسكن انقلاب اسلامي</v>
      </c>
      <c r="S1963" s="1" t="str">
        <f t="shared" si="513"/>
        <v>قرارداد فروش</v>
      </c>
      <c r="T1963" s="1" t="str">
        <f t="shared" si="514"/>
        <v>ندارد</v>
      </c>
      <c r="U1963" s="1" t="str">
        <f>"تاج سعيد هوشنگ (1031ج 89)"</f>
        <v>تاج سعيد هوشنگ (1031ج 89)</v>
      </c>
      <c r="V1963" s="1">
        <v>956200019</v>
      </c>
      <c r="W1963" s="1">
        <v>956200019</v>
      </c>
      <c r="X1963" s="1" t="str">
        <f>"1395407390"</f>
        <v>1395407390</v>
      </c>
      <c r="Y1963" s="1" t="str">
        <f>"95/03/12"</f>
        <v>95/03/12</v>
      </c>
      <c r="Z1963" s="1" t="str">
        <f>"9712/د"</f>
        <v>9712/د</v>
      </c>
      <c r="AA1963" s="1" t="str">
        <f t="shared" si="525"/>
        <v>بنيادمسكن انقلاب اسلامي</v>
      </c>
      <c r="AB1963" s="1" t="str">
        <f>"95/03/11"</f>
        <v>95/03/11</v>
      </c>
      <c r="AC1963" s="1" t="str">
        <f>"استان سيستان بلوچستان"</f>
        <v>استان سيستان بلوچستان</v>
      </c>
      <c r="AD1963" s="1" t="str">
        <f>"95/03/12"</f>
        <v>95/03/12</v>
      </c>
      <c r="AE1963" s="1" t="str">
        <f t="shared" si="521"/>
        <v>اختتام</v>
      </c>
      <c r="AF1963" s="1" t="str">
        <f>""</f>
        <v/>
      </c>
      <c r="AG1963" s="1" t="str">
        <f>""</f>
        <v/>
      </c>
      <c r="AH1963" s="1" t="str">
        <f>""</f>
        <v/>
      </c>
      <c r="AI1963" s="1" t="str">
        <f>""</f>
        <v/>
      </c>
      <c r="AJ1963" s="1" t="str">
        <f>""</f>
        <v/>
      </c>
      <c r="AK1963" s="1" t="str">
        <f>""</f>
        <v/>
      </c>
    </row>
    <row r="1964" spans="1:37" x14ac:dyDescent="0.2">
      <c r="A1964" s="1">
        <v>47000</v>
      </c>
      <c r="B1964" s="1">
        <v>951100054</v>
      </c>
      <c r="C1964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964" s="1">
        <v>9860</v>
      </c>
      <c r="E1964" s="1">
        <v>47000</v>
      </c>
      <c r="F1964" s="1">
        <v>95</v>
      </c>
      <c r="G1964" s="1">
        <v>0</v>
      </c>
      <c r="H1964" s="1" t="str">
        <f>"95/03/08"</f>
        <v>95/03/08</v>
      </c>
      <c r="I1964" s="1" t="str">
        <f t="shared" si="511"/>
        <v>كيلوگرم</v>
      </c>
      <c r="J1964" s="1" t="str">
        <f t="shared" si="522"/>
        <v>1000000003</v>
      </c>
      <c r="K1964" s="1" t="str">
        <f t="shared" si="523"/>
        <v>قير MC250</v>
      </c>
      <c r="L1964" s="1">
        <v>100</v>
      </c>
      <c r="M1964" s="1" t="str">
        <f t="shared" si="517"/>
        <v>مخازن قير اصفهان</v>
      </c>
      <c r="N1964" s="1">
        <v>11096</v>
      </c>
      <c r="O1964" s="1">
        <v>50030900</v>
      </c>
      <c r="P1964" s="1" t="str">
        <f>"  شهرداري زنجان"</f>
        <v xml:space="preserve">  شهرداري زنجان</v>
      </c>
      <c r="Q1964" s="1">
        <v>11</v>
      </c>
      <c r="R1964" s="1" t="str">
        <f>"فروش داخلي تهران - بورس"</f>
        <v>فروش داخلي تهران - بورس</v>
      </c>
      <c r="S1964" s="1" t="str">
        <f t="shared" si="513"/>
        <v>قرارداد فروش</v>
      </c>
      <c r="T1964" s="1" t="str">
        <f t="shared" si="514"/>
        <v>ندارد</v>
      </c>
      <c r="U1964" s="1" t="str">
        <f>"هادي سيه رود(3863023)"</f>
        <v>هادي سيه رود(3863023)</v>
      </c>
      <c r="V1964" s="1">
        <v>951100054</v>
      </c>
      <c r="W1964" s="1">
        <v>951100054</v>
      </c>
      <c r="X1964" s="1" t="str">
        <f>"1395406245"</f>
        <v>1395406245</v>
      </c>
      <c r="Y1964" s="1" t="str">
        <f>"95/03/08"</f>
        <v>95/03/08</v>
      </c>
      <c r="Z1964" s="1" t="str">
        <f>"95/2/7808"</f>
        <v>95/2/7808</v>
      </c>
      <c r="AA1964" s="1" t="str">
        <f>"شهرداريها"</f>
        <v>شهرداريها</v>
      </c>
      <c r="AB1964" s="1" t="str">
        <f>"95/02/28"</f>
        <v>95/02/28</v>
      </c>
      <c r="AC1964" s="1" t="str">
        <f>"استان زنجان"</f>
        <v>استان زنجان</v>
      </c>
      <c r="AD1964" s="1" t="str">
        <f>"95/03/08"</f>
        <v>95/03/08</v>
      </c>
      <c r="AE1964" s="1" t="str">
        <f>"تاييدشده"</f>
        <v>تاييدشده</v>
      </c>
      <c r="AF1964" s="1" t="str">
        <f>""</f>
        <v/>
      </c>
      <c r="AG1964" s="1" t="str">
        <f>""</f>
        <v/>
      </c>
      <c r="AH1964" s="1" t="str">
        <f>""</f>
        <v/>
      </c>
      <c r="AI1964" s="1" t="str">
        <f>""</f>
        <v/>
      </c>
      <c r="AJ1964" s="1" t="str">
        <f>""</f>
        <v/>
      </c>
      <c r="AK1964" s="1" t="str">
        <f>""</f>
        <v/>
      </c>
    </row>
    <row r="1965" spans="1:37" x14ac:dyDescent="0.2">
      <c r="A1965" s="1">
        <v>50000</v>
      </c>
      <c r="B1965" s="1">
        <v>951100128</v>
      </c>
      <c r="C1965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965" s="1">
        <v>11000</v>
      </c>
      <c r="E1965" s="1">
        <v>46760</v>
      </c>
      <c r="F1965" s="1">
        <v>95</v>
      </c>
      <c r="G1965" s="1">
        <v>3240</v>
      </c>
      <c r="H1965" s="1" t="str">
        <f>"95/07/18"</f>
        <v>95/07/18</v>
      </c>
      <c r="I1965" s="1" t="str">
        <f t="shared" si="511"/>
        <v>كيلوگرم</v>
      </c>
      <c r="J1965" s="1" t="str">
        <f t="shared" si="522"/>
        <v>1000000003</v>
      </c>
      <c r="K1965" s="1" t="str">
        <f t="shared" si="523"/>
        <v>قير MC250</v>
      </c>
      <c r="L1965" s="1">
        <v>100</v>
      </c>
      <c r="M1965" s="1" t="str">
        <f t="shared" si="517"/>
        <v>مخازن قير اصفهان</v>
      </c>
      <c r="N1965" s="1">
        <v>11096</v>
      </c>
      <c r="O1965" s="1">
        <v>50032148</v>
      </c>
      <c r="P1965" s="1" t="str">
        <f>"  شهرداري زنجان"</f>
        <v xml:space="preserve">  شهرداري زنجان</v>
      </c>
      <c r="Q1965" s="1">
        <v>11</v>
      </c>
      <c r="R1965" s="1" t="str">
        <f>"فروش داخلي تهران - بورس"</f>
        <v>فروش داخلي تهران - بورس</v>
      </c>
      <c r="S1965" s="1" t="str">
        <f t="shared" si="513"/>
        <v>قرارداد فروش</v>
      </c>
      <c r="T1965" s="1" t="str">
        <f t="shared" si="514"/>
        <v>ندارد</v>
      </c>
      <c r="U1965" s="1" t="str">
        <f>"هادي سيه رود(3863023)"</f>
        <v>هادي سيه رود(3863023)</v>
      </c>
      <c r="V1965" s="1">
        <v>951100128</v>
      </c>
      <c r="W1965" s="1">
        <v>951100128</v>
      </c>
      <c r="X1965" s="1" t="str">
        <f>"1395436846"</f>
        <v>1395436846</v>
      </c>
      <c r="Y1965" s="1" t="str">
        <f>"95/07/18"</f>
        <v>95/07/18</v>
      </c>
      <c r="Z1965" s="1" t="str">
        <f>"95/2/32254/ص"</f>
        <v>95/2/32254/ص</v>
      </c>
      <c r="AA1965" s="1" t="str">
        <f>"شهرداريها"</f>
        <v>شهرداريها</v>
      </c>
      <c r="AB1965" s="1" t="str">
        <f>"95/07/17"</f>
        <v>95/07/17</v>
      </c>
      <c r="AC1965" s="1" t="str">
        <f>"استان زنجان"</f>
        <v>استان زنجان</v>
      </c>
      <c r="AD1965" s="1" t="str">
        <f>"95/07/18"</f>
        <v>95/07/18</v>
      </c>
      <c r="AE1965" s="1" t="str">
        <f>"اختتام"</f>
        <v>اختتام</v>
      </c>
      <c r="AF1965" s="1" t="str">
        <f>""</f>
        <v/>
      </c>
      <c r="AG1965" s="1" t="str">
        <f>""</f>
        <v/>
      </c>
      <c r="AH1965" s="1" t="str">
        <f>""</f>
        <v/>
      </c>
      <c r="AI1965" s="1" t="str">
        <f>""</f>
        <v/>
      </c>
      <c r="AJ1965" s="1" t="str">
        <f>""</f>
        <v/>
      </c>
      <c r="AK1965" s="1" t="str">
        <f>""</f>
        <v/>
      </c>
    </row>
    <row r="1966" spans="1:37" x14ac:dyDescent="0.2">
      <c r="A1966" s="1">
        <v>15000</v>
      </c>
      <c r="B1966" s="1">
        <v>956200146</v>
      </c>
      <c r="C1966" s="1" t="str">
        <f>"تخليه - اصفهان -مبارکه-جاده پلي اکريل-جاده چشمه باباعبداله-کارخانه آسفالت غفراني"</f>
        <v>تخليه - اصفهان -مبارکه-جاده پلي اکريل-جاده چشمه باباعبداله-کارخانه آسفالت غفراني</v>
      </c>
      <c r="D1966" s="1">
        <v>12507</v>
      </c>
      <c r="E1966" s="1">
        <v>13880</v>
      </c>
      <c r="F1966" s="1">
        <v>95</v>
      </c>
      <c r="G1966" s="1">
        <v>1120</v>
      </c>
      <c r="H1966" s="1" t="str">
        <f>"95/10/18"</f>
        <v>95/10/18</v>
      </c>
      <c r="I1966" s="1" t="str">
        <f t="shared" si="511"/>
        <v>كيلوگرم</v>
      </c>
      <c r="J1966" s="1" t="str">
        <f t="shared" si="522"/>
        <v>1000000003</v>
      </c>
      <c r="K1966" s="1" t="str">
        <f t="shared" si="523"/>
        <v>قير MC250</v>
      </c>
      <c r="L1966" s="1">
        <v>100</v>
      </c>
      <c r="M1966" s="1" t="str">
        <f t="shared" si="517"/>
        <v>مخازن قير اصفهان</v>
      </c>
      <c r="N1966" s="1">
        <v>11231</v>
      </c>
      <c r="O1966" s="1">
        <v>50033320</v>
      </c>
      <c r="P1966" s="1" t="str">
        <f>"  محبت گستر اسپادانا"</f>
        <v xml:space="preserve">  محبت گستر اسپادانا</v>
      </c>
      <c r="Q1966" s="1">
        <v>62</v>
      </c>
      <c r="R1966" s="1" t="str">
        <f>"فروش داخلي - سازمان بنيادمسكن انقلاب اسلامي"</f>
        <v>فروش داخلي - سازمان بنيادمسكن انقلاب اسلامي</v>
      </c>
      <c r="S1966" s="1" t="str">
        <f t="shared" si="513"/>
        <v>قرارداد فروش</v>
      </c>
      <c r="T1966" s="1" t="str">
        <f t="shared" si="514"/>
        <v>ندارد</v>
      </c>
      <c r="U1966" s="1" t="str">
        <f>"ريسماني حسن(1007ج89)"</f>
        <v>ريسماني حسن(1007ج89)</v>
      </c>
      <c r="V1966" s="1">
        <v>956200146</v>
      </c>
      <c r="W1966" s="1">
        <v>956200146</v>
      </c>
      <c r="X1966" s="1" t="str">
        <f>"1395457464"</f>
        <v>1395457464</v>
      </c>
      <c r="Y1966" s="1" t="str">
        <f>"95/10/18"</f>
        <v>95/10/18</v>
      </c>
      <c r="Z1966" s="1" t="str">
        <f>"44071/د"</f>
        <v>44071/د</v>
      </c>
      <c r="AA1966" s="1" t="str">
        <f>"بنيادمسكن انقلاب اسلامي"</f>
        <v>بنيادمسكن انقلاب اسلامي</v>
      </c>
      <c r="AB1966" s="1" t="str">
        <f>"95/10/15"</f>
        <v>95/10/15</v>
      </c>
      <c r="AC1966" s="1" t="str">
        <f>"استان اصفهان"</f>
        <v>استان اصفهان</v>
      </c>
      <c r="AD1966" s="1" t="str">
        <f>"95/10/18"</f>
        <v>95/10/18</v>
      </c>
      <c r="AE1966" s="1" t="str">
        <f>"اختتام"</f>
        <v>اختتام</v>
      </c>
      <c r="AF1966" s="1" t="str">
        <f>""</f>
        <v/>
      </c>
      <c r="AG1966" s="1" t="str">
        <f>""</f>
        <v/>
      </c>
      <c r="AH1966" s="1" t="str">
        <f>""</f>
        <v/>
      </c>
      <c r="AI1966" s="1" t="str">
        <f>""</f>
        <v/>
      </c>
      <c r="AJ1966" s="1" t="str">
        <f>""</f>
        <v/>
      </c>
      <c r="AK1966" s="1" t="str">
        <f>""</f>
        <v/>
      </c>
    </row>
    <row r="1967" spans="1:37" x14ac:dyDescent="0.2">
      <c r="A1967" s="1">
        <v>185000</v>
      </c>
      <c r="B1967" s="1">
        <v>956200002</v>
      </c>
      <c r="C1967" s="1" t="str">
        <f>"تخليه-جاده سيمان سپاهان- خ يازدهم-منطقه صنعتي اشترجان"</f>
        <v>تخليه-جاده سيمان سپاهان- خ يازدهم-منطقه صنعتي اشترجان</v>
      </c>
      <c r="D1967" s="1">
        <v>5650</v>
      </c>
      <c r="E1967" s="1">
        <v>182720</v>
      </c>
      <c r="F1967" s="1">
        <v>95</v>
      </c>
      <c r="G1967" s="1">
        <v>2280</v>
      </c>
      <c r="H1967" s="1" t="str">
        <f>"95/02/28"</f>
        <v>95/02/28</v>
      </c>
      <c r="I1967" s="1" t="str">
        <f t="shared" si="511"/>
        <v>كيلوگرم</v>
      </c>
      <c r="J1967" s="1" t="str">
        <f t="shared" ref="J1967:J1998" si="526">"0000000076"</f>
        <v>0000000076</v>
      </c>
      <c r="K1967" s="1" t="str">
        <f t="shared" ref="K1967:K1998" si="527">"قير 60/70 - فله"</f>
        <v>قير 60/70 - فله</v>
      </c>
      <c r="L1967" s="1">
        <v>100</v>
      </c>
      <c r="M1967" s="1" t="str">
        <f t="shared" si="517"/>
        <v>مخازن قير اصفهان</v>
      </c>
      <c r="N1967" s="1">
        <v>1002</v>
      </c>
      <c r="O1967" s="1">
        <v>50030849</v>
      </c>
      <c r="P1967" s="1" t="str">
        <f>"  راه آژند"</f>
        <v xml:space="preserve">  راه آژند</v>
      </c>
      <c r="Q1967" s="1">
        <v>62</v>
      </c>
      <c r="R1967" s="1" t="str">
        <f>"فروش داخلي - سازمان بنيادمسكن انقلاب اسلامي"</f>
        <v>فروش داخلي - سازمان بنيادمسكن انقلاب اسلامي</v>
      </c>
      <c r="S1967" s="1" t="str">
        <f t="shared" si="513"/>
        <v>قرارداد فروش</v>
      </c>
      <c r="T1967" s="1" t="str">
        <f t="shared" si="514"/>
        <v>ندارد</v>
      </c>
      <c r="U1967" s="1" t="str">
        <f>"سيفي پور عبدالمجيد(1009ج89)"</f>
        <v>سيفي پور عبدالمجيد(1009ج89)</v>
      </c>
      <c r="V1967" s="1">
        <v>956200002</v>
      </c>
      <c r="W1967" s="1">
        <v>956200002</v>
      </c>
      <c r="X1967" s="1" t="str">
        <f>"1395404450"</f>
        <v>1395404450</v>
      </c>
      <c r="Y1967" s="1" t="str">
        <f>"95/02/28"</f>
        <v>95/02/28</v>
      </c>
      <c r="Z1967" s="1" t="str">
        <f>"6685/د"</f>
        <v>6685/د</v>
      </c>
      <c r="AA1967" s="1" t="str">
        <f>"بنيادمسكن انقلاب اسلامي"</f>
        <v>بنيادمسكن انقلاب اسلامي</v>
      </c>
      <c r="AB1967" s="1" t="str">
        <f>"95/02/22"</f>
        <v>95/02/22</v>
      </c>
      <c r="AC1967" s="1" t="str">
        <f>"استان اصفهان"</f>
        <v>استان اصفهان</v>
      </c>
      <c r="AD1967" s="1" t="str">
        <f>"95/02/27"</f>
        <v>95/02/27</v>
      </c>
      <c r="AE1967" s="1" t="str">
        <f>"اختتام"</f>
        <v>اختتام</v>
      </c>
      <c r="AF1967" s="1" t="str">
        <f>""</f>
        <v/>
      </c>
      <c r="AG1967" s="1" t="str">
        <f>""</f>
        <v/>
      </c>
      <c r="AH1967" s="1" t="str">
        <f>""</f>
        <v/>
      </c>
      <c r="AI1967" s="1" t="str">
        <f>""</f>
        <v/>
      </c>
      <c r="AJ1967" s="1" t="str">
        <f>""</f>
        <v/>
      </c>
      <c r="AK1967" s="1" t="str">
        <f>""</f>
        <v/>
      </c>
    </row>
    <row r="1968" spans="1:37" x14ac:dyDescent="0.2">
      <c r="A1968" s="1">
        <v>132000</v>
      </c>
      <c r="B1968" s="1">
        <v>956200161</v>
      </c>
      <c r="C1968" s="1" t="str">
        <f>"تخليه-جاده سيمان سپاهان- خ يازدهم-منطقه صنعتي اشترجان"</f>
        <v>تخليه-جاده سيمان سپاهان- خ يازدهم-منطقه صنعتي اشترجان</v>
      </c>
      <c r="D1968" s="1">
        <v>8861</v>
      </c>
      <c r="E1968" s="1">
        <v>130080</v>
      </c>
      <c r="F1968" s="1">
        <v>95</v>
      </c>
      <c r="G1968" s="1">
        <v>1920</v>
      </c>
      <c r="H1968" s="1" t="str">
        <f>"95/10/23"</f>
        <v>95/10/23</v>
      </c>
      <c r="I1968" s="1" t="str">
        <f t="shared" si="511"/>
        <v>كيلوگرم</v>
      </c>
      <c r="J1968" s="1" t="str">
        <f t="shared" si="526"/>
        <v>0000000076</v>
      </c>
      <c r="K1968" s="1" t="str">
        <f t="shared" si="527"/>
        <v>قير 60/70 - فله</v>
      </c>
      <c r="L1968" s="1">
        <v>100</v>
      </c>
      <c r="M1968" s="1" t="str">
        <f t="shared" si="517"/>
        <v>مخازن قير اصفهان</v>
      </c>
      <c r="N1968" s="1">
        <v>1002</v>
      </c>
      <c r="O1968" s="1">
        <v>50033380</v>
      </c>
      <c r="P1968" s="1" t="str">
        <f>"  راه آژند"</f>
        <v xml:space="preserve">  راه آژند</v>
      </c>
      <c r="Q1968" s="1">
        <v>62</v>
      </c>
      <c r="R1968" s="1" t="str">
        <f>"فروش داخلي - سازمان بنيادمسكن انقلاب اسلامي"</f>
        <v>فروش داخلي - سازمان بنيادمسكن انقلاب اسلامي</v>
      </c>
      <c r="S1968" s="1" t="str">
        <f t="shared" si="513"/>
        <v>قرارداد فروش</v>
      </c>
      <c r="T1968" s="1" t="str">
        <f t="shared" si="514"/>
        <v>ندارد</v>
      </c>
      <c r="U1968" s="1" t="str">
        <f>"سيفي پور عبدالمجيد(1009ج89)"</f>
        <v>سيفي پور عبدالمجيد(1009ج89)</v>
      </c>
      <c r="V1968" s="1">
        <v>956200161</v>
      </c>
      <c r="W1968" s="1">
        <v>956200161</v>
      </c>
      <c r="X1968" s="1" t="str">
        <f>"1395457937"</f>
        <v>1395457937</v>
      </c>
      <c r="Y1968" s="1" t="str">
        <f>"95/10/23"</f>
        <v>95/10/23</v>
      </c>
      <c r="Z1968" s="1" t="str">
        <f>"44843/د"</f>
        <v>44843/د</v>
      </c>
      <c r="AA1968" s="1" t="str">
        <f>"بنيادمسكن انقلاب اسلامي"</f>
        <v>بنيادمسكن انقلاب اسلامي</v>
      </c>
      <c r="AB1968" s="1" t="str">
        <f>"95/10/20"</f>
        <v>95/10/20</v>
      </c>
      <c r="AC1968" s="1" t="str">
        <f>"استان اصفهان"</f>
        <v>استان اصفهان</v>
      </c>
      <c r="AD1968" s="1" t="str">
        <f>"95/10/22"</f>
        <v>95/10/22</v>
      </c>
      <c r="AE1968" s="1" t="str">
        <f>"اختتام"</f>
        <v>اختتام</v>
      </c>
      <c r="AF1968" s="1" t="str">
        <f>""</f>
        <v/>
      </c>
      <c r="AG1968" s="1" t="str">
        <f>""</f>
        <v/>
      </c>
      <c r="AH1968" s="1" t="str">
        <f>""</f>
        <v/>
      </c>
      <c r="AI1968" s="1" t="str">
        <f>""</f>
        <v/>
      </c>
      <c r="AJ1968" s="1" t="str">
        <f>""</f>
        <v/>
      </c>
      <c r="AK1968" s="1" t="str">
        <f>""</f>
        <v/>
      </c>
    </row>
    <row r="1969" spans="1:37" x14ac:dyDescent="0.2">
      <c r="A1969" s="1">
        <v>1000000</v>
      </c>
      <c r="B1969" s="1">
        <v>951100004</v>
      </c>
      <c r="C1969" s="1" t="str">
        <f>"تخليه -رفسنجان كارخانه احمدآباد20كيلومتري جاده رفسنجان يزد"</f>
        <v>تخليه -رفسنجان كارخانه احمدآباد20كيلومتري جاده رفسنجان يزد</v>
      </c>
      <c r="D1969" s="1">
        <v>5200</v>
      </c>
      <c r="E1969" s="1">
        <v>1000000</v>
      </c>
      <c r="F1969" s="1">
        <v>95</v>
      </c>
      <c r="G1969" s="1">
        <v>0</v>
      </c>
      <c r="H1969" s="1" t="str">
        <f>"95/01/28"</f>
        <v>95/01/28</v>
      </c>
      <c r="I1969" s="1" t="str">
        <f t="shared" si="511"/>
        <v>كيلوگرم</v>
      </c>
      <c r="J1969" s="1" t="str">
        <f t="shared" si="526"/>
        <v>0000000076</v>
      </c>
      <c r="K1969" s="1" t="str">
        <f t="shared" si="527"/>
        <v>قير 60/70 - فله</v>
      </c>
      <c r="L1969" s="1">
        <v>100</v>
      </c>
      <c r="M1969" s="1" t="str">
        <f t="shared" si="517"/>
        <v>مخازن قير اصفهان</v>
      </c>
      <c r="N1969" s="1">
        <v>4059</v>
      </c>
      <c r="O1969" s="1">
        <v>50030527</v>
      </c>
      <c r="P1969" s="1" t="str">
        <f>"  شهرداري رفسنجان(00113)"</f>
        <v xml:space="preserve">  شهرداري رفسنجان(00113)</v>
      </c>
      <c r="Q1969" s="1">
        <v>11</v>
      </c>
      <c r="R1969" s="1" t="str">
        <f t="shared" ref="R1969:R1974" si="528">"فروش داخلي تهران - بورس"</f>
        <v>فروش داخلي تهران - بورس</v>
      </c>
      <c r="S1969" s="1" t="str">
        <f t="shared" si="513"/>
        <v>قرارداد فروش</v>
      </c>
      <c r="T1969" s="1" t="str">
        <f t="shared" si="514"/>
        <v>ندارد</v>
      </c>
      <c r="U1969" s="1" t="str">
        <f>"خضرائي فريدون(4844003)"</f>
        <v>خضرائي فريدون(4844003)</v>
      </c>
      <c r="V1969" s="1">
        <v>951100004</v>
      </c>
      <c r="W1969" s="1">
        <v>951100004</v>
      </c>
      <c r="X1969" s="1" t="str">
        <f>"1395399731"</f>
        <v>1395399731</v>
      </c>
      <c r="Y1969" s="1" t="str">
        <f>"95/01/25"</f>
        <v>95/01/25</v>
      </c>
      <c r="Z1969" s="1" t="str">
        <f>"95-34197"</f>
        <v>95-34197</v>
      </c>
      <c r="AA1969" s="1" t="str">
        <f>"شهرداريها"</f>
        <v>شهرداريها</v>
      </c>
      <c r="AB1969" s="1" t="str">
        <f>"95/01/25"</f>
        <v>95/01/25</v>
      </c>
      <c r="AC1969" s="1" t="str">
        <f>"استان كرمان"</f>
        <v>استان كرمان</v>
      </c>
      <c r="AD1969" s="1" t="str">
        <f>"95/01/25"</f>
        <v>95/01/25</v>
      </c>
      <c r="AE1969" s="1" t="str">
        <f>"تاييدشده"</f>
        <v>تاييدشده</v>
      </c>
      <c r="AF1969" s="1" t="str">
        <f>""</f>
        <v/>
      </c>
      <c r="AG1969" s="1" t="str">
        <f>""</f>
        <v/>
      </c>
      <c r="AH1969" s="1" t="str">
        <f>""</f>
        <v/>
      </c>
      <c r="AI1969" s="1" t="str">
        <f>""</f>
        <v/>
      </c>
      <c r="AJ1969" s="1" t="str">
        <f>""</f>
        <v/>
      </c>
      <c r="AK1969" s="1" t="str">
        <f>""</f>
        <v/>
      </c>
    </row>
    <row r="1970" spans="1:37" x14ac:dyDescent="0.2">
      <c r="A1970" s="1">
        <v>115000</v>
      </c>
      <c r="B1970" s="1">
        <v>951100083</v>
      </c>
      <c r="C1970" s="1" t="str">
        <f>"خراسان رضوي_ شهرستان مه ولادت شهر فيض آباد_كارخانه آسفالت شهرداري"</f>
        <v>خراسان رضوي_ شهرستان مه ولادت شهر فيض آباد_كارخانه آسفالت شهرداري</v>
      </c>
      <c r="D1970" s="1">
        <v>5950</v>
      </c>
      <c r="E1970" s="1">
        <v>112580</v>
      </c>
      <c r="F1970" s="1">
        <v>95</v>
      </c>
      <c r="G1970" s="1">
        <v>2420</v>
      </c>
      <c r="H1970" s="1" t="str">
        <f>"95/04/14"</f>
        <v>95/04/14</v>
      </c>
      <c r="I1970" s="1" t="str">
        <f t="shared" si="511"/>
        <v>كيلوگرم</v>
      </c>
      <c r="J1970" s="1" t="str">
        <f t="shared" si="526"/>
        <v>0000000076</v>
      </c>
      <c r="K1970" s="1" t="str">
        <f t="shared" si="527"/>
        <v>قير 60/70 - فله</v>
      </c>
      <c r="L1970" s="1">
        <v>100</v>
      </c>
      <c r="M1970" s="1" t="str">
        <f t="shared" si="517"/>
        <v>مخازن قير اصفهان</v>
      </c>
      <c r="N1970" s="1">
        <v>4145</v>
      </c>
      <c r="O1970" s="1">
        <v>50031203</v>
      </c>
      <c r="P1970" s="1" t="str">
        <f>"  شهرداري فيض آباد"</f>
        <v xml:space="preserve">  شهرداري فيض آباد</v>
      </c>
      <c r="Q1970" s="1">
        <v>11</v>
      </c>
      <c r="R1970" s="1" t="str">
        <f t="shared" si="528"/>
        <v>فروش داخلي تهران - بورس</v>
      </c>
      <c r="S1970" s="1" t="str">
        <f t="shared" si="513"/>
        <v>قرارداد فروش</v>
      </c>
      <c r="T1970" s="1" t="str">
        <f t="shared" si="514"/>
        <v>ندارد</v>
      </c>
      <c r="U1970" s="1" t="str">
        <f>"ترك شاهسوندي مهدي(1022ج89)"</f>
        <v>ترك شاهسوندي مهدي(1022ج89)</v>
      </c>
      <c r="V1970" s="1">
        <v>951100083</v>
      </c>
      <c r="W1970" s="1">
        <v>951100083</v>
      </c>
      <c r="X1970" s="1" t="str">
        <f>"1395411354"</f>
        <v>1395411354</v>
      </c>
      <c r="Y1970" s="1" t="str">
        <f>"95/04/14"</f>
        <v>95/04/14</v>
      </c>
      <c r="Z1970" s="1" t="str">
        <f>"95-34567"</f>
        <v>95-34567</v>
      </c>
      <c r="AA1970" s="1" t="str">
        <f>"شهرداريها"</f>
        <v>شهرداريها</v>
      </c>
      <c r="AB1970" s="1" t="str">
        <f>"95/04/13"</f>
        <v>95/04/13</v>
      </c>
      <c r="AC1970" s="1" t="str">
        <f>"خراسان رضوي"</f>
        <v>خراسان رضوي</v>
      </c>
      <c r="AD1970" s="1" t="str">
        <f>"95/04/06"</f>
        <v>95/04/06</v>
      </c>
      <c r="AE1970" s="1" t="str">
        <f>"اختتام"</f>
        <v>اختتام</v>
      </c>
      <c r="AF1970" s="1" t="str">
        <f>""</f>
        <v/>
      </c>
      <c r="AG1970" s="1" t="str">
        <f>""</f>
        <v/>
      </c>
      <c r="AH1970" s="1" t="str">
        <f>""</f>
        <v/>
      </c>
      <c r="AI1970" s="1" t="str">
        <f>""</f>
        <v/>
      </c>
      <c r="AJ1970" s="1" t="str">
        <f>""</f>
        <v/>
      </c>
      <c r="AK1970" s="1" t="str">
        <f>""</f>
        <v/>
      </c>
    </row>
    <row r="1971" spans="1:37" x14ac:dyDescent="0.2">
      <c r="A1971" s="1">
        <v>190000</v>
      </c>
      <c r="B1971" s="1">
        <v>951100008</v>
      </c>
      <c r="C1971" s="1" t="str">
        <f>"تخليه -زابل -کيلومتر5جاده زابل نهبندان -کارخانه شهرداري زابل"</f>
        <v>تخليه -زابل -کيلومتر5جاده زابل نهبندان -کارخانه شهرداري زابل</v>
      </c>
      <c r="D1971" s="1">
        <v>5200</v>
      </c>
      <c r="E1971" s="1">
        <v>186000</v>
      </c>
      <c r="F1971" s="1">
        <v>95</v>
      </c>
      <c r="G1971" s="1">
        <v>4000</v>
      </c>
      <c r="H1971" s="1" t="str">
        <f>"95/01/28"</f>
        <v>95/01/28</v>
      </c>
      <c r="I1971" s="1" t="str">
        <f t="shared" si="511"/>
        <v>كيلوگرم</v>
      </c>
      <c r="J1971" s="1" t="str">
        <f t="shared" si="526"/>
        <v>0000000076</v>
      </c>
      <c r="K1971" s="1" t="str">
        <f t="shared" si="527"/>
        <v>قير 60/70 - فله</v>
      </c>
      <c r="L1971" s="1">
        <v>100</v>
      </c>
      <c r="M1971" s="1" t="str">
        <f t="shared" si="517"/>
        <v>مخازن قير اصفهان</v>
      </c>
      <c r="N1971" s="1">
        <v>7004</v>
      </c>
      <c r="O1971" s="1">
        <v>50030531</v>
      </c>
      <c r="P1971" s="1" t="str">
        <f>"  شهرداري زابل"</f>
        <v xml:space="preserve">  شهرداري زابل</v>
      </c>
      <c r="Q1971" s="1">
        <v>11</v>
      </c>
      <c r="R1971" s="1" t="str">
        <f t="shared" si="528"/>
        <v>فروش داخلي تهران - بورس</v>
      </c>
      <c r="S1971" s="1" t="str">
        <f t="shared" si="513"/>
        <v>قرارداد فروش</v>
      </c>
      <c r="T1971" s="1" t="str">
        <f t="shared" si="514"/>
        <v>ندارد</v>
      </c>
      <c r="U1971" s="1" t="str">
        <f>"فتحي حميد(1901090)"</f>
        <v>فتحي حميد(1901090)</v>
      </c>
      <c r="V1971" s="1">
        <v>951100008</v>
      </c>
      <c r="W1971" s="1">
        <v>951100008</v>
      </c>
      <c r="X1971" s="1" t="str">
        <f>"1395399112"</f>
        <v>1395399112</v>
      </c>
      <c r="Y1971" s="1" t="str">
        <f>"95/01/25"</f>
        <v>95/01/25</v>
      </c>
      <c r="Z1971" s="1" t="str">
        <f>"95-34193"</f>
        <v>95-34193</v>
      </c>
      <c r="AA1971" s="1" t="str">
        <f>"شهرداريها"</f>
        <v>شهرداريها</v>
      </c>
      <c r="AB1971" s="1" t="str">
        <f>"95/01/25"</f>
        <v>95/01/25</v>
      </c>
      <c r="AC1971" s="1" t="str">
        <f>"استان سيستان بلوچستان"</f>
        <v>استان سيستان بلوچستان</v>
      </c>
      <c r="AD1971" s="1" t="str">
        <f>"95/01/24"</f>
        <v>95/01/24</v>
      </c>
      <c r="AE1971" s="1" t="str">
        <f>"اختتام"</f>
        <v>اختتام</v>
      </c>
      <c r="AF1971" s="1" t="str">
        <f>""</f>
        <v/>
      </c>
      <c r="AG1971" s="1" t="str">
        <f>""</f>
        <v/>
      </c>
      <c r="AH1971" s="1" t="str">
        <f>""</f>
        <v/>
      </c>
      <c r="AI1971" s="1" t="str">
        <f>""</f>
        <v/>
      </c>
      <c r="AJ1971" s="1" t="str">
        <f>""</f>
        <v/>
      </c>
      <c r="AK1971" s="1" t="str">
        <f>""</f>
        <v/>
      </c>
    </row>
    <row r="1972" spans="1:37" x14ac:dyDescent="0.2">
      <c r="A1972" s="1">
        <v>150000</v>
      </c>
      <c r="B1972" s="1">
        <v>951100007</v>
      </c>
      <c r="C1972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1972" s="1">
        <v>5200</v>
      </c>
      <c r="E1972" s="1">
        <v>148760</v>
      </c>
      <c r="F1972" s="1">
        <v>95</v>
      </c>
      <c r="G1972" s="1">
        <v>1240</v>
      </c>
      <c r="H1972" s="1" t="str">
        <f>"95/01/28"</f>
        <v>95/01/28</v>
      </c>
      <c r="I1972" s="1" t="str">
        <f t="shared" si="511"/>
        <v>كيلوگرم</v>
      </c>
      <c r="J1972" s="1" t="str">
        <f t="shared" si="526"/>
        <v>0000000076</v>
      </c>
      <c r="K1972" s="1" t="str">
        <f t="shared" si="527"/>
        <v>قير 60/70 - فله</v>
      </c>
      <c r="L1972" s="1">
        <v>100</v>
      </c>
      <c r="M1972" s="1" t="str">
        <f t="shared" si="517"/>
        <v>مخازن قير اصفهان</v>
      </c>
      <c r="N1972" s="1">
        <v>7038</v>
      </c>
      <c r="O1972" s="1">
        <v>50030530</v>
      </c>
      <c r="P1972" s="1" t="str">
        <f>"  اصفهان مترو"</f>
        <v xml:space="preserve">  اصفهان مترو</v>
      </c>
      <c r="Q1972" s="1">
        <v>11</v>
      </c>
      <c r="R1972" s="1" t="str">
        <f t="shared" si="528"/>
        <v>فروش داخلي تهران - بورس</v>
      </c>
      <c r="S1972" s="1" t="str">
        <f t="shared" si="513"/>
        <v>قرارداد فروش</v>
      </c>
      <c r="T1972" s="1" t="str">
        <f t="shared" si="514"/>
        <v>ندارد</v>
      </c>
      <c r="U1972" s="1" t="str">
        <f>"عزيزي صفر(1006ج 89)"</f>
        <v>عزيزي صفر(1006ج 89)</v>
      </c>
      <c r="V1972" s="1">
        <v>951100007</v>
      </c>
      <c r="W1972" s="1">
        <v>951100007</v>
      </c>
      <c r="X1972" s="1" t="str">
        <f>"1395399107"</f>
        <v>1395399107</v>
      </c>
      <c r="Y1972" s="1" t="str">
        <f>"95/01/25"</f>
        <v>95/01/25</v>
      </c>
      <c r="Z1972" s="1" t="str">
        <f>"95-34192"</f>
        <v>95-34192</v>
      </c>
      <c r="AA1972" s="1" t="str">
        <f>"راه سازي"</f>
        <v>راه سازي</v>
      </c>
      <c r="AB1972" s="1" t="str">
        <f>"95/01/25"</f>
        <v>95/01/25</v>
      </c>
      <c r="AC1972" s="1" t="str">
        <f t="shared" ref="AC1972:AC1980" si="529">"استان اصفهان"</f>
        <v>استان اصفهان</v>
      </c>
      <c r="AD1972" s="1" t="str">
        <f>"95/01/24"</f>
        <v>95/01/24</v>
      </c>
      <c r="AE1972" s="1" t="str">
        <f>"اختتام"</f>
        <v>اختتام</v>
      </c>
      <c r="AF1972" s="1" t="str">
        <f>""</f>
        <v/>
      </c>
      <c r="AG1972" s="1" t="str">
        <f>""</f>
        <v/>
      </c>
      <c r="AH1972" s="1" t="str">
        <f>""</f>
        <v/>
      </c>
      <c r="AI1972" s="1" t="str">
        <f>""</f>
        <v/>
      </c>
      <c r="AJ1972" s="1" t="str">
        <f>""</f>
        <v/>
      </c>
      <c r="AK1972" s="1" t="str">
        <f>""</f>
        <v/>
      </c>
    </row>
    <row r="1973" spans="1:37" x14ac:dyDescent="0.2">
      <c r="A1973" s="1">
        <v>16000</v>
      </c>
      <c r="B1973" s="1">
        <v>951100141</v>
      </c>
      <c r="C1973" s="1" t="str">
        <f>"تخليه -اصفهان جاده دولت آباد خيابان اكباتان"</f>
        <v>تخليه -اصفهان جاده دولت آباد خيابان اكباتان</v>
      </c>
      <c r="D1973" s="1">
        <v>8973</v>
      </c>
      <c r="E1973" s="1">
        <v>16000</v>
      </c>
      <c r="F1973" s="1">
        <v>95</v>
      </c>
      <c r="G1973" s="1">
        <v>0</v>
      </c>
      <c r="H1973" s="1" t="str">
        <f>"95/08/18"</f>
        <v>95/08/18</v>
      </c>
      <c r="I1973" s="1" t="str">
        <f t="shared" si="511"/>
        <v>كيلوگرم</v>
      </c>
      <c r="J1973" s="1" t="str">
        <f t="shared" si="526"/>
        <v>0000000076</v>
      </c>
      <c r="K1973" s="1" t="str">
        <f t="shared" si="527"/>
        <v>قير 60/70 - فله</v>
      </c>
      <c r="L1973" s="1">
        <v>100</v>
      </c>
      <c r="M1973" s="1" t="str">
        <f t="shared" si="517"/>
        <v>مخازن قير اصفهان</v>
      </c>
      <c r="N1973" s="1">
        <v>7078</v>
      </c>
      <c r="O1973" s="1">
        <v>50032563</v>
      </c>
      <c r="P1973" s="1" t="str">
        <f>"  آينده شيمي اصفهان"</f>
        <v xml:space="preserve">  آينده شيمي اصفهان</v>
      </c>
      <c r="Q1973" s="1">
        <v>11</v>
      </c>
      <c r="R1973" s="1" t="str">
        <f t="shared" si="528"/>
        <v>فروش داخلي تهران - بورس</v>
      </c>
      <c r="S1973" s="1" t="str">
        <f t="shared" si="513"/>
        <v>قرارداد فروش</v>
      </c>
      <c r="T1973" s="1" t="str">
        <f t="shared" si="514"/>
        <v>ندارد</v>
      </c>
      <c r="U1973" s="1" t="str">
        <f>"تعاوني جم گستر (1001 ج 89)"</f>
        <v>تعاوني جم گستر (1001 ج 89)</v>
      </c>
      <c r="V1973" s="1">
        <v>951100141</v>
      </c>
      <c r="W1973" s="1">
        <v>951100141</v>
      </c>
      <c r="X1973" s="1" t="str">
        <f>"1395443385"</f>
        <v>1395443385</v>
      </c>
      <c r="Y1973" s="1" t="str">
        <f>"95/08/17"</f>
        <v>95/08/17</v>
      </c>
      <c r="Z1973" s="1" t="str">
        <f>"95/110"</f>
        <v>95/110</v>
      </c>
      <c r="AA1973" s="1" t="str">
        <f>"عايق كاران"</f>
        <v>عايق كاران</v>
      </c>
      <c r="AB1973" s="1" t="str">
        <f>"95/08/15"</f>
        <v>95/08/15</v>
      </c>
      <c r="AC1973" s="1" t="str">
        <f t="shared" si="529"/>
        <v>استان اصفهان</v>
      </c>
      <c r="AD1973" s="1" t="str">
        <f>"95/08/17"</f>
        <v>95/08/17</v>
      </c>
      <c r="AE1973" s="1" t="str">
        <f>"تاييدشده"</f>
        <v>تاييدشده</v>
      </c>
      <c r="AF1973" s="1" t="str">
        <f>""</f>
        <v/>
      </c>
      <c r="AG1973" s="1" t="str">
        <f>""</f>
        <v/>
      </c>
      <c r="AH1973" s="1" t="str">
        <f>""</f>
        <v/>
      </c>
      <c r="AI1973" s="1" t="str">
        <f>""</f>
        <v/>
      </c>
      <c r="AJ1973" s="1" t="str">
        <f>""</f>
        <v/>
      </c>
      <c r="AK1973" s="1" t="str">
        <f>""</f>
        <v/>
      </c>
    </row>
    <row r="1974" spans="1:37" x14ac:dyDescent="0.2">
      <c r="A1974" s="1">
        <v>16000</v>
      </c>
      <c r="B1974" s="1">
        <v>951100187</v>
      </c>
      <c r="C1974" s="1" t="str">
        <f>"تخليه -اصفهان جاده دولت آباد خيابان اكباتان"</f>
        <v>تخليه -اصفهان جاده دولت آباد خيابان اكباتان</v>
      </c>
      <c r="D1974" s="1">
        <v>8848</v>
      </c>
      <c r="E1974" s="1">
        <v>14060</v>
      </c>
      <c r="F1974" s="1">
        <v>95</v>
      </c>
      <c r="G1974" s="1">
        <v>1940</v>
      </c>
      <c r="H1974" s="1" t="str">
        <f>"95/12/07"</f>
        <v>95/12/07</v>
      </c>
      <c r="I1974" s="1" t="str">
        <f t="shared" si="511"/>
        <v>كيلوگرم</v>
      </c>
      <c r="J1974" s="1" t="str">
        <f t="shared" si="526"/>
        <v>0000000076</v>
      </c>
      <c r="K1974" s="1" t="str">
        <f t="shared" si="527"/>
        <v>قير 60/70 - فله</v>
      </c>
      <c r="L1974" s="1">
        <v>100</v>
      </c>
      <c r="M1974" s="1" t="str">
        <f t="shared" si="517"/>
        <v>مخازن قير اصفهان</v>
      </c>
      <c r="N1974" s="1">
        <v>7078</v>
      </c>
      <c r="O1974" s="1">
        <v>50033875</v>
      </c>
      <c r="P1974" s="1" t="str">
        <f>"  آينده شيمي اصفهان"</f>
        <v xml:space="preserve">  آينده شيمي اصفهان</v>
      </c>
      <c r="Q1974" s="1">
        <v>11</v>
      </c>
      <c r="R1974" s="1" t="str">
        <f t="shared" si="528"/>
        <v>فروش داخلي تهران - بورس</v>
      </c>
      <c r="S1974" s="1" t="str">
        <f t="shared" si="513"/>
        <v>قرارداد فروش</v>
      </c>
      <c r="T1974" s="1" t="str">
        <f t="shared" si="514"/>
        <v>ندارد</v>
      </c>
      <c r="U1974" s="1" t="str">
        <f>"تعاوني جم گستر (1001 ج 89)"</f>
        <v>تعاوني جم گستر (1001 ج 89)</v>
      </c>
      <c r="V1974" s="1">
        <v>951100187</v>
      </c>
      <c r="W1974" s="1">
        <v>951100187</v>
      </c>
      <c r="X1974" s="1" t="str">
        <f>"1395467356"</f>
        <v>1395467356</v>
      </c>
      <c r="Y1974" s="1" t="str">
        <f>"95/12/07"</f>
        <v>95/12/07</v>
      </c>
      <c r="Z1974" s="1" t="str">
        <f>"95/235"</f>
        <v>95/235</v>
      </c>
      <c r="AA1974" s="1" t="str">
        <f>"عايق كاران"</f>
        <v>عايق كاران</v>
      </c>
      <c r="AB1974" s="1" t="str">
        <f>"95/12/04"</f>
        <v>95/12/04</v>
      </c>
      <c r="AC1974" s="1" t="str">
        <f t="shared" si="529"/>
        <v>استان اصفهان</v>
      </c>
      <c r="AD1974" s="1" t="str">
        <f>"95/12/04"</f>
        <v>95/12/04</v>
      </c>
      <c r="AE1974" s="1" t="str">
        <f>"اختتام"</f>
        <v>اختتام</v>
      </c>
      <c r="AF1974" s="1" t="str">
        <f>""</f>
        <v/>
      </c>
      <c r="AG1974" s="1" t="str">
        <f>""</f>
        <v/>
      </c>
      <c r="AH1974" s="1" t="str">
        <f>""</f>
        <v/>
      </c>
      <c r="AI1974" s="1" t="str">
        <f>""</f>
        <v/>
      </c>
      <c r="AJ1974" s="1" t="str">
        <f>""</f>
        <v/>
      </c>
      <c r="AK1974" s="1" t="str">
        <f>""</f>
        <v/>
      </c>
    </row>
    <row r="1975" spans="1:37" x14ac:dyDescent="0.2">
      <c r="A1975" s="1">
        <v>227000</v>
      </c>
      <c r="B1975" s="1">
        <v>956300002</v>
      </c>
      <c r="C1975" s="1" t="str">
        <f>"تخليه - اصفهان - کيلومتر 10 مورچه خورت"</f>
        <v>تخليه - اصفهان - کيلومتر 10 مورچه خورت</v>
      </c>
      <c r="D1975" s="1">
        <v>7026</v>
      </c>
      <c r="E1975" s="1">
        <v>227000</v>
      </c>
      <c r="F1975" s="1">
        <v>95</v>
      </c>
      <c r="G1975" s="1">
        <v>0</v>
      </c>
      <c r="H1975" s="1" t="str">
        <f>"95/09/21"</f>
        <v>95/09/21</v>
      </c>
      <c r="I1975" s="1" t="str">
        <f t="shared" si="511"/>
        <v>كيلوگرم</v>
      </c>
      <c r="J1975" s="1" t="str">
        <f t="shared" si="526"/>
        <v>0000000076</v>
      </c>
      <c r="K1975" s="1" t="str">
        <f t="shared" si="527"/>
        <v>قير 60/70 - فله</v>
      </c>
      <c r="L1975" s="1">
        <v>100</v>
      </c>
      <c r="M1975" s="1" t="str">
        <f t="shared" si="517"/>
        <v>مخازن قير اصفهان</v>
      </c>
      <c r="N1975" s="1">
        <v>7127</v>
      </c>
      <c r="O1975" s="1">
        <v>50032986</v>
      </c>
      <c r="P1975" s="1" t="str">
        <f>"  آذر بام عايق کار"</f>
        <v xml:space="preserve">  آذر بام عايق کار</v>
      </c>
      <c r="Q1975" s="1">
        <v>63</v>
      </c>
      <c r="R1975" s="1" t="str">
        <f>"سازمان نوسازي،توسعه و تجهيز مدارس كشور"</f>
        <v>سازمان نوسازي،توسعه و تجهيز مدارس كشور</v>
      </c>
      <c r="S1975" s="1" t="str">
        <f t="shared" si="513"/>
        <v>قرارداد فروش</v>
      </c>
      <c r="T1975" s="1" t="str">
        <f t="shared" si="514"/>
        <v>ندارد</v>
      </c>
      <c r="U1975" s="1" t="str">
        <f>"فتاح زاده سيداحمد(3843011)"</f>
        <v>فتاح زاده سيداحمد(3843011)</v>
      </c>
      <c r="V1975" s="1">
        <v>956300002</v>
      </c>
      <c r="W1975" s="1">
        <v>956300002</v>
      </c>
      <c r="X1975" s="1" t="str">
        <f>"1395451262"</f>
        <v>1395451262</v>
      </c>
      <c r="Y1975" s="1" t="str">
        <f>"95/09/21"</f>
        <v>95/09/21</v>
      </c>
      <c r="Z1975" s="1" t="str">
        <f>"18/95/7756"</f>
        <v>18/95/7756</v>
      </c>
      <c r="AA1975" s="1" t="str">
        <f>"سازمان نوسازي توسعه وتجهيزمدارس كشور"</f>
        <v>سازمان نوسازي توسعه وتجهيزمدارس كشور</v>
      </c>
      <c r="AB1975" s="1" t="str">
        <f>"95/09/09"</f>
        <v>95/09/09</v>
      </c>
      <c r="AC1975" s="1" t="str">
        <f t="shared" si="529"/>
        <v>استان اصفهان</v>
      </c>
      <c r="AD1975" s="1" t="str">
        <f>"95/09/21"</f>
        <v>95/09/21</v>
      </c>
      <c r="AE1975" s="1" t="str">
        <f>"تاييدشده"</f>
        <v>تاييدشده</v>
      </c>
      <c r="AF1975" s="1" t="str">
        <f>""</f>
        <v/>
      </c>
      <c r="AG1975" s="1" t="str">
        <f>""</f>
        <v/>
      </c>
      <c r="AH1975" s="1" t="str">
        <f>""</f>
        <v/>
      </c>
      <c r="AI1975" s="1" t="str">
        <f>""</f>
        <v/>
      </c>
      <c r="AJ1975" s="1" t="str">
        <f>""</f>
        <v/>
      </c>
      <c r="AK1975" s="1" t="str">
        <f>""</f>
        <v/>
      </c>
    </row>
    <row r="1976" spans="1:37" x14ac:dyDescent="0.2">
      <c r="A1976" s="1">
        <v>150000</v>
      </c>
      <c r="B1976" s="1">
        <v>956200155</v>
      </c>
      <c r="C1976" s="1" t="str">
        <f>"تخليه اصفهان كيلومتر5جاده خور-طبس"</f>
        <v>تخليه اصفهان كيلومتر5جاده خور-طبس</v>
      </c>
      <c r="D1976" s="1">
        <v>8861</v>
      </c>
      <c r="E1976" s="1">
        <v>148860</v>
      </c>
      <c r="F1976" s="1">
        <v>95</v>
      </c>
      <c r="G1976" s="1">
        <v>1140</v>
      </c>
      <c r="H1976" s="1" t="str">
        <f>"95/10/23"</f>
        <v>95/10/23</v>
      </c>
      <c r="I1976" s="1" t="str">
        <f t="shared" si="511"/>
        <v>كيلوگرم</v>
      </c>
      <c r="J1976" s="1" t="str">
        <f t="shared" si="526"/>
        <v>0000000076</v>
      </c>
      <c r="K1976" s="1" t="str">
        <f t="shared" si="527"/>
        <v>قير 60/70 - فله</v>
      </c>
      <c r="L1976" s="1">
        <v>100</v>
      </c>
      <c r="M1976" s="1" t="str">
        <f t="shared" si="517"/>
        <v>مخازن قير اصفهان</v>
      </c>
      <c r="N1976" s="1">
        <v>7140</v>
      </c>
      <c r="O1976" s="1">
        <v>50033374</v>
      </c>
      <c r="P1976" s="1" t="str">
        <f>"  زرين سپاهان"</f>
        <v xml:space="preserve">  زرين سپاهان</v>
      </c>
      <c r="Q1976" s="1">
        <v>62</v>
      </c>
      <c r="R1976" s="1" t="str">
        <f>"فروش داخلي - سازمان بنيادمسكن انقلاب اسلامي"</f>
        <v>فروش داخلي - سازمان بنيادمسكن انقلاب اسلامي</v>
      </c>
      <c r="S1976" s="1" t="str">
        <f t="shared" si="513"/>
        <v>قرارداد فروش</v>
      </c>
      <c r="T1976" s="1" t="str">
        <f t="shared" si="514"/>
        <v>ندارد</v>
      </c>
      <c r="U1976" s="1" t="str">
        <f>"مرادي نجاتعلي(1020ج89)"</f>
        <v>مرادي نجاتعلي(1020ج89)</v>
      </c>
      <c r="V1976" s="1">
        <v>956200155</v>
      </c>
      <c r="W1976" s="1">
        <v>956200155</v>
      </c>
      <c r="X1976" s="1" t="str">
        <f>"1395457937"</f>
        <v>1395457937</v>
      </c>
      <c r="Y1976" s="1" t="str">
        <f>"95/10/23"</f>
        <v>95/10/23</v>
      </c>
      <c r="Z1976" s="1" t="str">
        <f>"44839/د"</f>
        <v>44839/د</v>
      </c>
      <c r="AA1976" s="1" t="str">
        <f>"بنيادمسكن انقلاب اسلامي"</f>
        <v>بنيادمسكن انقلاب اسلامي</v>
      </c>
      <c r="AB1976" s="1" t="str">
        <f>"95/10/20"</f>
        <v>95/10/20</v>
      </c>
      <c r="AC1976" s="1" t="str">
        <f t="shared" si="529"/>
        <v>استان اصفهان</v>
      </c>
      <c r="AD1976" s="1" t="str">
        <f>"95/10/22"</f>
        <v>95/10/22</v>
      </c>
      <c r="AE1976" s="1" t="str">
        <f>"اختتام"</f>
        <v>اختتام</v>
      </c>
      <c r="AF1976" s="1" t="str">
        <f>""</f>
        <v/>
      </c>
      <c r="AG1976" s="1" t="str">
        <f>""</f>
        <v/>
      </c>
      <c r="AH1976" s="1" t="str">
        <f>""</f>
        <v/>
      </c>
      <c r="AI1976" s="1" t="str">
        <f>""</f>
        <v/>
      </c>
      <c r="AJ1976" s="1" t="str">
        <f>""</f>
        <v/>
      </c>
      <c r="AK1976" s="1" t="str">
        <f>""</f>
        <v/>
      </c>
    </row>
    <row r="1977" spans="1:37" x14ac:dyDescent="0.2">
      <c r="A1977" s="1">
        <v>118000</v>
      </c>
      <c r="B1977" s="1">
        <v>952000091</v>
      </c>
      <c r="C1977" s="1" t="str">
        <f>"تخليه -کيلومتر 5 جاده خوانسار"</f>
        <v>تخليه -کيلومتر 5 جاده خوانسار</v>
      </c>
      <c r="D1977" s="1">
        <v>6876</v>
      </c>
      <c r="E1977" s="1">
        <v>116540</v>
      </c>
      <c r="F1977" s="1">
        <v>95</v>
      </c>
      <c r="G1977" s="1">
        <v>1460</v>
      </c>
      <c r="H1977" s="1" t="str">
        <f>"95/06/23"</f>
        <v>95/06/23</v>
      </c>
      <c r="I1977" s="1" t="str">
        <f t="shared" si="511"/>
        <v>كيلوگرم</v>
      </c>
      <c r="J1977" s="1" t="str">
        <f t="shared" si="526"/>
        <v>0000000076</v>
      </c>
      <c r="K1977" s="1" t="str">
        <f t="shared" si="527"/>
        <v>قير 60/70 - فله</v>
      </c>
      <c r="L1977" s="1">
        <v>100</v>
      </c>
      <c r="M1977" s="1" t="str">
        <f t="shared" si="517"/>
        <v>مخازن قير اصفهان</v>
      </c>
      <c r="N1977" s="1">
        <v>7186</v>
      </c>
      <c r="O1977" s="1">
        <v>50031862</v>
      </c>
      <c r="P1977" s="1" t="str">
        <f>"  شهرداري گلشهر"</f>
        <v xml:space="preserve">  شهرداري گلشهر</v>
      </c>
      <c r="Q1977" s="1">
        <v>20</v>
      </c>
      <c r="R1977" s="1" t="str">
        <f>"فروش داخلي - سازمان شهرداري ها و دهياري هاي كشور"</f>
        <v>فروش داخلي - سازمان شهرداري ها و دهياري هاي كشور</v>
      </c>
      <c r="S1977" s="1" t="str">
        <f t="shared" si="513"/>
        <v>قرارداد فروش</v>
      </c>
      <c r="T1977" s="1" t="str">
        <f t="shared" si="514"/>
        <v>ندارد</v>
      </c>
      <c r="U1977" s="1" t="str">
        <f>"شهبازي محمدرضا(1029ج89)"</f>
        <v>شهبازي محمدرضا(1029ج89)</v>
      </c>
      <c r="V1977" s="1">
        <v>952000091</v>
      </c>
      <c r="W1977" s="1">
        <v>952000091</v>
      </c>
      <c r="X1977" s="1" t="str">
        <f>"1395430858"</f>
        <v>1395430858</v>
      </c>
      <c r="Y1977" s="1" t="str">
        <f>"95/06/23"</f>
        <v>95/06/23</v>
      </c>
      <c r="Z1977" s="1" t="str">
        <f>"27758"</f>
        <v>27758</v>
      </c>
      <c r="AA1977" s="1" t="str">
        <f>"شهرداريها"</f>
        <v>شهرداريها</v>
      </c>
      <c r="AB1977" s="1" t="str">
        <f>"95/06/10"</f>
        <v>95/06/10</v>
      </c>
      <c r="AC1977" s="1" t="str">
        <f t="shared" si="529"/>
        <v>استان اصفهان</v>
      </c>
      <c r="AD1977" s="1" t="str">
        <f>"95/06/23"</f>
        <v>95/06/23</v>
      </c>
      <c r="AE1977" s="1" t="str">
        <f>"اختتام"</f>
        <v>اختتام</v>
      </c>
      <c r="AF1977" s="1" t="str">
        <f>""</f>
        <v/>
      </c>
      <c r="AG1977" s="1" t="str">
        <f>""</f>
        <v/>
      </c>
      <c r="AH1977" s="1" t="str">
        <f>""</f>
        <v/>
      </c>
      <c r="AI1977" s="1" t="str">
        <f>""</f>
        <v/>
      </c>
      <c r="AJ1977" s="1" t="str">
        <f>""</f>
        <v/>
      </c>
      <c r="AK1977" s="1" t="str">
        <f>""</f>
        <v/>
      </c>
    </row>
    <row r="1978" spans="1:37" x14ac:dyDescent="0.2">
      <c r="A1978" s="1">
        <v>73000</v>
      </c>
      <c r="B1978" s="1">
        <v>952000293</v>
      </c>
      <c r="C1978" s="1" t="str">
        <f>"تخليه -اصفهان -كيلومتر10جاده اصفهان -ميمه -شركت خاكپي -محمدرضامزروعي"</f>
        <v>تخليه -اصفهان -كيلومتر10جاده اصفهان -ميمه -شركت خاكپي -محمدرضامزروعي</v>
      </c>
      <c r="D1978" s="1">
        <v>7026</v>
      </c>
      <c r="E1978" s="1">
        <v>72540</v>
      </c>
      <c r="F1978" s="1">
        <v>95</v>
      </c>
      <c r="G1978" s="1">
        <v>460</v>
      </c>
      <c r="H1978" s="1" t="str">
        <f>"95/09/09"</f>
        <v>95/09/09</v>
      </c>
      <c r="I1978" s="1" t="str">
        <f t="shared" si="511"/>
        <v>كيلوگرم</v>
      </c>
      <c r="J1978" s="1" t="str">
        <f t="shared" si="526"/>
        <v>0000000076</v>
      </c>
      <c r="K1978" s="1" t="str">
        <f t="shared" si="527"/>
        <v>قير 60/70 - فله</v>
      </c>
      <c r="L1978" s="1">
        <v>100</v>
      </c>
      <c r="M1978" s="1" t="str">
        <f t="shared" si="517"/>
        <v>مخازن قير اصفهان</v>
      </c>
      <c r="N1978" s="1">
        <v>7314</v>
      </c>
      <c r="O1978" s="1">
        <v>50032774</v>
      </c>
      <c r="P1978" s="1" t="str">
        <f>"  شهرداري ميمه"</f>
        <v xml:space="preserve">  شهرداري ميمه</v>
      </c>
      <c r="Q1978" s="1">
        <v>20</v>
      </c>
      <c r="R1978" s="1" t="str">
        <f>"فروش داخلي - سازمان شهرداري ها و دهياري هاي كشور"</f>
        <v>فروش داخلي - سازمان شهرداري ها و دهياري هاي كشور</v>
      </c>
      <c r="S1978" s="1" t="str">
        <f t="shared" si="513"/>
        <v>قرارداد فروش</v>
      </c>
      <c r="T1978" s="1" t="str">
        <f t="shared" si="514"/>
        <v>ندارد</v>
      </c>
      <c r="U1978" s="1" t="str">
        <f>"ريسماني حسن(1007ج89)"</f>
        <v>ريسماني حسن(1007ج89)</v>
      </c>
      <c r="V1978" s="1">
        <v>952000293</v>
      </c>
      <c r="W1978" s="1">
        <v>952000293</v>
      </c>
      <c r="X1978" s="1" t="str">
        <f>"1395447798"</f>
        <v>1395447798</v>
      </c>
      <c r="Y1978" s="1" t="str">
        <f>"95/09/09"</f>
        <v>95/09/09</v>
      </c>
      <c r="Z1978" s="1" t="str">
        <f>"43282"</f>
        <v>43282</v>
      </c>
      <c r="AA1978" s="1" t="str">
        <f>"شهرداريها"</f>
        <v>شهرداريها</v>
      </c>
      <c r="AB1978" s="1" t="str">
        <f>"95/09/02"</f>
        <v>95/09/02</v>
      </c>
      <c r="AC1978" s="1" t="str">
        <f t="shared" si="529"/>
        <v>استان اصفهان</v>
      </c>
      <c r="AD1978" s="1" t="str">
        <f>"95/09/07"</f>
        <v>95/09/07</v>
      </c>
      <c r="AE1978" s="1" t="str">
        <f>"اختتام"</f>
        <v>اختتام</v>
      </c>
      <c r="AF1978" s="1" t="str">
        <f>""</f>
        <v/>
      </c>
      <c r="AG1978" s="1" t="str">
        <f>""</f>
        <v/>
      </c>
      <c r="AH1978" s="1" t="str">
        <f>""</f>
        <v/>
      </c>
      <c r="AI1978" s="1" t="str">
        <f>""</f>
        <v/>
      </c>
      <c r="AJ1978" s="1" t="str">
        <f>""</f>
        <v/>
      </c>
      <c r="AK1978" s="1" t="str">
        <f>""</f>
        <v/>
      </c>
    </row>
    <row r="1979" spans="1:37" x14ac:dyDescent="0.2">
      <c r="A1979" s="1">
        <v>72000</v>
      </c>
      <c r="B1979" s="1">
        <v>951100090</v>
      </c>
      <c r="C1979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979" s="1">
        <v>5950</v>
      </c>
      <c r="E1979" s="1">
        <v>72000</v>
      </c>
      <c r="F1979" s="1">
        <v>95</v>
      </c>
      <c r="G1979" s="1">
        <v>0</v>
      </c>
      <c r="H1979" s="1" t="str">
        <f>"95/05/04"</f>
        <v>95/05/04</v>
      </c>
      <c r="I1979" s="1" t="str">
        <f t="shared" si="511"/>
        <v>كيلوگرم</v>
      </c>
      <c r="J1979" s="1" t="str">
        <f t="shared" si="526"/>
        <v>0000000076</v>
      </c>
      <c r="K1979" s="1" t="str">
        <f t="shared" si="527"/>
        <v>قير 60/70 - فله</v>
      </c>
      <c r="L1979" s="1">
        <v>100</v>
      </c>
      <c r="M1979" s="1" t="str">
        <f t="shared" si="517"/>
        <v>مخازن قير اصفهان</v>
      </c>
      <c r="N1979" s="1">
        <v>8246</v>
      </c>
      <c r="O1979" s="1">
        <v>50031337</v>
      </c>
      <c r="P1979" s="1" t="str">
        <f>"  نيك محضراسپادانا"</f>
        <v xml:space="preserve">  نيك محضراسپادانا</v>
      </c>
      <c r="Q1979" s="1">
        <v>11</v>
      </c>
      <c r="R1979" s="1" t="str">
        <f>"فروش داخلي تهران - بورس"</f>
        <v>فروش داخلي تهران - بورس</v>
      </c>
      <c r="S1979" s="1" t="str">
        <f t="shared" si="513"/>
        <v>قرارداد فروش</v>
      </c>
      <c r="T1979" s="1" t="str">
        <f t="shared" si="514"/>
        <v>ندارد</v>
      </c>
      <c r="U1979" s="1" t="str">
        <f>"عزيزي صفر(1006ج 89)"</f>
        <v>عزيزي صفر(1006ج 89)</v>
      </c>
      <c r="V1979" s="1">
        <v>951100090</v>
      </c>
      <c r="W1979" s="1">
        <v>951100090</v>
      </c>
      <c r="X1979" s="1" t="str">
        <f>"1395415787"</f>
        <v>1395415787</v>
      </c>
      <c r="Y1979" s="1" t="str">
        <f>"95/05/04"</f>
        <v>95/05/04</v>
      </c>
      <c r="Z1979" s="1" t="str">
        <f>"95-34614"</f>
        <v>95-34614</v>
      </c>
      <c r="AA1979" s="1" t="str">
        <f>"آسفالت سازان"</f>
        <v>آسفالت سازان</v>
      </c>
      <c r="AB1979" s="1" t="str">
        <f>"95/05/03"</f>
        <v>95/05/03</v>
      </c>
      <c r="AC1979" s="1" t="str">
        <f t="shared" si="529"/>
        <v>استان اصفهان</v>
      </c>
      <c r="AD1979" s="1" t="str">
        <f>"95/04/26"</f>
        <v>95/04/26</v>
      </c>
      <c r="AE1979" s="1" t="str">
        <f>"تاييدشده"</f>
        <v>تاييدشده</v>
      </c>
      <c r="AF1979" s="1" t="str">
        <f>""</f>
        <v/>
      </c>
      <c r="AG1979" s="1" t="str">
        <f>""</f>
        <v/>
      </c>
      <c r="AH1979" s="1" t="str">
        <f>""</f>
        <v/>
      </c>
      <c r="AI1979" s="1" t="str">
        <f>""</f>
        <v/>
      </c>
      <c r="AJ1979" s="1" t="str">
        <f>""</f>
        <v/>
      </c>
      <c r="AK1979" s="1" t="str">
        <f>""</f>
        <v/>
      </c>
    </row>
    <row r="1980" spans="1:37" x14ac:dyDescent="0.2">
      <c r="A1980" s="1">
        <v>48000</v>
      </c>
      <c r="B1980" s="1">
        <v>951100131</v>
      </c>
      <c r="C1980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980" s="1">
        <v>6976</v>
      </c>
      <c r="E1980" s="1">
        <v>48000</v>
      </c>
      <c r="F1980" s="1">
        <v>95</v>
      </c>
      <c r="G1980" s="1">
        <v>0</v>
      </c>
      <c r="H1980" s="1" t="str">
        <f>"95/07/27"</f>
        <v>95/07/27</v>
      </c>
      <c r="I1980" s="1" t="str">
        <f t="shared" si="511"/>
        <v>كيلوگرم</v>
      </c>
      <c r="J1980" s="1" t="str">
        <f t="shared" si="526"/>
        <v>0000000076</v>
      </c>
      <c r="K1980" s="1" t="str">
        <f t="shared" si="527"/>
        <v>قير 60/70 - فله</v>
      </c>
      <c r="L1980" s="1">
        <v>100</v>
      </c>
      <c r="M1980" s="1" t="str">
        <f t="shared" si="517"/>
        <v>مخازن قير اصفهان</v>
      </c>
      <c r="N1980" s="1">
        <v>8246</v>
      </c>
      <c r="O1980" s="1">
        <v>50032228</v>
      </c>
      <c r="P1980" s="1" t="str">
        <f>"  نيك محضراسپادانا"</f>
        <v xml:space="preserve">  نيك محضراسپادانا</v>
      </c>
      <c r="Q1980" s="1">
        <v>11</v>
      </c>
      <c r="R1980" s="1" t="str">
        <f>"فروش داخلي تهران - بورس"</f>
        <v>فروش داخلي تهران - بورس</v>
      </c>
      <c r="S1980" s="1" t="str">
        <f t="shared" si="513"/>
        <v>قرارداد فروش</v>
      </c>
      <c r="T1980" s="1" t="str">
        <f t="shared" si="514"/>
        <v>ندارد</v>
      </c>
      <c r="U1980" s="1" t="str">
        <f>"عزيزي صفر(1006ج 89)"</f>
        <v>عزيزي صفر(1006ج 89)</v>
      </c>
      <c r="V1980" s="1">
        <v>951100131</v>
      </c>
      <c r="W1980" s="1">
        <v>951100131</v>
      </c>
      <c r="X1980" s="1" t="str">
        <f>"1395436737"</f>
        <v>1395436737</v>
      </c>
      <c r="Y1980" s="1" t="str">
        <f>"95/07/27"</f>
        <v>95/07/27</v>
      </c>
      <c r="Z1980" s="1" t="str">
        <f>"95-34731"</f>
        <v>95-34731</v>
      </c>
      <c r="AA1980" s="1" t="str">
        <f>"آسفالت سازان"</f>
        <v>آسفالت سازان</v>
      </c>
      <c r="AB1980" s="1" t="str">
        <f>"95/07/27"</f>
        <v>95/07/27</v>
      </c>
      <c r="AC1980" s="1" t="str">
        <f t="shared" si="529"/>
        <v>استان اصفهان</v>
      </c>
      <c r="AD1980" s="1" t="str">
        <f>"95/07/17"</f>
        <v>95/07/17</v>
      </c>
      <c r="AE1980" s="1" t="str">
        <f>"تاييدشده"</f>
        <v>تاييدشده</v>
      </c>
      <c r="AF1980" s="1" t="str">
        <f>""</f>
        <v/>
      </c>
      <c r="AG1980" s="1" t="str">
        <f>""</f>
        <v/>
      </c>
      <c r="AH1980" s="1" t="str">
        <f>""</f>
        <v/>
      </c>
      <c r="AI1980" s="1" t="str">
        <f>""</f>
        <v/>
      </c>
      <c r="AJ1980" s="1" t="str">
        <f>""</f>
        <v/>
      </c>
      <c r="AK1980" s="1" t="str">
        <f>""</f>
        <v/>
      </c>
    </row>
    <row r="1981" spans="1:37" x14ac:dyDescent="0.2">
      <c r="A1981" s="1">
        <v>69000</v>
      </c>
      <c r="B1981" s="1">
        <v>956300009</v>
      </c>
      <c r="C1981" s="1" t="str">
        <f>"تخليه -خراسان جنوبي -شهرستان بشرويه کارخانه آسفالت شهرداري"</f>
        <v>تخليه -خراسان جنوبي -شهرستان بشرويه کارخانه آسفالت شهرداري</v>
      </c>
      <c r="D1981" s="1">
        <v>8861</v>
      </c>
      <c r="E1981" s="1">
        <v>67320</v>
      </c>
      <c r="F1981" s="1">
        <v>95</v>
      </c>
      <c r="G1981" s="1">
        <v>1680</v>
      </c>
      <c r="H1981" s="1" t="str">
        <f>"95/10/13"</f>
        <v>95/10/13</v>
      </c>
      <c r="I1981" s="1" t="str">
        <f t="shared" si="511"/>
        <v>كيلوگرم</v>
      </c>
      <c r="J1981" s="1" t="str">
        <f t="shared" si="526"/>
        <v>0000000076</v>
      </c>
      <c r="K1981" s="1" t="str">
        <f t="shared" si="527"/>
        <v>قير 60/70 - فله</v>
      </c>
      <c r="L1981" s="1">
        <v>100</v>
      </c>
      <c r="M1981" s="1" t="str">
        <f t="shared" si="517"/>
        <v>مخازن قير اصفهان</v>
      </c>
      <c r="N1981" s="1">
        <v>8284</v>
      </c>
      <c r="O1981" s="1">
        <v>50033270</v>
      </c>
      <c r="P1981" s="1" t="str">
        <f>"  شهرداري بشرويه"</f>
        <v xml:space="preserve">  شهرداري بشرويه</v>
      </c>
      <c r="Q1981" s="1">
        <v>63</v>
      </c>
      <c r="R1981" s="1" t="str">
        <f>"سازمان نوسازي،توسعه و تجهيز مدارس كشور"</f>
        <v>سازمان نوسازي،توسعه و تجهيز مدارس كشور</v>
      </c>
      <c r="S1981" s="1" t="str">
        <f t="shared" si="513"/>
        <v>قرارداد فروش</v>
      </c>
      <c r="T1981" s="1" t="str">
        <f t="shared" si="514"/>
        <v>ندارد</v>
      </c>
      <c r="U1981" s="1" t="str">
        <f>"آقا علي منوچهر(1016ج89)"</f>
        <v>آقا علي منوچهر(1016ج89)</v>
      </c>
      <c r="V1981" s="1">
        <v>956300009</v>
      </c>
      <c r="W1981" s="1">
        <v>956300009</v>
      </c>
      <c r="X1981" s="1" t="str">
        <f>"1395456359"</f>
        <v>1395456359</v>
      </c>
      <c r="Y1981" s="1" t="str">
        <f>"95/10/13"</f>
        <v>95/10/13</v>
      </c>
      <c r="Z1981" s="1" t="str">
        <f>"3095/19-9161"</f>
        <v>3095/19-9161</v>
      </c>
      <c r="AA1981" s="1" t="str">
        <f>"سازمان نوسازي توسعه وتجهيزمدارس كشور"</f>
        <v>سازمان نوسازي توسعه وتجهيزمدارس كشور</v>
      </c>
      <c r="AB1981" s="1" t="str">
        <f>"95/09/20"</f>
        <v>95/09/20</v>
      </c>
      <c r="AC1981" s="1" t="str">
        <f>"خراسان جنوبي"</f>
        <v>خراسان جنوبي</v>
      </c>
      <c r="AD1981" s="1" t="str">
        <f>"95/10/13"</f>
        <v>95/10/13</v>
      </c>
      <c r="AE1981" s="1" t="str">
        <f>"اختتام"</f>
        <v>اختتام</v>
      </c>
      <c r="AF1981" s="1" t="str">
        <f>""</f>
        <v/>
      </c>
      <c r="AG1981" s="1" t="str">
        <f>""</f>
        <v/>
      </c>
      <c r="AH1981" s="1" t="str">
        <f>""</f>
        <v/>
      </c>
      <c r="AI1981" s="1" t="str">
        <f>""</f>
        <v/>
      </c>
      <c r="AJ1981" s="1" t="str">
        <f>""</f>
        <v/>
      </c>
      <c r="AK1981" s="1" t="str">
        <f>""</f>
        <v/>
      </c>
    </row>
    <row r="1982" spans="1:37" x14ac:dyDescent="0.2">
      <c r="A1982" s="1">
        <v>947000</v>
      </c>
      <c r="B1982" s="1">
        <v>956200256</v>
      </c>
      <c r="C1982" s="1" t="str">
        <f>"تخليه - قزوين - کيلومتر 10جاده رشت -کيلومتر 4 جاده مشکين آباد"</f>
        <v>تخليه - قزوين - کيلومتر 10جاده رشت -کيلومتر 4 جاده مشکين آباد</v>
      </c>
      <c r="D1982" s="1">
        <v>9361</v>
      </c>
      <c r="E1982" s="1">
        <v>945640</v>
      </c>
      <c r="F1982" s="1">
        <v>95</v>
      </c>
      <c r="G1982" s="1">
        <v>1360</v>
      </c>
      <c r="H1982" s="1" t="str">
        <f>"95/11/30"</f>
        <v>95/11/30</v>
      </c>
      <c r="I1982" s="1" t="str">
        <f t="shared" si="511"/>
        <v>كيلوگرم</v>
      </c>
      <c r="J1982" s="1" t="str">
        <f t="shared" si="526"/>
        <v>0000000076</v>
      </c>
      <c r="K1982" s="1" t="str">
        <f t="shared" si="527"/>
        <v>قير 60/70 - فله</v>
      </c>
      <c r="L1982" s="1">
        <v>100</v>
      </c>
      <c r="M1982" s="1" t="str">
        <f t="shared" si="517"/>
        <v>مخازن قير اصفهان</v>
      </c>
      <c r="N1982" s="1">
        <v>8606</v>
      </c>
      <c r="O1982" s="1">
        <v>50033796</v>
      </c>
      <c r="P1982" s="1" t="str">
        <f>"  پيمان گستر راه البرز"</f>
        <v xml:space="preserve">  پيمان گستر راه البرز</v>
      </c>
      <c r="Q1982" s="1">
        <v>62</v>
      </c>
      <c r="R1982" s="1" t="str">
        <f>"فروش داخلي - سازمان بنيادمسكن انقلاب اسلامي"</f>
        <v>فروش داخلي - سازمان بنيادمسكن انقلاب اسلامي</v>
      </c>
      <c r="S1982" s="1" t="str">
        <f t="shared" si="513"/>
        <v>قرارداد فروش</v>
      </c>
      <c r="T1982" s="1" t="str">
        <f t="shared" si="514"/>
        <v>ندارد</v>
      </c>
      <c r="U1982" s="1" t="str">
        <f>"اشرفي (مهاجر) ابوالفضل (1871069)"</f>
        <v>اشرفي (مهاجر) ابوالفضل (1871069)</v>
      </c>
      <c r="V1982" s="1">
        <v>956200256</v>
      </c>
      <c r="W1982" s="1">
        <v>956200256</v>
      </c>
      <c r="X1982" s="1" t="str">
        <f>"1395466056"</f>
        <v>1395466056</v>
      </c>
      <c r="Y1982" s="1" t="str">
        <f>"95/11/30"</f>
        <v>95/11/30</v>
      </c>
      <c r="Z1982" s="1" t="str">
        <f>"51728/د"</f>
        <v>51728/د</v>
      </c>
      <c r="AA1982" s="1" t="str">
        <f>"بنيادمسكن انقلاب اسلامي"</f>
        <v>بنيادمسكن انقلاب اسلامي</v>
      </c>
      <c r="AB1982" s="1" t="str">
        <f>"95/11/27"</f>
        <v>95/11/27</v>
      </c>
      <c r="AC1982" s="1" t="str">
        <f>"قزوين"</f>
        <v>قزوين</v>
      </c>
      <c r="AD1982" s="1" t="str">
        <f>"95/11/30"</f>
        <v>95/11/30</v>
      </c>
      <c r="AE1982" s="1" t="str">
        <f>"اختتام"</f>
        <v>اختتام</v>
      </c>
      <c r="AF1982" s="1" t="str">
        <f>""</f>
        <v/>
      </c>
      <c r="AG1982" s="1" t="str">
        <f>""</f>
        <v/>
      </c>
      <c r="AH1982" s="1" t="str">
        <f>""</f>
        <v/>
      </c>
      <c r="AI1982" s="1" t="str">
        <f>""</f>
        <v/>
      </c>
      <c r="AJ1982" s="1" t="str">
        <f>""</f>
        <v/>
      </c>
      <c r="AK1982" s="1" t="str">
        <f>""</f>
        <v/>
      </c>
    </row>
    <row r="1983" spans="1:37" x14ac:dyDescent="0.2">
      <c r="A1983" s="1">
        <v>400000</v>
      </c>
      <c r="B1983" s="1">
        <v>951100011</v>
      </c>
      <c r="C1983" s="1" t="str">
        <f>"تخليه-فارس-جاده شهرضا به آباده-30کيلومتر مانده به آباده روستاي شورجستان کيلومتر 13 جاده معادن خاک نسوز"</f>
        <v>تخليه-فارس-جاده شهرضا به آباده-30کيلومتر مانده به آباده روستاي شورجستان کيلومتر 13 جاده معادن خاک نسوز</v>
      </c>
      <c r="D1983" s="1">
        <v>5200</v>
      </c>
      <c r="E1983" s="1">
        <v>400000</v>
      </c>
      <c r="F1983" s="1">
        <v>95</v>
      </c>
      <c r="G1983" s="1">
        <v>0</v>
      </c>
      <c r="H1983" s="1" t="str">
        <f>"95/01/30"</f>
        <v>95/01/30</v>
      </c>
      <c r="I1983" s="1" t="str">
        <f t="shared" si="511"/>
        <v>كيلوگرم</v>
      </c>
      <c r="J1983" s="1" t="str">
        <f t="shared" si="526"/>
        <v>0000000076</v>
      </c>
      <c r="K1983" s="1" t="str">
        <f t="shared" si="527"/>
        <v>قير 60/70 - فله</v>
      </c>
      <c r="L1983" s="1">
        <v>100</v>
      </c>
      <c r="M1983" s="1" t="str">
        <f t="shared" si="517"/>
        <v>مخازن قير اصفهان</v>
      </c>
      <c r="N1983" s="1">
        <v>8750</v>
      </c>
      <c r="O1983" s="1">
        <v>50030573</v>
      </c>
      <c r="P1983" s="1" t="str">
        <f>"  چينه سازه بيهق"</f>
        <v xml:space="preserve">  چينه سازه بيهق</v>
      </c>
      <c r="Q1983" s="1">
        <v>11</v>
      </c>
      <c r="R1983" s="1" t="str">
        <f>"فروش داخلي تهران - بورس"</f>
        <v>فروش داخلي تهران - بورس</v>
      </c>
      <c r="S1983" s="1" t="str">
        <f t="shared" si="513"/>
        <v>قرارداد فروش</v>
      </c>
      <c r="T1983" s="1" t="str">
        <f t="shared" si="514"/>
        <v>ندارد</v>
      </c>
      <c r="U1983" s="1" t="str">
        <f>"محمدي نژاد خداوردي(2842024)"</f>
        <v>محمدي نژاد خداوردي(2842024)</v>
      </c>
      <c r="V1983" s="1">
        <v>951100011</v>
      </c>
      <c r="W1983" s="1">
        <v>951100011</v>
      </c>
      <c r="X1983" s="1" t="str">
        <f>"1395399104"</f>
        <v>1395399104</v>
      </c>
      <c r="Y1983" s="1" t="str">
        <f>"95/01/28"</f>
        <v>95/01/28</v>
      </c>
      <c r="Z1983" s="1" t="str">
        <f>"95-34203"</f>
        <v>95-34203</v>
      </c>
      <c r="AA1983" s="1" t="str">
        <f>"راه سازي"</f>
        <v>راه سازي</v>
      </c>
      <c r="AB1983" s="1" t="str">
        <f>"95/01/28"</f>
        <v>95/01/28</v>
      </c>
      <c r="AC1983" s="1" t="str">
        <f>"استان فارس"</f>
        <v>استان فارس</v>
      </c>
      <c r="AD1983" s="1" t="str">
        <f>"95/01/24"</f>
        <v>95/01/24</v>
      </c>
      <c r="AE1983" s="1" t="str">
        <f>"تاييدشده"</f>
        <v>تاييدشده</v>
      </c>
      <c r="AF1983" s="1" t="str">
        <f>""</f>
        <v/>
      </c>
      <c r="AG1983" s="1" t="str">
        <f>""</f>
        <v/>
      </c>
      <c r="AH1983" s="1" t="str">
        <f>""</f>
        <v/>
      </c>
      <c r="AI1983" s="1" t="str">
        <f>""</f>
        <v/>
      </c>
      <c r="AJ1983" s="1" t="str">
        <f>""</f>
        <v/>
      </c>
      <c r="AK1983" s="1" t="str">
        <f>""</f>
        <v/>
      </c>
    </row>
    <row r="1984" spans="1:37" x14ac:dyDescent="0.2">
      <c r="A1984" s="1">
        <v>120000</v>
      </c>
      <c r="B1984" s="1">
        <v>951100072</v>
      </c>
      <c r="C1984" s="1" t="str">
        <f>"تخليه-فارس-جاده شهرضا به آباده-30کيلومتر مانده به آباده روستاي شورجستان کيلومتر 13 جاده معادن خاک نسوز"</f>
        <v>تخليه-فارس-جاده شهرضا به آباده-30کيلومتر مانده به آباده روستاي شورجستان کيلومتر 13 جاده معادن خاک نسوز</v>
      </c>
      <c r="D1984" s="1">
        <v>5750</v>
      </c>
      <c r="E1984" s="1">
        <v>118360</v>
      </c>
      <c r="F1984" s="1">
        <v>95</v>
      </c>
      <c r="G1984" s="1">
        <v>1640</v>
      </c>
      <c r="H1984" s="1" t="str">
        <f>"95/03/30"</f>
        <v>95/03/30</v>
      </c>
      <c r="I1984" s="1" t="str">
        <f t="shared" si="511"/>
        <v>كيلوگرم</v>
      </c>
      <c r="J1984" s="1" t="str">
        <f t="shared" si="526"/>
        <v>0000000076</v>
      </c>
      <c r="K1984" s="1" t="str">
        <f t="shared" si="527"/>
        <v>قير 60/70 - فله</v>
      </c>
      <c r="L1984" s="1">
        <v>100</v>
      </c>
      <c r="M1984" s="1" t="str">
        <f t="shared" si="517"/>
        <v>مخازن قير اصفهان</v>
      </c>
      <c r="N1984" s="1">
        <v>8750</v>
      </c>
      <c r="O1984" s="1">
        <v>50031069</v>
      </c>
      <c r="P1984" s="1" t="str">
        <f>"  چينه سازه بيهق"</f>
        <v xml:space="preserve">  چينه سازه بيهق</v>
      </c>
      <c r="Q1984" s="1">
        <v>11</v>
      </c>
      <c r="R1984" s="1" t="str">
        <f>"فروش داخلي تهران - بورس"</f>
        <v>فروش داخلي تهران - بورس</v>
      </c>
      <c r="S1984" s="1" t="str">
        <f t="shared" si="513"/>
        <v>قرارداد فروش</v>
      </c>
      <c r="T1984" s="1" t="str">
        <f t="shared" si="514"/>
        <v>ندارد</v>
      </c>
      <c r="U1984" s="1" t="str">
        <f>"محمدي نژاد خداوردي(2842024)"</f>
        <v>محمدي نژاد خداوردي(2842024)</v>
      </c>
      <c r="V1984" s="1">
        <v>951100072</v>
      </c>
      <c r="W1984" s="1">
        <v>951100072</v>
      </c>
      <c r="X1984" s="1" t="str">
        <f>"1395409015"</f>
        <v>1395409015</v>
      </c>
      <c r="Y1984" s="1" t="str">
        <f>"95/03/29"</f>
        <v>95/03/29</v>
      </c>
      <c r="Z1984" s="1" t="str">
        <f>"95-34511"</f>
        <v>95-34511</v>
      </c>
      <c r="AA1984" s="1" t="str">
        <f>"راه سازي"</f>
        <v>راه سازي</v>
      </c>
      <c r="AB1984" s="1" t="str">
        <f>"95/03/29"</f>
        <v>95/03/29</v>
      </c>
      <c r="AC1984" s="1" t="str">
        <f>"استان فارس"</f>
        <v>استان فارس</v>
      </c>
      <c r="AD1984" s="1" t="str">
        <f>"95/03/24"</f>
        <v>95/03/24</v>
      </c>
      <c r="AE1984" s="1" t="str">
        <f t="shared" ref="AE1984:AE1991" si="530">"اختتام"</f>
        <v>اختتام</v>
      </c>
      <c r="AF1984" s="1" t="str">
        <f>""</f>
        <v/>
      </c>
      <c r="AG1984" s="1" t="str">
        <f>""</f>
        <v/>
      </c>
      <c r="AH1984" s="1" t="str">
        <f>""</f>
        <v/>
      </c>
      <c r="AI1984" s="1" t="str">
        <f>""</f>
        <v/>
      </c>
      <c r="AJ1984" s="1" t="str">
        <f>""</f>
        <v/>
      </c>
      <c r="AK1984" s="1" t="str">
        <f>""</f>
        <v/>
      </c>
    </row>
    <row r="1985" spans="1:37" x14ac:dyDescent="0.2">
      <c r="A1985" s="1">
        <v>100000</v>
      </c>
      <c r="B1985" s="1">
        <v>951100041</v>
      </c>
      <c r="C1985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1985" s="1">
        <v>5650</v>
      </c>
      <c r="E1985" s="1">
        <v>91720</v>
      </c>
      <c r="F1985" s="1">
        <v>95</v>
      </c>
      <c r="G1985" s="1">
        <v>8280</v>
      </c>
      <c r="H1985" s="1" t="str">
        <f>"95/02/15"</f>
        <v>95/02/15</v>
      </c>
      <c r="I1985" s="1" t="str">
        <f t="shared" si="511"/>
        <v>كيلوگرم</v>
      </c>
      <c r="J1985" s="1" t="str">
        <f t="shared" si="526"/>
        <v>0000000076</v>
      </c>
      <c r="K1985" s="1" t="str">
        <f t="shared" si="527"/>
        <v>قير 60/70 - فله</v>
      </c>
      <c r="L1985" s="1">
        <v>100</v>
      </c>
      <c r="M1985" s="1" t="str">
        <f t="shared" si="517"/>
        <v>مخازن قير اصفهان</v>
      </c>
      <c r="N1985" s="1">
        <v>8795</v>
      </c>
      <c r="O1985" s="1">
        <v>50030777</v>
      </c>
      <c r="P1985" s="1" t="str">
        <f>"  توسعه ساختارمحيط"</f>
        <v xml:space="preserve">  توسعه ساختارمحيط</v>
      </c>
      <c r="Q1985" s="1">
        <v>11</v>
      </c>
      <c r="R1985" s="1" t="str">
        <f>"فروش داخلي تهران - بورس"</f>
        <v>فروش داخلي تهران - بورس</v>
      </c>
      <c r="S1985" s="1" t="str">
        <f t="shared" si="513"/>
        <v>قرارداد فروش</v>
      </c>
      <c r="T1985" s="1" t="str">
        <f t="shared" si="514"/>
        <v>ندارد</v>
      </c>
      <c r="U1985" s="1" t="str">
        <f>"ميرحسيني چاپارحقيقت كرمان(4844008)"</f>
        <v>ميرحسيني چاپارحقيقت كرمان(4844008)</v>
      </c>
      <c r="V1985" s="1">
        <v>951100041</v>
      </c>
      <c r="W1985" s="1">
        <v>951100041</v>
      </c>
      <c r="X1985" s="1" t="str">
        <f>"1395401985"</f>
        <v>1395401985</v>
      </c>
      <c r="Y1985" s="1" t="str">
        <f>"95/02/15"</f>
        <v>95/02/15</v>
      </c>
      <c r="Z1985" s="1" t="str">
        <f>"93-34320"</f>
        <v>93-34320</v>
      </c>
      <c r="AA1985" s="1" t="str">
        <f>"آسفالت سازان"</f>
        <v>آسفالت سازان</v>
      </c>
      <c r="AB1985" s="1" t="str">
        <f>"95/02/15"</f>
        <v>95/02/15</v>
      </c>
      <c r="AC1985" s="1" t="str">
        <f>"قم"</f>
        <v>قم</v>
      </c>
      <c r="AD1985" s="1" t="str">
        <f>"95/02/11"</f>
        <v>95/02/11</v>
      </c>
      <c r="AE1985" s="1" t="str">
        <f t="shared" si="530"/>
        <v>اختتام</v>
      </c>
      <c r="AF1985" s="1" t="str">
        <f>""</f>
        <v/>
      </c>
      <c r="AG1985" s="1" t="str">
        <f>""</f>
        <v/>
      </c>
      <c r="AH1985" s="1" t="str">
        <f>""</f>
        <v/>
      </c>
      <c r="AI1985" s="1" t="str">
        <f>""</f>
        <v/>
      </c>
      <c r="AJ1985" s="1" t="str">
        <f>""</f>
        <v/>
      </c>
      <c r="AK1985" s="1" t="str">
        <f>""</f>
        <v/>
      </c>
    </row>
    <row r="1986" spans="1:37" x14ac:dyDescent="0.2">
      <c r="A1986" s="1">
        <v>163000</v>
      </c>
      <c r="B1986" s="1">
        <v>952000148</v>
      </c>
      <c r="C1986" s="1" t="str">
        <f>"تخليه يزدچم كارخانه آسفالت سازمان همياري شهرداريها"</f>
        <v>تخليه يزدچم كارخانه آسفالت سازمان همياري شهرداريها</v>
      </c>
      <c r="D1986" s="1">
        <v>6976</v>
      </c>
      <c r="E1986" s="1">
        <v>162400</v>
      </c>
      <c r="F1986" s="1">
        <v>95</v>
      </c>
      <c r="G1986" s="1">
        <v>600</v>
      </c>
      <c r="H1986" s="1" t="str">
        <f>"95/07/14"</f>
        <v>95/07/14</v>
      </c>
      <c r="I1986" s="1" t="str">
        <f t="shared" ref="I1986:I2049" si="531">"كيلوگرم"</f>
        <v>كيلوگرم</v>
      </c>
      <c r="J1986" s="1" t="str">
        <f t="shared" si="526"/>
        <v>0000000076</v>
      </c>
      <c r="K1986" s="1" t="str">
        <f t="shared" si="527"/>
        <v>قير 60/70 - فله</v>
      </c>
      <c r="L1986" s="1">
        <v>100</v>
      </c>
      <c r="M1986" s="1" t="str">
        <f t="shared" si="517"/>
        <v>مخازن قير اصفهان</v>
      </c>
      <c r="N1986" s="1">
        <v>8834</v>
      </c>
      <c r="O1986" s="1">
        <v>50032107</v>
      </c>
      <c r="P1986" s="1" t="str">
        <f>"  شهرداري شاهديه"</f>
        <v xml:space="preserve">  شهرداري شاهديه</v>
      </c>
      <c r="Q1986" s="1">
        <v>20</v>
      </c>
      <c r="R1986" s="1" t="str">
        <f>"فروش داخلي - سازمان شهرداري ها و دهياري هاي كشور"</f>
        <v>فروش داخلي - سازمان شهرداري ها و دهياري هاي كشور</v>
      </c>
      <c r="S1986" s="1" t="str">
        <f t="shared" ref="S1986:S2049" si="532">"قرارداد فروش"</f>
        <v>قرارداد فروش</v>
      </c>
      <c r="T1986" s="1" t="str">
        <f t="shared" ref="T1986:T2049" si="533">"ندارد"</f>
        <v>ندارد</v>
      </c>
      <c r="U1986" s="1" t="str">
        <f>"قانعي محمدرضا(1011ج89)"</f>
        <v>قانعي محمدرضا(1011ج89)</v>
      </c>
      <c r="V1986" s="1">
        <v>952000148</v>
      </c>
      <c r="W1986" s="1">
        <v>952000148</v>
      </c>
      <c r="X1986" s="1" t="str">
        <f>"1395436486"</f>
        <v>1395436486</v>
      </c>
      <c r="Y1986" s="1" t="str">
        <f>"95/07/14"</f>
        <v>95/07/14</v>
      </c>
      <c r="Z1986" s="1" t="str">
        <f>"27937"</f>
        <v>27937</v>
      </c>
      <c r="AA1986" s="1" t="str">
        <f>"شهرداريها"</f>
        <v>شهرداريها</v>
      </c>
      <c r="AB1986" s="1" t="str">
        <f>"95/06/13"</f>
        <v>95/06/13</v>
      </c>
      <c r="AC1986" s="1" t="str">
        <f>"استان يزد"</f>
        <v>استان يزد</v>
      </c>
      <c r="AD1986" s="1" t="str">
        <f>"95/07/14"</f>
        <v>95/07/14</v>
      </c>
      <c r="AE1986" s="1" t="str">
        <f t="shared" si="530"/>
        <v>اختتام</v>
      </c>
      <c r="AF1986" s="1" t="str">
        <f>""</f>
        <v/>
      </c>
      <c r="AG1986" s="1" t="str">
        <f>""</f>
        <v/>
      </c>
      <c r="AH1986" s="1" t="str">
        <f>""</f>
        <v/>
      </c>
      <c r="AI1986" s="1" t="str">
        <f>""</f>
        <v/>
      </c>
      <c r="AJ1986" s="1" t="str">
        <f>""</f>
        <v/>
      </c>
      <c r="AK1986" s="1" t="str">
        <f>""</f>
        <v/>
      </c>
    </row>
    <row r="1987" spans="1:37" x14ac:dyDescent="0.2">
      <c r="A1987" s="1">
        <v>99000</v>
      </c>
      <c r="B1987" s="1">
        <v>952000297</v>
      </c>
      <c r="C1987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1987" s="1">
        <v>7026</v>
      </c>
      <c r="E1987" s="1">
        <v>98500</v>
      </c>
      <c r="F1987" s="1">
        <v>95</v>
      </c>
      <c r="G1987" s="1">
        <v>500</v>
      </c>
      <c r="H1987" s="1" t="str">
        <f>"95/09/09"</f>
        <v>95/09/09</v>
      </c>
      <c r="I1987" s="1" t="str">
        <f t="shared" si="531"/>
        <v>كيلوگرم</v>
      </c>
      <c r="J1987" s="1" t="str">
        <f t="shared" si="526"/>
        <v>0000000076</v>
      </c>
      <c r="K1987" s="1" t="str">
        <f t="shared" si="527"/>
        <v>قير 60/70 - فله</v>
      </c>
      <c r="L1987" s="1">
        <v>100</v>
      </c>
      <c r="M1987" s="1" t="str">
        <f t="shared" si="517"/>
        <v>مخازن قير اصفهان</v>
      </c>
      <c r="N1987" s="1">
        <v>9294</v>
      </c>
      <c r="O1987" s="1">
        <v>50032778</v>
      </c>
      <c r="P1987" s="1" t="str">
        <f>"  شهرداري چمگردان"</f>
        <v xml:space="preserve">  شهرداري چمگردان</v>
      </c>
      <c r="Q1987" s="1">
        <v>20</v>
      </c>
      <c r="R1987" s="1" t="str">
        <f>"فروش داخلي - سازمان شهرداري ها و دهياري هاي كشور"</f>
        <v>فروش داخلي - سازمان شهرداري ها و دهياري هاي كشور</v>
      </c>
      <c r="S1987" s="1" t="str">
        <f t="shared" si="532"/>
        <v>قرارداد فروش</v>
      </c>
      <c r="T1987" s="1" t="str">
        <f t="shared" si="533"/>
        <v>ندارد</v>
      </c>
      <c r="U1987" s="1" t="str">
        <f>"مرادي نجاتعلي(1020ج89)"</f>
        <v>مرادي نجاتعلي(1020ج89)</v>
      </c>
      <c r="V1987" s="1">
        <v>952000297</v>
      </c>
      <c r="W1987" s="1">
        <v>952000297</v>
      </c>
      <c r="X1987" s="1" t="str">
        <f>"1395447798"</f>
        <v>1395447798</v>
      </c>
      <c r="Y1987" s="1" t="str">
        <f>"95/09/09"</f>
        <v>95/09/09</v>
      </c>
      <c r="Z1987" s="1" t="str">
        <f>"43287"</f>
        <v>43287</v>
      </c>
      <c r="AA1987" s="1" t="str">
        <f>"شهرداريها"</f>
        <v>شهرداريها</v>
      </c>
      <c r="AB1987" s="1" t="str">
        <f>"95/09/02"</f>
        <v>95/09/02</v>
      </c>
      <c r="AC1987" s="1" t="str">
        <f>"استان اصفهان"</f>
        <v>استان اصفهان</v>
      </c>
      <c r="AD1987" s="1" t="str">
        <f>"95/09/07"</f>
        <v>95/09/07</v>
      </c>
      <c r="AE1987" s="1" t="str">
        <f t="shared" si="530"/>
        <v>اختتام</v>
      </c>
      <c r="AF1987" s="1" t="str">
        <f>""</f>
        <v/>
      </c>
      <c r="AG1987" s="1" t="str">
        <f>""</f>
        <v/>
      </c>
      <c r="AH1987" s="1" t="str">
        <f>""</f>
        <v/>
      </c>
      <c r="AI1987" s="1" t="str">
        <f>""</f>
        <v/>
      </c>
      <c r="AJ1987" s="1" t="str">
        <f>""</f>
        <v/>
      </c>
      <c r="AK1987" s="1" t="str">
        <f>""</f>
        <v/>
      </c>
    </row>
    <row r="1988" spans="1:37" x14ac:dyDescent="0.2">
      <c r="A1988" s="1">
        <v>70000</v>
      </c>
      <c r="B1988" s="1">
        <v>952000095</v>
      </c>
      <c r="C1988" s="1" t="str">
        <f>"تخليه - جاده اصفهان تهران کارخانه آسفالت مصلحي"</f>
        <v>تخليه - جاده اصفهان تهران کارخانه آسفالت مصلحي</v>
      </c>
      <c r="D1988" s="1">
        <v>6976</v>
      </c>
      <c r="E1988" s="1">
        <v>69420</v>
      </c>
      <c r="F1988" s="1">
        <v>95</v>
      </c>
      <c r="G1988" s="1">
        <v>580</v>
      </c>
      <c r="H1988" s="1" t="str">
        <f>"95/07/05"</f>
        <v>95/07/05</v>
      </c>
      <c r="I1988" s="1" t="str">
        <f t="shared" si="531"/>
        <v>كيلوگرم</v>
      </c>
      <c r="J1988" s="1" t="str">
        <f t="shared" si="526"/>
        <v>0000000076</v>
      </c>
      <c r="K1988" s="1" t="str">
        <f t="shared" si="527"/>
        <v>قير 60/70 - فله</v>
      </c>
      <c r="L1988" s="1">
        <v>100</v>
      </c>
      <c r="M1988" s="1" t="str">
        <f t="shared" si="517"/>
        <v>مخازن قير اصفهان</v>
      </c>
      <c r="N1988" s="1">
        <v>9375</v>
      </c>
      <c r="O1988" s="1">
        <v>50031949</v>
      </c>
      <c r="P1988" s="1" t="str">
        <f>"  شهرداري گرگاب"</f>
        <v xml:space="preserve">  شهرداري گرگاب</v>
      </c>
      <c r="Q1988" s="1">
        <v>20</v>
      </c>
      <c r="R1988" s="1" t="str">
        <f>"فروش داخلي - سازمان شهرداري ها و دهياري هاي كشور"</f>
        <v>فروش داخلي - سازمان شهرداري ها و دهياري هاي كشور</v>
      </c>
      <c r="S1988" s="1" t="str">
        <f t="shared" si="532"/>
        <v>قرارداد فروش</v>
      </c>
      <c r="T1988" s="1" t="str">
        <f t="shared" si="533"/>
        <v>ندارد</v>
      </c>
      <c r="U1988" s="1" t="str">
        <f>"تاج سعيد هوشنگ (1031ج 89)"</f>
        <v>تاج سعيد هوشنگ (1031ج 89)</v>
      </c>
      <c r="V1988" s="1">
        <v>952000095</v>
      </c>
      <c r="W1988" s="1">
        <v>952000095</v>
      </c>
      <c r="X1988" s="1" t="str">
        <f>"1395433645"</f>
        <v>1395433645</v>
      </c>
      <c r="Y1988" s="1" t="str">
        <f>"95/07/05"</f>
        <v>95/07/05</v>
      </c>
      <c r="Z1988" s="1" t="str">
        <f>"27713"</f>
        <v>27713</v>
      </c>
      <c r="AA1988" s="1" t="str">
        <f>"شهرداريها"</f>
        <v>شهرداريها</v>
      </c>
      <c r="AB1988" s="1" t="str">
        <f>"95/06/10"</f>
        <v>95/06/10</v>
      </c>
      <c r="AC1988" s="1" t="str">
        <f>"استان اصفهان"</f>
        <v>استان اصفهان</v>
      </c>
      <c r="AD1988" s="1" t="str">
        <f>"95/07/04"</f>
        <v>95/07/04</v>
      </c>
      <c r="AE1988" s="1" t="str">
        <f t="shared" si="530"/>
        <v>اختتام</v>
      </c>
      <c r="AF1988" s="1" t="str">
        <f>""</f>
        <v/>
      </c>
      <c r="AG1988" s="1" t="str">
        <f>""</f>
        <v/>
      </c>
      <c r="AH1988" s="1" t="str">
        <f>""</f>
        <v/>
      </c>
      <c r="AI1988" s="1" t="str">
        <f>""</f>
        <v/>
      </c>
      <c r="AJ1988" s="1" t="str">
        <f>""</f>
        <v/>
      </c>
      <c r="AK1988" s="1" t="str">
        <f>""</f>
        <v/>
      </c>
    </row>
    <row r="1989" spans="1:37" x14ac:dyDescent="0.2">
      <c r="A1989" s="1">
        <v>142000</v>
      </c>
      <c r="B1989" s="1">
        <v>952000132</v>
      </c>
      <c r="C1989" s="1" t="str">
        <f>"تخليه -اصفهان جاده سيمان سپاهان شهرك صنعتي"</f>
        <v>تخليه -اصفهان جاده سيمان سپاهان شهرك صنعتي</v>
      </c>
      <c r="D1989" s="1">
        <v>6976</v>
      </c>
      <c r="E1989" s="1">
        <v>139800</v>
      </c>
      <c r="F1989" s="1">
        <v>95</v>
      </c>
      <c r="G1989" s="1">
        <v>2200</v>
      </c>
      <c r="H1989" s="1" t="str">
        <f>"95/07/11"</f>
        <v>95/07/11</v>
      </c>
      <c r="I1989" s="1" t="str">
        <f t="shared" si="531"/>
        <v>كيلوگرم</v>
      </c>
      <c r="J1989" s="1" t="str">
        <f t="shared" si="526"/>
        <v>0000000076</v>
      </c>
      <c r="K1989" s="1" t="str">
        <f t="shared" si="527"/>
        <v>قير 60/70 - فله</v>
      </c>
      <c r="L1989" s="1">
        <v>100</v>
      </c>
      <c r="M1989" s="1" t="str">
        <f t="shared" si="517"/>
        <v>مخازن قير اصفهان</v>
      </c>
      <c r="N1989" s="1">
        <v>9529</v>
      </c>
      <c r="O1989" s="1">
        <v>50032057</v>
      </c>
      <c r="P1989" s="1" t="str">
        <f>"  شهرداري كليشادوسودرجان"</f>
        <v xml:space="preserve">  شهرداري كليشادوسودرجان</v>
      </c>
      <c r="Q1989" s="1">
        <v>20</v>
      </c>
      <c r="R1989" s="1" t="str">
        <f>"فروش داخلي - سازمان شهرداري ها و دهياري هاي كشور"</f>
        <v>فروش داخلي - سازمان شهرداري ها و دهياري هاي كشور</v>
      </c>
      <c r="S1989" s="1" t="str">
        <f t="shared" si="532"/>
        <v>قرارداد فروش</v>
      </c>
      <c r="T1989" s="1" t="str">
        <f t="shared" si="533"/>
        <v>ندارد</v>
      </c>
      <c r="U1989" s="1" t="str">
        <f>"سيفي پور عبدالمجيد(1009ج89)"</f>
        <v>سيفي پور عبدالمجيد(1009ج89)</v>
      </c>
      <c r="V1989" s="1">
        <v>952000132</v>
      </c>
      <c r="W1989" s="1">
        <v>952000132</v>
      </c>
      <c r="X1989" s="1" t="str">
        <f>"1395435297"</f>
        <v>1395435297</v>
      </c>
      <c r="Y1989" s="1" t="str">
        <f>"95/07/11"</f>
        <v>95/07/11</v>
      </c>
      <c r="Z1989" s="1" t="str">
        <f>"27719"</f>
        <v>27719</v>
      </c>
      <c r="AA1989" s="1" t="str">
        <f>"شهرداريها"</f>
        <v>شهرداريها</v>
      </c>
      <c r="AB1989" s="1" t="str">
        <f>"95/06/10"</f>
        <v>95/06/10</v>
      </c>
      <c r="AC1989" s="1" t="str">
        <f>"استان اصفهان"</f>
        <v>استان اصفهان</v>
      </c>
      <c r="AD1989" s="1" t="str">
        <f>"95/07/11"</f>
        <v>95/07/11</v>
      </c>
      <c r="AE1989" s="1" t="str">
        <f t="shared" si="530"/>
        <v>اختتام</v>
      </c>
      <c r="AF1989" s="1" t="str">
        <f>""</f>
        <v/>
      </c>
      <c r="AG1989" s="1" t="str">
        <f>""</f>
        <v/>
      </c>
      <c r="AH1989" s="1" t="str">
        <f>""</f>
        <v/>
      </c>
      <c r="AI1989" s="1" t="str">
        <f>""</f>
        <v/>
      </c>
      <c r="AJ1989" s="1" t="str">
        <f>""</f>
        <v/>
      </c>
      <c r="AK1989" s="1" t="str">
        <f>""</f>
        <v/>
      </c>
    </row>
    <row r="1990" spans="1:37" x14ac:dyDescent="0.2">
      <c r="A1990" s="1">
        <v>155000</v>
      </c>
      <c r="B1990" s="1">
        <v>952000130</v>
      </c>
      <c r="C1990" s="1" t="str">
        <f>"تخليه -اصفهان منطقه صنعتي اشترجان -انتهاي خ 11شركت راه آژند"</f>
        <v>تخليه -اصفهان منطقه صنعتي اشترجان -انتهاي خ 11شركت راه آژند</v>
      </c>
      <c r="D1990" s="1">
        <v>6976</v>
      </c>
      <c r="E1990" s="1">
        <v>152640</v>
      </c>
      <c r="F1990" s="1">
        <v>95</v>
      </c>
      <c r="G1990" s="1">
        <v>2360</v>
      </c>
      <c r="H1990" s="1" t="str">
        <f>"95/07/11"</f>
        <v>95/07/11</v>
      </c>
      <c r="I1990" s="1" t="str">
        <f t="shared" si="531"/>
        <v>كيلوگرم</v>
      </c>
      <c r="J1990" s="1" t="str">
        <f t="shared" si="526"/>
        <v>0000000076</v>
      </c>
      <c r="K1990" s="1" t="str">
        <f t="shared" si="527"/>
        <v>قير 60/70 - فله</v>
      </c>
      <c r="L1990" s="1">
        <v>100</v>
      </c>
      <c r="M1990" s="1" t="str">
        <f t="shared" si="517"/>
        <v>مخازن قير اصفهان</v>
      </c>
      <c r="N1990" s="1">
        <v>9532</v>
      </c>
      <c r="O1990" s="1">
        <v>50032055</v>
      </c>
      <c r="P1990" s="1" t="str">
        <f>"  شهرداري قهدريجان"</f>
        <v xml:space="preserve">  شهرداري قهدريجان</v>
      </c>
      <c r="Q1990" s="1">
        <v>20</v>
      </c>
      <c r="R1990" s="1" t="str">
        <f>"فروش داخلي - سازمان شهرداري ها و دهياري هاي كشور"</f>
        <v>فروش داخلي - سازمان شهرداري ها و دهياري هاي كشور</v>
      </c>
      <c r="S1990" s="1" t="str">
        <f t="shared" si="532"/>
        <v>قرارداد فروش</v>
      </c>
      <c r="T1990" s="1" t="str">
        <f t="shared" si="533"/>
        <v>ندارد</v>
      </c>
      <c r="U1990" s="1" t="str">
        <f>"سيفي پور عبدالمجيد(1009ج89)"</f>
        <v>سيفي پور عبدالمجيد(1009ج89)</v>
      </c>
      <c r="V1990" s="1">
        <v>952000130</v>
      </c>
      <c r="W1990" s="1">
        <v>952000130</v>
      </c>
      <c r="X1990" s="1" t="str">
        <f>"1395435297"</f>
        <v>1395435297</v>
      </c>
      <c r="Y1990" s="1" t="str">
        <f>"95/07/11"</f>
        <v>95/07/11</v>
      </c>
      <c r="Z1990" s="1" t="str">
        <f>"27738"</f>
        <v>27738</v>
      </c>
      <c r="AA1990" s="1" t="str">
        <f>"شهرداريها"</f>
        <v>شهرداريها</v>
      </c>
      <c r="AB1990" s="1" t="str">
        <f>"95/06/10"</f>
        <v>95/06/10</v>
      </c>
      <c r="AC1990" s="1" t="str">
        <f>"استان اصفهان"</f>
        <v>استان اصفهان</v>
      </c>
      <c r="AD1990" s="1" t="str">
        <f>"95/07/11"</f>
        <v>95/07/11</v>
      </c>
      <c r="AE1990" s="1" t="str">
        <f t="shared" si="530"/>
        <v>اختتام</v>
      </c>
      <c r="AF1990" s="1" t="str">
        <f>""</f>
        <v/>
      </c>
      <c r="AG1990" s="1" t="str">
        <f>""</f>
        <v/>
      </c>
      <c r="AH1990" s="1" t="str">
        <f>""</f>
        <v/>
      </c>
      <c r="AI1990" s="1" t="str">
        <f>""</f>
        <v/>
      </c>
      <c r="AJ1990" s="1" t="str">
        <f>""</f>
        <v/>
      </c>
      <c r="AK1990" s="1" t="str">
        <f>""</f>
        <v/>
      </c>
    </row>
    <row r="1991" spans="1:37" x14ac:dyDescent="0.2">
      <c r="A1991" s="1">
        <v>252000</v>
      </c>
      <c r="B1991" s="1">
        <v>956200326</v>
      </c>
      <c r="C1991" s="1" t="str">
        <f>"تخليه - کرمان-بافت-دوراهي گوغر -کارخانه آسفالت سيرجان عمران تداوم"</f>
        <v>تخليه - کرمان-بافت-دوراهي گوغر -کارخانه آسفالت سيرجان عمران تداوم</v>
      </c>
      <c r="D1991" s="1">
        <v>8848</v>
      </c>
      <c r="E1991" s="1">
        <v>250680</v>
      </c>
      <c r="F1991" s="1">
        <v>95</v>
      </c>
      <c r="G1991" s="1">
        <v>1320</v>
      </c>
      <c r="H1991" s="1" t="str">
        <f>"95/12/14"</f>
        <v>95/12/14</v>
      </c>
      <c r="I1991" s="1" t="str">
        <f t="shared" si="531"/>
        <v>كيلوگرم</v>
      </c>
      <c r="J1991" s="1" t="str">
        <f t="shared" si="526"/>
        <v>0000000076</v>
      </c>
      <c r="K1991" s="1" t="str">
        <f t="shared" si="527"/>
        <v>قير 60/70 - فله</v>
      </c>
      <c r="L1991" s="1">
        <v>100</v>
      </c>
      <c r="M1991" s="1" t="str">
        <f t="shared" si="517"/>
        <v>مخازن قير اصفهان</v>
      </c>
      <c r="N1991" s="1">
        <v>9533</v>
      </c>
      <c r="O1991" s="1">
        <v>50033995</v>
      </c>
      <c r="P1991" s="1" t="str">
        <f>"  سيرجان عمران تداوم"</f>
        <v xml:space="preserve">  سيرجان عمران تداوم</v>
      </c>
      <c r="Q1991" s="1">
        <v>62</v>
      </c>
      <c r="R1991" s="1" t="str">
        <f>"فروش داخلي - سازمان بنيادمسكن انقلاب اسلامي"</f>
        <v>فروش داخلي - سازمان بنيادمسكن انقلاب اسلامي</v>
      </c>
      <c r="S1991" s="1" t="str">
        <f t="shared" si="532"/>
        <v>قرارداد فروش</v>
      </c>
      <c r="T1991" s="1" t="str">
        <f t="shared" si="533"/>
        <v>ندارد</v>
      </c>
      <c r="U1991" s="1" t="str">
        <f>"خضرائي فريدون(4844003)"</f>
        <v>خضرائي فريدون(4844003)</v>
      </c>
      <c r="V1991" s="1">
        <v>956200326</v>
      </c>
      <c r="W1991" s="1">
        <v>956200326</v>
      </c>
      <c r="X1991" s="1" t="str">
        <f>"1395468928"</f>
        <v>1395468928</v>
      </c>
      <c r="Y1991" s="1" t="str">
        <f>"95/12/14"</f>
        <v>95/12/14</v>
      </c>
      <c r="Z1991" s="1" t="str">
        <f>"54960/د"</f>
        <v>54960/د</v>
      </c>
      <c r="AA1991" s="1" t="str">
        <f>"بنيادمسكن انقلاب اسلامي"</f>
        <v>بنيادمسكن انقلاب اسلامي</v>
      </c>
      <c r="AB1991" s="1" t="str">
        <f>"95/12/14"</f>
        <v>95/12/14</v>
      </c>
      <c r="AC1991" s="1" t="str">
        <f>"استان كرمان"</f>
        <v>استان كرمان</v>
      </c>
      <c r="AD1991" s="1" t="str">
        <f>"95/12/14"</f>
        <v>95/12/14</v>
      </c>
      <c r="AE1991" s="1" t="str">
        <f t="shared" si="530"/>
        <v>اختتام</v>
      </c>
      <c r="AF1991" s="1" t="str">
        <f>""</f>
        <v/>
      </c>
      <c r="AG1991" s="1" t="str">
        <f>""</f>
        <v/>
      </c>
      <c r="AH1991" s="1" t="str">
        <f>""</f>
        <v/>
      </c>
      <c r="AI1991" s="1" t="str">
        <f>""</f>
        <v/>
      </c>
      <c r="AJ1991" s="1" t="str">
        <f>""</f>
        <v/>
      </c>
      <c r="AK1991" s="1" t="str">
        <f>""</f>
        <v/>
      </c>
    </row>
    <row r="1992" spans="1:37" x14ac:dyDescent="0.2">
      <c r="A1992" s="1">
        <v>200000</v>
      </c>
      <c r="B1992" s="1">
        <v>951100042</v>
      </c>
      <c r="C1992" s="1" t="str">
        <f>"تخليه -كيلومتر15محوربيرجندزاهدان -بعدارايست بازرسي"</f>
        <v>تخليه -كيلومتر15محوربيرجندزاهدان -بعدارايست بازرسي</v>
      </c>
      <c r="D1992" s="1">
        <v>5650</v>
      </c>
      <c r="E1992" s="1">
        <v>200000</v>
      </c>
      <c r="F1992" s="1">
        <v>95</v>
      </c>
      <c r="G1992" s="1">
        <v>0</v>
      </c>
      <c r="H1992" s="1" t="str">
        <f>"95/02/21"</f>
        <v>95/02/21</v>
      </c>
      <c r="I1992" s="1" t="str">
        <f t="shared" si="531"/>
        <v>كيلوگرم</v>
      </c>
      <c r="J1992" s="1" t="str">
        <f t="shared" si="526"/>
        <v>0000000076</v>
      </c>
      <c r="K1992" s="1" t="str">
        <f t="shared" si="527"/>
        <v>قير 60/70 - فله</v>
      </c>
      <c r="L1992" s="1">
        <v>100</v>
      </c>
      <c r="M1992" s="1" t="str">
        <f t="shared" ref="M1992:M2055" si="534">"مخازن قير اصفهان"</f>
        <v>مخازن قير اصفهان</v>
      </c>
      <c r="N1992" s="1">
        <v>9573</v>
      </c>
      <c r="O1992" s="1">
        <v>50030793</v>
      </c>
      <c r="P1992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992" s="1">
        <v>11</v>
      </c>
      <c r="R1992" s="1" t="str">
        <f>"فروش داخلي تهران - بورس"</f>
        <v>فروش داخلي تهران - بورس</v>
      </c>
      <c r="S1992" s="1" t="str">
        <f t="shared" si="532"/>
        <v>قرارداد فروش</v>
      </c>
      <c r="T1992" s="1" t="str">
        <f t="shared" si="533"/>
        <v>ندارد</v>
      </c>
      <c r="U1992" s="1" t="str">
        <f>"بابامحمدي عنايت اله(4844000)"</f>
        <v>بابامحمدي عنايت اله(4844000)</v>
      </c>
      <c r="V1992" s="1">
        <v>951100042</v>
      </c>
      <c r="W1992" s="1">
        <v>951100042</v>
      </c>
      <c r="X1992" s="1" t="str">
        <f>"1395402317"</f>
        <v>1395402317</v>
      </c>
      <c r="Y1992" s="1" t="str">
        <f>"95/02/20"</f>
        <v>95/02/20</v>
      </c>
      <c r="Z1992" s="1" t="str">
        <f>"95-34333"</f>
        <v>95-34333</v>
      </c>
      <c r="AA1992" s="1" t="str">
        <f t="shared" ref="AA1992:AA1999" si="535">"شهرداريها"</f>
        <v>شهرداريها</v>
      </c>
      <c r="AB1992" s="1" t="str">
        <f>"95/02/19"</f>
        <v>95/02/19</v>
      </c>
      <c r="AC1992" s="1" t="str">
        <f>"خراسان جنوبي"</f>
        <v>خراسان جنوبي</v>
      </c>
      <c r="AD1992" s="1" t="str">
        <f>"95/02/14"</f>
        <v>95/02/14</v>
      </c>
      <c r="AE1992" s="1" t="str">
        <f>"تاييدشده"</f>
        <v>تاييدشده</v>
      </c>
      <c r="AF1992" s="1" t="str">
        <f>""</f>
        <v/>
      </c>
      <c r="AG1992" s="1" t="str">
        <f>""</f>
        <v/>
      </c>
      <c r="AH1992" s="1" t="str">
        <f>""</f>
        <v/>
      </c>
      <c r="AI1992" s="1" t="str">
        <f>""</f>
        <v/>
      </c>
      <c r="AJ1992" s="1" t="str">
        <f>""</f>
        <v/>
      </c>
      <c r="AK1992" s="1" t="str">
        <f>""</f>
        <v/>
      </c>
    </row>
    <row r="1993" spans="1:37" x14ac:dyDescent="0.2">
      <c r="A1993" s="1">
        <v>66000</v>
      </c>
      <c r="B1993" s="1">
        <v>952000162</v>
      </c>
      <c r="C1993" s="1" t="str">
        <f>"تخليه يزد  اردكان كارخانه آسفالت ميثاق"</f>
        <v>تخليه يزد  اردكان كارخانه آسفالت ميثاق</v>
      </c>
      <c r="D1993" s="1">
        <v>6976</v>
      </c>
      <c r="E1993" s="1">
        <v>65280</v>
      </c>
      <c r="F1993" s="1">
        <v>95</v>
      </c>
      <c r="G1993" s="1">
        <v>720</v>
      </c>
      <c r="H1993" s="1" t="str">
        <f>"95/07/18"</f>
        <v>95/07/18</v>
      </c>
      <c r="I1993" s="1" t="str">
        <f t="shared" si="531"/>
        <v>كيلوگرم</v>
      </c>
      <c r="J1993" s="1" t="str">
        <f t="shared" si="526"/>
        <v>0000000076</v>
      </c>
      <c r="K1993" s="1" t="str">
        <f t="shared" si="527"/>
        <v>قير 60/70 - فله</v>
      </c>
      <c r="L1993" s="1">
        <v>100</v>
      </c>
      <c r="M1993" s="1" t="str">
        <f t="shared" si="534"/>
        <v>مخازن قير اصفهان</v>
      </c>
      <c r="N1993" s="1">
        <v>9577</v>
      </c>
      <c r="O1993" s="1">
        <v>50032156</v>
      </c>
      <c r="P1993" s="1" t="str">
        <f>"  شهرداري عقدا"</f>
        <v xml:space="preserve">  شهرداري عقدا</v>
      </c>
      <c r="Q1993" s="1">
        <v>20</v>
      </c>
      <c r="R1993" s="1" t="str">
        <f>"فروش داخلي - سازمان شهرداري ها و دهياري هاي كشور"</f>
        <v>فروش داخلي - سازمان شهرداري ها و دهياري هاي كشور</v>
      </c>
      <c r="S1993" s="1" t="str">
        <f t="shared" si="532"/>
        <v>قرارداد فروش</v>
      </c>
      <c r="T1993" s="1" t="str">
        <f t="shared" si="533"/>
        <v>ندارد</v>
      </c>
      <c r="U1993" s="1" t="str">
        <f>"قانعي محمدرضا(1011ج89)"</f>
        <v>قانعي محمدرضا(1011ج89)</v>
      </c>
      <c r="V1993" s="1">
        <v>952000162</v>
      </c>
      <c r="W1993" s="1">
        <v>952000162</v>
      </c>
      <c r="X1993" s="1" t="str">
        <f>"1395436852"</f>
        <v>1395436852</v>
      </c>
      <c r="Y1993" s="1" t="str">
        <f>"95/07/18"</f>
        <v>95/07/18</v>
      </c>
      <c r="Z1993" s="1" t="str">
        <f>"27913"</f>
        <v>27913</v>
      </c>
      <c r="AA1993" s="1" t="str">
        <f t="shared" si="535"/>
        <v>شهرداريها</v>
      </c>
      <c r="AB1993" s="1" t="str">
        <f>"95/06/13"</f>
        <v>95/06/13</v>
      </c>
      <c r="AC1993" s="1" t="str">
        <f>"استان يزد"</f>
        <v>استان يزد</v>
      </c>
      <c r="AD1993" s="1" t="str">
        <f>"95/07/18"</f>
        <v>95/07/18</v>
      </c>
      <c r="AE1993" s="1" t="str">
        <f>"اختتام"</f>
        <v>اختتام</v>
      </c>
      <c r="AF1993" s="1" t="str">
        <f>""</f>
        <v/>
      </c>
      <c r="AG1993" s="1" t="str">
        <f>""</f>
        <v/>
      </c>
      <c r="AH1993" s="1" t="str">
        <f>""</f>
        <v/>
      </c>
      <c r="AI1993" s="1" t="str">
        <f>""</f>
        <v/>
      </c>
      <c r="AJ1993" s="1" t="str">
        <f>""</f>
        <v/>
      </c>
      <c r="AK1993" s="1" t="str">
        <f>""</f>
        <v/>
      </c>
    </row>
    <row r="1994" spans="1:37" x14ac:dyDescent="0.2">
      <c r="A1994" s="1">
        <v>75000</v>
      </c>
      <c r="B1994" s="1">
        <v>952000101</v>
      </c>
      <c r="C1994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1994" s="1">
        <v>6976</v>
      </c>
      <c r="E1994" s="1">
        <v>74780</v>
      </c>
      <c r="F1994" s="1">
        <v>95</v>
      </c>
      <c r="G1994" s="1">
        <v>220</v>
      </c>
      <c r="H1994" s="1" t="str">
        <f>"95/07/05"</f>
        <v>95/07/05</v>
      </c>
      <c r="I1994" s="1" t="str">
        <f t="shared" si="531"/>
        <v>كيلوگرم</v>
      </c>
      <c r="J1994" s="1" t="str">
        <f t="shared" si="526"/>
        <v>0000000076</v>
      </c>
      <c r="K1994" s="1" t="str">
        <f t="shared" si="527"/>
        <v>قير 60/70 - فله</v>
      </c>
      <c r="L1994" s="1">
        <v>100</v>
      </c>
      <c r="M1994" s="1" t="str">
        <f t="shared" si="534"/>
        <v>مخازن قير اصفهان</v>
      </c>
      <c r="N1994" s="1">
        <v>9623</v>
      </c>
      <c r="O1994" s="1">
        <v>50031963</v>
      </c>
      <c r="P1994" s="1" t="str">
        <f>"  شهرداري زيباشهر"</f>
        <v xml:space="preserve">  شهرداري زيباشهر</v>
      </c>
      <c r="Q1994" s="1">
        <v>20</v>
      </c>
      <c r="R1994" s="1" t="str">
        <f>"فروش داخلي - سازمان شهرداري ها و دهياري هاي كشور"</f>
        <v>فروش داخلي - سازمان شهرداري ها و دهياري هاي كشور</v>
      </c>
      <c r="S1994" s="1" t="str">
        <f t="shared" si="532"/>
        <v>قرارداد فروش</v>
      </c>
      <c r="T1994" s="1" t="str">
        <f t="shared" si="533"/>
        <v>ندارد</v>
      </c>
      <c r="U1994" s="1" t="str">
        <f>"شهبازي محمدرضا(1029ج89)"</f>
        <v>شهبازي محمدرضا(1029ج89)</v>
      </c>
      <c r="V1994" s="1">
        <v>952000101</v>
      </c>
      <c r="W1994" s="1">
        <v>952000101</v>
      </c>
      <c r="X1994" s="1" t="str">
        <f>"1395433645"</f>
        <v>1395433645</v>
      </c>
      <c r="Y1994" s="1" t="str">
        <f>"95/07/05"</f>
        <v>95/07/05</v>
      </c>
      <c r="Z1994" s="1" t="str">
        <f>"22583"</f>
        <v>22583</v>
      </c>
      <c r="AA1994" s="1" t="str">
        <f t="shared" si="535"/>
        <v>شهرداريها</v>
      </c>
      <c r="AB1994" s="1" t="str">
        <f>"95/05/20"</f>
        <v>95/05/20</v>
      </c>
      <c r="AC1994" s="1" t="str">
        <f>"استان اصفهان"</f>
        <v>استان اصفهان</v>
      </c>
      <c r="AD1994" s="1" t="str">
        <f>"95/07/04"</f>
        <v>95/07/04</v>
      </c>
      <c r="AE1994" s="1" t="str">
        <f>"اختتام"</f>
        <v>اختتام</v>
      </c>
      <c r="AF1994" s="1" t="str">
        <f>""</f>
        <v/>
      </c>
      <c r="AG1994" s="1" t="str">
        <f>""</f>
        <v/>
      </c>
      <c r="AH1994" s="1" t="str">
        <f>""</f>
        <v/>
      </c>
      <c r="AI1994" s="1" t="str">
        <f>""</f>
        <v/>
      </c>
      <c r="AJ1994" s="1" t="str">
        <f>""</f>
        <v/>
      </c>
      <c r="AK1994" s="1" t="str">
        <f>""</f>
        <v/>
      </c>
    </row>
    <row r="1995" spans="1:37" x14ac:dyDescent="0.2">
      <c r="A1995" s="1">
        <v>76000</v>
      </c>
      <c r="B1995" s="1">
        <v>952000325</v>
      </c>
      <c r="C1995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1995" s="1">
        <v>9361</v>
      </c>
      <c r="E1995" s="1">
        <v>75000</v>
      </c>
      <c r="F1995" s="1">
        <v>95</v>
      </c>
      <c r="G1995" s="1">
        <v>1000</v>
      </c>
      <c r="H1995" s="1" t="str">
        <f>"95/11/23"</f>
        <v>95/11/23</v>
      </c>
      <c r="I1995" s="1" t="str">
        <f t="shared" si="531"/>
        <v>كيلوگرم</v>
      </c>
      <c r="J1995" s="1" t="str">
        <f t="shared" si="526"/>
        <v>0000000076</v>
      </c>
      <c r="K1995" s="1" t="str">
        <f t="shared" si="527"/>
        <v>قير 60/70 - فله</v>
      </c>
      <c r="L1995" s="1">
        <v>100</v>
      </c>
      <c r="M1995" s="1" t="str">
        <f t="shared" si="534"/>
        <v>مخازن قير اصفهان</v>
      </c>
      <c r="N1995" s="1">
        <v>9623</v>
      </c>
      <c r="O1995" s="1">
        <v>50033682</v>
      </c>
      <c r="P1995" s="1" t="str">
        <f>"  شهرداري زيباشهر"</f>
        <v xml:space="preserve">  شهرداري زيباشهر</v>
      </c>
      <c r="Q1995" s="1">
        <v>20</v>
      </c>
      <c r="R1995" s="1" t="str">
        <f>"فروش داخلي - سازمان شهرداري ها و دهياري هاي كشور"</f>
        <v>فروش داخلي - سازمان شهرداري ها و دهياري هاي كشور</v>
      </c>
      <c r="S1995" s="1" t="str">
        <f t="shared" si="532"/>
        <v>قرارداد فروش</v>
      </c>
      <c r="T1995" s="1" t="str">
        <f t="shared" si="533"/>
        <v>ندارد</v>
      </c>
      <c r="U1995" s="1" t="str">
        <f>"شهبازي محمدرضا(1029ج89)"</f>
        <v>شهبازي محمدرضا(1029ج89)</v>
      </c>
      <c r="V1995" s="1">
        <v>952000325</v>
      </c>
      <c r="W1995" s="1">
        <v>952000325</v>
      </c>
      <c r="X1995" s="1" t="str">
        <f>"1395464401"</f>
        <v>1395464401</v>
      </c>
      <c r="Y1995" s="1" t="str">
        <f>"95/11/23"</f>
        <v>95/11/23</v>
      </c>
      <c r="Z1995" s="1" t="str">
        <f>"43489"</f>
        <v>43489</v>
      </c>
      <c r="AA1995" s="1" t="str">
        <f t="shared" si="535"/>
        <v>شهرداريها</v>
      </c>
      <c r="AB1995" s="1" t="str">
        <f>"95/09/02"</f>
        <v>95/09/02</v>
      </c>
      <c r="AC1995" s="1" t="str">
        <f>"استان اصفهان"</f>
        <v>استان اصفهان</v>
      </c>
      <c r="AD1995" s="1" t="str">
        <f>"95/11/23"</f>
        <v>95/11/23</v>
      </c>
      <c r="AE1995" s="1" t="str">
        <f>"اختتام"</f>
        <v>اختتام</v>
      </c>
      <c r="AF1995" s="1" t="str">
        <f>""</f>
        <v/>
      </c>
      <c r="AG1995" s="1" t="str">
        <f>""</f>
        <v/>
      </c>
      <c r="AH1995" s="1" t="str">
        <f>""</f>
        <v/>
      </c>
      <c r="AI1995" s="1" t="str">
        <f>""</f>
        <v/>
      </c>
      <c r="AJ1995" s="1" t="str">
        <f>""</f>
        <v/>
      </c>
      <c r="AK1995" s="1" t="str">
        <f>""</f>
        <v/>
      </c>
    </row>
    <row r="1996" spans="1:37" x14ac:dyDescent="0.2">
      <c r="A1996" s="1">
        <v>120000</v>
      </c>
      <c r="B1996" s="1">
        <v>952000149</v>
      </c>
      <c r="C1996" s="1" t="str">
        <f>"تخليه يزد-هرات خيابان شهيدصدوقي انبارشهرداري هرات"</f>
        <v>تخليه يزد-هرات خيابان شهيدصدوقي انبارشهرداري هرات</v>
      </c>
      <c r="D1996" s="1">
        <v>6976</v>
      </c>
      <c r="E1996" s="1">
        <v>120000</v>
      </c>
      <c r="F1996" s="1">
        <v>95</v>
      </c>
      <c r="G1996" s="1">
        <v>0</v>
      </c>
      <c r="H1996" s="1" t="str">
        <f>"95/07/14"</f>
        <v>95/07/14</v>
      </c>
      <c r="I1996" s="1" t="str">
        <f t="shared" si="531"/>
        <v>كيلوگرم</v>
      </c>
      <c r="J1996" s="1" t="str">
        <f t="shared" si="526"/>
        <v>0000000076</v>
      </c>
      <c r="K1996" s="1" t="str">
        <f t="shared" si="527"/>
        <v>قير 60/70 - فله</v>
      </c>
      <c r="L1996" s="1">
        <v>100</v>
      </c>
      <c r="M1996" s="1" t="str">
        <f t="shared" si="534"/>
        <v>مخازن قير اصفهان</v>
      </c>
      <c r="N1996" s="1">
        <v>9691</v>
      </c>
      <c r="O1996" s="1">
        <v>50032108</v>
      </c>
      <c r="P1996" s="1" t="str">
        <f>"  شهرداري هرات"</f>
        <v xml:space="preserve">  شهرداري هرات</v>
      </c>
      <c r="Q1996" s="1">
        <v>20</v>
      </c>
      <c r="R1996" s="1" t="str">
        <f>"فروش داخلي - سازمان شهرداري ها و دهياري هاي كشور"</f>
        <v>فروش داخلي - سازمان شهرداري ها و دهياري هاي كشور</v>
      </c>
      <c r="S1996" s="1" t="str">
        <f t="shared" si="532"/>
        <v>قرارداد فروش</v>
      </c>
      <c r="T1996" s="1" t="str">
        <f t="shared" si="533"/>
        <v>ندارد</v>
      </c>
      <c r="U1996" s="1" t="str">
        <f>"قانعي محمدرضا(1011ج89)"</f>
        <v>قانعي محمدرضا(1011ج89)</v>
      </c>
      <c r="V1996" s="1">
        <v>952000149</v>
      </c>
      <c r="W1996" s="1">
        <v>952000149</v>
      </c>
      <c r="X1996" s="1" t="str">
        <f>"1395436486"</f>
        <v>1395436486</v>
      </c>
      <c r="Y1996" s="1" t="str">
        <f>"95/07/14"</f>
        <v>95/07/14</v>
      </c>
      <c r="Z1996" s="1" t="str">
        <f>"27922"</f>
        <v>27922</v>
      </c>
      <c r="AA1996" s="1" t="str">
        <f t="shared" si="535"/>
        <v>شهرداريها</v>
      </c>
      <c r="AB1996" s="1" t="str">
        <f>"95/06/13"</f>
        <v>95/06/13</v>
      </c>
      <c r="AC1996" s="1" t="str">
        <f>"استان يزد"</f>
        <v>استان يزد</v>
      </c>
      <c r="AD1996" s="1" t="str">
        <f>"95/07/14"</f>
        <v>95/07/14</v>
      </c>
      <c r="AE1996" s="1" t="str">
        <f>"اختتام"</f>
        <v>اختتام</v>
      </c>
      <c r="AF1996" s="1" t="str">
        <f>""</f>
        <v/>
      </c>
      <c r="AG1996" s="1" t="str">
        <f>""</f>
        <v/>
      </c>
      <c r="AH1996" s="1" t="str">
        <f>""</f>
        <v/>
      </c>
      <c r="AI1996" s="1" t="str">
        <f>""</f>
        <v/>
      </c>
      <c r="AJ1996" s="1" t="str">
        <f>""</f>
        <v/>
      </c>
      <c r="AK1996" s="1" t="str">
        <f>""</f>
        <v/>
      </c>
    </row>
    <row r="1997" spans="1:37" x14ac:dyDescent="0.2">
      <c r="A1997" s="1">
        <v>300000</v>
      </c>
      <c r="B1997" s="1">
        <v>951100153</v>
      </c>
      <c r="C1997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1997" s="1">
        <v>7026</v>
      </c>
      <c r="E1997" s="1">
        <v>300000</v>
      </c>
      <c r="F1997" s="1">
        <v>95</v>
      </c>
      <c r="G1997" s="1">
        <v>0</v>
      </c>
      <c r="H1997" s="1" t="str">
        <f>"95/09/16"</f>
        <v>95/09/16</v>
      </c>
      <c r="I1997" s="1" t="str">
        <f t="shared" si="531"/>
        <v>كيلوگرم</v>
      </c>
      <c r="J1997" s="1" t="str">
        <f t="shared" si="526"/>
        <v>0000000076</v>
      </c>
      <c r="K1997" s="1" t="str">
        <f t="shared" si="527"/>
        <v>قير 60/70 - فله</v>
      </c>
      <c r="L1997" s="1">
        <v>100</v>
      </c>
      <c r="M1997" s="1" t="str">
        <f t="shared" si="534"/>
        <v>مخازن قير اصفهان</v>
      </c>
      <c r="N1997" s="1">
        <v>9938</v>
      </c>
      <c r="O1997" s="1">
        <v>50032877</v>
      </c>
      <c r="P1997" s="1" t="str">
        <f>"  سازمان عمران شهرداري زاهدان"</f>
        <v xml:space="preserve">  سازمان عمران شهرداري زاهدان</v>
      </c>
      <c r="Q1997" s="1">
        <v>11</v>
      </c>
      <c r="R1997" s="1" t="str">
        <f>"فروش داخلي تهران - بورس"</f>
        <v>فروش داخلي تهران - بورس</v>
      </c>
      <c r="S1997" s="1" t="str">
        <f t="shared" si="532"/>
        <v>قرارداد فروش</v>
      </c>
      <c r="T1997" s="1" t="str">
        <f t="shared" si="533"/>
        <v>ندارد</v>
      </c>
      <c r="U1997" s="1" t="str">
        <f>"ميرحسيني سيناترابر سيدمحمد(4854031)"</f>
        <v>ميرحسيني سيناترابر سيدمحمد(4854031)</v>
      </c>
      <c r="V1997" s="1">
        <v>951100153</v>
      </c>
      <c r="W1997" s="1">
        <v>951100153</v>
      </c>
      <c r="X1997" s="1" t="str">
        <f>"1395447959"</f>
        <v>1395447959</v>
      </c>
      <c r="Y1997" s="1" t="str">
        <f>"95/09/15"</f>
        <v>95/09/15</v>
      </c>
      <c r="Z1997" s="1" t="str">
        <f>"95-34882"</f>
        <v>95-34882</v>
      </c>
      <c r="AA1997" s="1" t="str">
        <f t="shared" si="535"/>
        <v>شهرداريها</v>
      </c>
      <c r="AB1997" s="1" t="str">
        <f>"95/09/15"</f>
        <v>95/09/15</v>
      </c>
      <c r="AC1997" s="1" t="str">
        <f>"استان سيستان بلوچستان"</f>
        <v>استان سيستان بلوچستان</v>
      </c>
      <c r="AD1997" s="1" t="str">
        <f>"95/09/09"</f>
        <v>95/09/09</v>
      </c>
      <c r="AE1997" s="1" t="str">
        <f>"تاييدشده"</f>
        <v>تاييدشده</v>
      </c>
      <c r="AF1997" s="1" t="str">
        <f>""</f>
        <v/>
      </c>
      <c r="AG1997" s="1" t="str">
        <f>""</f>
        <v/>
      </c>
      <c r="AH1997" s="1" t="str">
        <f>""</f>
        <v/>
      </c>
      <c r="AI1997" s="1" t="str">
        <f>""</f>
        <v/>
      </c>
      <c r="AJ1997" s="1" t="str">
        <f>""</f>
        <v/>
      </c>
      <c r="AK1997" s="1" t="str">
        <f>""</f>
        <v/>
      </c>
    </row>
    <row r="1998" spans="1:37" x14ac:dyDescent="0.2">
      <c r="A1998" s="1">
        <v>2152000</v>
      </c>
      <c r="B1998" s="1">
        <v>951100028</v>
      </c>
      <c r="C1998" s="1" t="str">
        <f>"تخليه -يزد15كيلومتري جاده خضرآبادكارخانه آسفالت سازمان عمران ونوسازي شهرداري يزد"</f>
        <v>تخليه -يزد15كيلومتري جاده خضرآبادكارخانه آسفالت سازمان عمران ونوسازي شهرداري يزد</v>
      </c>
      <c r="D1998" s="1">
        <v>5650</v>
      </c>
      <c r="E1998" s="1">
        <v>2150420</v>
      </c>
      <c r="F1998" s="1">
        <v>95</v>
      </c>
      <c r="G1998" s="1">
        <v>1580</v>
      </c>
      <c r="H1998" s="1" t="str">
        <f>"95/02/08"</f>
        <v>95/02/08</v>
      </c>
      <c r="I1998" s="1" t="str">
        <f t="shared" si="531"/>
        <v>كيلوگرم</v>
      </c>
      <c r="J1998" s="1" t="str">
        <f t="shared" si="526"/>
        <v>0000000076</v>
      </c>
      <c r="K1998" s="1" t="str">
        <f t="shared" si="527"/>
        <v>قير 60/70 - فله</v>
      </c>
      <c r="L1998" s="1">
        <v>100</v>
      </c>
      <c r="M1998" s="1" t="str">
        <f t="shared" si="534"/>
        <v>مخازن قير اصفهان</v>
      </c>
      <c r="N1998" s="1">
        <v>10012</v>
      </c>
      <c r="O1998" s="1">
        <v>50030658</v>
      </c>
      <c r="P1998" s="1" t="str">
        <f>"  شهرداري يزد"</f>
        <v xml:space="preserve">  شهرداري يزد</v>
      </c>
      <c r="Q1998" s="1">
        <v>11</v>
      </c>
      <c r="R1998" s="1" t="str">
        <f>"فروش داخلي تهران - بورس"</f>
        <v>فروش داخلي تهران - بورس</v>
      </c>
      <c r="S1998" s="1" t="str">
        <f t="shared" si="532"/>
        <v>قرارداد فروش</v>
      </c>
      <c r="T1998" s="1" t="str">
        <f t="shared" si="533"/>
        <v>ندارد</v>
      </c>
      <c r="U1998" s="1" t="str">
        <f>"غلام نجفي سيامك‌‌‌‌‌‌(1881082)"</f>
        <v>غلام نجفي سيامك‌‌‌‌‌‌(1881082)</v>
      </c>
      <c r="V1998" s="1">
        <v>951100028</v>
      </c>
      <c r="W1998" s="1">
        <v>951100028</v>
      </c>
      <c r="X1998" s="1" t="str">
        <f>"1395401766"</f>
        <v>1395401766</v>
      </c>
      <c r="Y1998" s="1" t="str">
        <f>"95/02/08"</f>
        <v>95/02/08</v>
      </c>
      <c r="Z1998" s="1" t="str">
        <f>"950005192"</f>
        <v>950005192</v>
      </c>
      <c r="AA1998" s="1" t="str">
        <f t="shared" si="535"/>
        <v>شهرداريها</v>
      </c>
      <c r="AB1998" s="1" t="str">
        <f>"95/02/06"</f>
        <v>95/02/06</v>
      </c>
      <c r="AC1998" s="1" t="str">
        <f>"استان يزد"</f>
        <v>استان يزد</v>
      </c>
      <c r="AD1998" s="1" t="str">
        <f>"95/02/08"</f>
        <v>95/02/08</v>
      </c>
      <c r="AE1998" s="1" t="str">
        <f t="shared" ref="AE1998:AE2019" si="536">"اختتام"</f>
        <v>اختتام</v>
      </c>
      <c r="AF1998" s="1" t="str">
        <f>""</f>
        <v/>
      </c>
      <c r="AG1998" s="1" t="str">
        <f>""</f>
        <v/>
      </c>
      <c r="AH1998" s="1" t="str">
        <f>""</f>
        <v/>
      </c>
      <c r="AI1998" s="1" t="str">
        <f>""</f>
        <v/>
      </c>
      <c r="AJ1998" s="1" t="str">
        <f>""</f>
        <v/>
      </c>
      <c r="AK1998" s="1" t="str">
        <f>""</f>
        <v/>
      </c>
    </row>
    <row r="1999" spans="1:37" x14ac:dyDescent="0.2">
      <c r="A1999" s="1">
        <v>72000</v>
      </c>
      <c r="B1999" s="1">
        <v>952000042</v>
      </c>
      <c r="C1999" s="1" t="str">
        <f>"تخليه اصفهان جرقويه سه راهي محمدآبادجنب شهرك صنعتي"</f>
        <v>تخليه اصفهان جرقويه سه راهي محمدآبادجنب شهرك صنعتي</v>
      </c>
      <c r="D1999" s="1">
        <v>6876</v>
      </c>
      <c r="E1999" s="1">
        <v>70880</v>
      </c>
      <c r="F1999" s="1">
        <v>95</v>
      </c>
      <c r="G1999" s="1">
        <v>1120</v>
      </c>
      <c r="H1999" s="1" t="str">
        <f>"95/06/07"</f>
        <v>95/06/07</v>
      </c>
      <c r="I1999" s="1" t="str">
        <f t="shared" si="531"/>
        <v>كيلوگرم</v>
      </c>
      <c r="J1999" s="1" t="str">
        <f t="shared" ref="J1999:J2030" si="537">"0000000076"</f>
        <v>0000000076</v>
      </c>
      <c r="K1999" s="1" t="str">
        <f t="shared" ref="K1999:K2030" si="538">"قير 60/70 - فله"</f>
        <v>قير 60/70 - فله</v>
      </c>
      <c r="L1999" s="1">
        <v>100</v>
      </c>
      <c r="M1999" s="1" t="str">
        <f t="shared" si="534"/>
        <v>مخازن قير اصفهان</v>
      </c>
      <c r="N1999" s="1">
        <v>10030</v>
      </c>
      <c r="O1999" s="1">
        <v>50031687</v>
      </c>
      <c r="P1999" s="1" t="str">
        <f>"  شهرداري تودشك"</f>
        <v xml:space="preserve">  شهرداري تودشك</v>
      </c>
      <c r="Q1999" s="1">
        <v>20</v>
      </c>
      <c r="R1999" s="1" t="str">
        <f>"فروش داخلي - سازمان شهرداري ها و دهياري هاي كشور"</f>
        <v>فروش داخلي - سازمان شهرداري ها و دهياري هاي كشور</v>
      </c>
      <c r="S1999" s="1" t="str">
        <f t="shared" si="532"/>
        <v>قرارداد فروش</v>
      </c>
      <c r="T1999" s="1" t="str">
        <f t="shared" si="533"/>
        <v>ندارد</v>
      </c>
      <c r="U1999" s="1" t="str">
        <f>"علي عابدي ابوالقاسم(1003ج89)"</f>
        <v>علي عابدي ابوالقاسم(1003ج89)</v>
      </c>
      <c r="V1999" s="1">
        <v>952000042</v>
      </c>
      <c r="W1999" s="1">
        <v>952000042</v>
      </c>
      <c r="X1999" s="1" t="str">
        <f>"1395426944"</f>
        <v>1395426944</v>
      </c>
      <c r="Y1999" s="1" t="str">
        <f>"95/06/07"</f>
        <v>95/06/07</v>
      </c>
      <c r="Z1999" s="1" t="str">
        <f>"24466"</f>
        <v>24466</v>
      </c>
      <c r="AA1999" s="1" t="str">
        <f t="shared" si="535"/>
        <v>شهرداريها</v>
      </c>
      <c r="AB1999" s="1" t="str">
        <f>"95/05/30"</f>
        <v>95/05/30</v>
      </c>
      <c r="AC1999" s="1" t="str">
        <f>"استان اصفهان"</f>
        <v>استان اصفهان</v>
      </c>
      <c r="AD1999" s="1" t="str">
        <f>"95/06/06"</f>
        <v>95/06/06</v>
      </c>
      <c r="AE1999" s="1" t="str">
        <f t="shared" si="536"/>
        <v>اختتام</v>
      </c>
      <c r="AF1999" s="1" t="str">
        <f>""</f>
        <v/>
      </c>
      <c r="AG1999" s="1" t="str">
        <f>""</f>
        <v/>
      </c>
      <c r="AH1999" s="1" t="str">
        <f>""</f>
        <v/>
      </c>
      <c r="AI1999" s="1" t="str">
        <f>""</f>
        <v/>
      </c>
      <c r="AJ1999" s="1" t="str">
        <f>""</f>
        <v/>
      </c>
      <c r="AK1999" s="1" t="str">
        <f>""</f>
        <v/>
      </c>
    </row>
    <row r="2000" spans="1:37" x14ac:dyDescent="0.2">
      <c r="A2000" s="1">
        <v>76000</v>
      </c>
      <c r="B2000" s="1">
        <v>956200230</v>
      </c>
      <c r="C2000" s="1" t="str">
        <f>"تخليه-کيلومتر 20جاده يزد -بافق"</f>
        <v>تخليه-کيلومتر 20جاده يزد -بافق</v>
      </c>
      <c r="D2000" s="1">
        <v>9361</v>
      </c>
      <c r="E2000" s="1">
        <v>74660</v>
      </c>
      <c r="F2000" s="1">
        <v>95</v>
      </c>
      <c r="G2000" s="1">
        <v>1340</v>
      </c>
      <c r="H2000" s="1" t="str">
        <f>"95/11/25"</f>
        <v>95/11/25</v>
      </c>
      <c r="I2000" s="1" t="str">
        <f t="shared" si="531"/>
        <v>كيلوگرم</v>
      </c>
      <c r="J2000" s="1" t="str">
        <f t="shared" si="537"/>
        <v>0000000076</v>
      </c>
      <c r="K2000" s="1" t="str">
        <f t="shared" si="538"/>
        <v>قير 60/70 - فله</v>
      </c>
      <c r="L2000" s="1">
        <v>100</v>
      </c>
      <c r="M2000" s="1" t="str">
        <f t="shared" si="534"/>
        <v>مخازن قير اصفهان</v>
      </c>
      <c r="N2000" s="1">
        <v>10033</v>
      </c>
      <c r="O2000" s="1">
        <v>50033733</v>
      </c>
      <c r="P2000" s="1" t="str">
        <f>"  راهسازي مشكين راه كوير"</f>
        <v xml:space="preserve">  راهسازي مشكين راه كوير</v>
      </c>
      <c r="Q2000" s="1">
        <v>62</v>
      </c>
      <c r="R2000" s="1" t="str">
        <f>"فروش داخلي - سازمان بنيادمسكن انقلاب اسلامي"</f>
        <v>فروش داخلي - سازمان بنيادمسكن انقلاب اسلامي</v>
      </c>
      <c r="S2000" s="1" t="str">
        <f t="shared" si="532"/>
        <v>قرارداد فروش</v>
      </c>
      <c r="T2000" s="1" t="str">
        <f t="shared" si="533"/>
        <v>ندارد</v>
      </c>
      <c r="U2000" s="1" t="str">
        <f>"عزيزي صفر(1006ج 89)"</f>
        <v>عزيزي صفر(1006ج 89)</v>
      </c>
      <c r="V2000" s="1">
        <v>956200230</v>
      </c>
      <c r="W2000" s="1">
        <v>956200230</v>
      </c>
      <c r="X2000" s="1" t="str">
        <f>"1395464669"</f>
        <v>1395464669</v>
      </c>
      <c r="Y2000" s="1" t="str">
        <f>"95/11/25"</f>
        <v>95/11/25</v>
      </c>
      <c r="Z2000" s="1" t="str">
        <f>"51026/د"</f>
        <v>51026/د</v>
      </c>
      <c r="AA2000" s="1" t="str">
        <f>"بنيادمسكن انقلاب اسلامي"</f>
        <v>بنيادمسكن انقلاب اسلامي</v>
      </c>
      <c r="AB2000" s="1" t="str">
        <f>"95/11/24"</f>
        <v>95/11/24</v>
      </c>
      <c r="AC2000" s="1" t="str">
        <f>"استان يزد"</f>
        <v>استان يزد</v>
      </c>
      <c r="AD2000" s="1" t="str">
        <f>"95/11/25"</f>
        <v>95/11/25</v>
      </c>
      <c r="AE2000" s="1" t="str">
        <f t="shared" si="536"/>
        <v>اختتام</v>
      </c>
      <c r="AF2000" s="1" t="str">
        <f>""</f>
        <v/>
      </c>
      <c r="AG2000" s="1" t="str">
        <f>""</f>
        <v/>
      </c>
      <c r="AH2000" s="1" t="str">
        <f>""</f>
        <v/>
      </c>
      <c r="AI2000" s="1" t="str">
        <f>""</f>
        <v/>
      </c>
      <c r="AJ2000" s="1" t="str">
        <f>""</f>
        <v/>
      </c>
      <c r="AK2000" s="1" t="str">
        <f>""</f>
        <v/>
      </c>
    </row>
    <row r="2001" spans="1:37" x14ac:dyDescent="0.2">
      <c r="A2001" s="1">
        <v>69000</v>
      </c>
      <c r="B2001" s="1">
        <v>952000096</v>
      </c>
      <c r="C2001" s="1" t="str">
        <f>"تخليه -اصفهان -جرقويه -سه راهي محمدآباد-كارخانه آسفالت جرقويه"</f>
        <v>تخليه -اصفهان -جرقويه -سه راهي محمدآباد-كارخانه آسفالت جرقويه</v>
      </c>
      <c r="D2001" s="1">
        <v>6976</v>
      </c>
      <c r="E2001" s="1">
        <v>68760</v>
      </c>
      <c r="F2001" s="1">
        <v>95</v>
      </c>
      <c r="G2001" s="1">
        <v>240</v>
      </c>
      <c r="H2001" s="1" t="str">
        <f>"95/07/05"</f>
        <v>95/07/05</v>
      </c>
      <c r="I2001" s="1" t="str">
        <f t="shared" si="531"/>
        <v>كيلوگرم</v>
      </c>
      <c r="J2001" s="1" t="str">
        <f t="shared" si="537"/>
        <v>0000000076</v>
      </c>
      <c r="K2001" s="1" t="str">
        <f t="shared" si="538"/>
        <v>قير 60/70 - فله</v>
      </c>
      <c r="L2001" s="1">
        <v>100</v>
      </c>
      <c r="M2001" s="1" t="str">
        <f t="shared" si="534"/>
        <v>مخازن قير اصفهان</v>
      </c>
      <c r="N2001" s="1">
        <v>10047</v>
      </c>
      <c r="O2001" s="1">
        <v>50031950</v>
      </c>
      <c r="P2001" s="1" t="str">
        <f>"  شهرداري اژيه"</f>
        <v xml:space="preserve">  شهرداري اژيه</v>
      </c>
      <c r="Q2001" s="1">
        <v>20</v>
      </c>
      <c r="R2001" s="1" t="str">
        <f>"فروش داخلي - سازمان شهرداري ها و دهياري هاي كشور"</f>
        <v>فروش داخلي - سازمان شهرداري ها و دهياري هاي كشور</v>
      </c>
      <c r="S2001" s="1" t="str">
        <f t="shared" si="532"/>
        <v>قرارداد فروش</v>
      </c>
      <c r="T2001" s="1" t="str">
        <f t="shared" si="533"/>
        <v>ندارد</v>
      </c>
      <c r="U2001" s="1" t="str">
        <f>"علي عابدي ابوالقاسم(1003ج89)"</f>
        <v>علي عابدي ابوالقاسم(1003ج89)</v>
      </c>
      <c r="V2001" s="1">
        <v>952000096</v>
      </c>
      <c r="W2001" s="1">
        <v>952000096</v>
      </c>
      <c r="X2001" s="1" t="str">
        <f>"1395433645"</f>
        <v>1395433645</v>
      </c>
      <c r="Y2001" s="1" t="str">
        <f>"95/07/05"</f>
        <v>95/07/05</v>
      </c>
      <c r="Z2001" s="1" t="str">
        <f>"27720"</f>
        <v>27720</v>
      </c>
      <c r="AA2001" s="1" t="str">
        <f>"شهرداريها"</f>
        <v>شهرداريها</v>
      </c>
      <c r="AB2001" s="1" t="str">
        <f>"95/06/10"</f>
        <v>95/06/10</v>
      </c>
      <c r="AC2001" s="1" t="str">
        <f>"استان اصفهان"</f>
        <v>استان اصفهان</v>
      </c>
      <c r="AD2001" s="1" t="str">
        <f>"95/07/04"</f>
        <v>95/07/04</v>
      </c>
      <c r="AE2001" s="1" t="str">
        <f t="shared" si="536"/>
        <v>اختتام</v>
      </c>
      <c r="AF2001" s="1" t="str">
        <f>""</f>
        <v/>
      </c>
      <c r="AG2001" s="1" t="str">
        <f>""</f>
        <v/>
      </c>
      <c r="AH2001" s="1" t="str">
        <f>""</f>
        <v/>
      </c>
      <c r="AI2001" s="1" t="str">
        <f>""</f>
        <v/>
      </c>
      <c r="AJ2001" s="1" t="str">
        <f>""</f>
        <v/>
      </c>
      <c r="AK2001" s="1" t="str">
        <f>""</f>
        <v/>
      </c>
    </row>
    <row r="2002" spans="1:37" x14ac:dyDescent="0.2">
      <c r="A2002" s="1">
        <v>80000</v>
      </c>
      <c r="B2002" s="1">
        <v>952000345</v>
      </c>
      <c r="C2002" s="1" t="str">
        <f>"تخليه كهگيلويه وبويراحمدباشت سرآبيزكارخانه آسفالت حسيني"</f>
        <v>تخليه كهگيلويه وبويراحمدباشت سرآبيزكارخانه آسفالت حسيني</v>
      </c>
      <c r="D2002" s="1">
        <v>9361</v>
      </c>
      <c r="E2002" s="1">
        <v>70880</v>
      </c>
      <c r="F2002" s="1">
        <v>95</v>
      </c>
      <c r="G2002" s="1">
        <v>9120</v>
      </c>
      <c r="H2002" s="1" t="str">
        <f>"95/11/24"</f>
        <v>95/11/24</v>
      </c>
      <c r="I2002" s="1" t="str">
        <f t="shared" si="531"/>
        <v>كيلوگرم</v>
      </c>
      <c r="J2002" s="1" t="str">
        <f t="shared" si="537"/>
        <v>0000000076</v>
      </c>
      <c r="K2002" s="1" t="str">
        <f t="shared" si="538"/>
        <v>قير 60/70 - فله</v>
      </c>
      <c r="L2002" s="1">
        <v>100</v>
      </c>
      <c r="M2002" s="1" t="str">
        <f t="shared" si="534"/>
        <v>مخازن قير اصفهان</v>
      </c>
      <c r="N2002" s="1">
        <v>10071</v>
      </c>
      <c r="O2002" s="1">
        <v>50033715</v>
      </c>
      <c r="P2002" s="1" t="str">
        <f>"  شهرداري باشت"</f>
        <v xml:space="preserve">  شهرداري باشت</v>
      </c>
      <c r="Q2002" s="1">
        <v>20</v>
      </c>
      <c r="R2002" s="1" t="str">
        <f>"فروش داخلي - سازمان شهرداري ها و دهياري هاي كشور"</f>
        <v>فروش داخلي - سازمان شهرداري ها و دهياري هاي كشور</v>
      </c>
      <c r="S2002" s="1" t="str">
        <f t="shared" si="532"/>
        <v>قرارداد فروش</v>
      </c>
      <c r="T2002" s="1" t="str">
        <f t="shared" si="533"/>
        <v>ندارد</v>
      </c>
      <c r="U2002" s="1" t="str">
        <f>"دشت بشي پودنگ وبرادران رضا(4844014)"</f>
        <v>دشت بشي پودنگ وبرادران رضا(4844014)</v>
      </c>
      <c r="V2002" s="1">
        <v>952000345</v>
      </c>
      <c r="W2002" s="1">
        <v>952000345</v>
      </c>
      <c r="X2002" s="1" t="str">
        <f>"1395464562"</f>
        <v>1395464562</v>
      </c>
      <c r="Y2002" s="1" t="str">
        <f>"95/11/24"</f>
        <v>95/11/24</v>
      </c>
      <c r="Z2002" s="1" t="str">
        <f>"47700"</f>
        <v>47700</v>
      </c>
      <c r="AA2002" s="1" t="str">
        <f>"شهرداريها"</f>
        <v>شهرداريها</v>
      </c>
      <c r="AB2002" s="1" t="str">
        <f>"95/09/28"</f>
        <v>95/09/28</v>
      </c>
      <c r="AC2002" s="1" t="str">
        <f>"كهكيلويه و بوير احمد"</f>
        <v>كهكيلويه و بوير احمد</v>
      </c>
      <c r="AD2002" s="1" t="str">
        <f>"95/11/24"</f>
        <v>95/11/24</v>
      </c>
      <c r="AE2002" s="1" t="str">
        <f t="shared" si="536"/>
        <v>اختتام</v>
      </c>
      <c r="AF2002" s="1" t="str">
        <f>""</f>
        <v/>
      </c>
      <c r="AG2002" s="1" t="str">
        <f>""</f>
        <v/>
      </c>
      <c r="AH2002" s="1" t="str">
        <f>""</f>
        <v/>
      </c>
      <c r="AI2002" s="1" t="str">
        <f>""</f>
        <v/>
      </c>
      <c r="AJ2002" s="1" t="str">
        <f>""</f>
        <v/>
      </c>
      <c r="AK2002" s="1" t="str">
        <f>""</f>
        <v/>
      </c>
    </row>
    <row r="2003" spans="1:37" x14ac:dyDescent="0.2">
      <c r="A2003" s="1">
        <v>130000</v>
      </c>
      <c r="B2003" s="1">
        <v>956200044</v>
      </c>
      <c r="C2003" s="1" t="str">
        <f>"تخليه -يزد-خاتم -كيلومتر2جاده سياهوئيه - کارخانه آسفالت بسترسازان کوير"</f>
        <v>تخليه -يزد-خاتم -كيلومتر2جاده سياهوئيه - کارخانه آسفالت بسترسازان کوير</v>
      </c>
      <c r="D2003" s="1">
        <v>5950</v>
      </c>
      <c r="E2003" s="1">
        <v>129120</v>
      </c>
      <c r="F2003" s="1">
        <v>95</v>
      </c>
      <c r="G2003" s="1">
        <v>880</v>
      </c>
      <c r="H2003" s="1" t="str">
        <f>"95/04/14"</f>
        <v>95/04/14</v>
      </c>
      <c r="I2003" s="1" t="str">
        <f t="shared" si="531"/>
        <v>كيلوگرم</v>
      </c>
      <c r="J2003" s="1" t="str">
        <f t="shared" si="537"/>
        <v>0000000076</v>
      </c>
      <c r="K2003" s="1" t="str">
        <f t="shared" si="538"/>
        <v>قير 60/70 - فله</v>
      </c>
      <c r="L2003" s="1">
        <v>100</v>
      </c>
      <c r="M2003" s="1" t="str">
        <f t="shared" si="534"/>
        <v>مخازن قير اصفهان</v>
      </c>
      <c r="N2003" s="1">
        <v>10088</v>
      </c>
      <c r="O2003" s="1">
        <v>50031188</v>
      </c>
      <c r="P2003" s="1" t="str">
        <f>"  عمراني بسترسازان كوير"</f>
        <v xml:space="preserve">  عمراني بسترسازان كوير</v>
      </c>
      <c r="Q2003" s="1">
        <v>62</v>
      </c>
      <c r="R2003" s="1" t="str">
        <f>"فروش داخلي - سازمان بنيادمسكن انقلاب اسلامي"</f>
        <v>فروش داخلي - سازمان بنيادمسكن انقلاب اسلامي</v>
      </c>
      <c r="S2003" s="1" t="str">
        <f t="shared" si="532"/>
        <v>قرارداد فروش</v>
      </c>
      <c r="T2003" s="1" t="str">
        <f t="shared" si="533"/>
        <v>ندارد</v>
      </c>
      <c r="U2003" s="1" t="str">
        <f>"عزيزي صفر(1006ج 89)"</f>
        <v>عزيزي صفر(1006ج 89)</v>
      </c>
      <c r="V2003" s="1">
        <v>956200044</v>
      </c>
      <c r="W2003" s="1">
        <v>956200044</v>
      </c>
      <c r="X2003" s="1" t="str">
        <f>"1395412854"</f>
        <v>1395412854</v>
      </c>
      <c r="Y2003" s="1" t="str">
        <f>"95/04/14"</f>
        <v>95/04/14</v>
      </c>
      <c r="Z2003" s="1" t="str">
        <f>"14231/د"</f>
        <v>14231/د</v>
      </c>
      <c r="AA2003" s="1" t="str">
        <f>"بنيادمسكن انقلاب اسلامي"</f>
        <v>بنيادمسكن انقلاب اسلامي</v>
      </c>
      <c r="AB2003" s="1" t="str">
        <f>"95/04/09"</f>
        <v>95/04/09</v>
      </c>
      <c r="AC2003" s="1" t="str">
        <f>"استان يزد"</f>
        <v>استان يزد</v>
      </c>
      <c r="AD2003" s="1" t="str">
        <f>"95/04/13"</f>
        <v>95/04/13</v>
      </c>
      <c r="AE2003" s="1" t="str">
        <f t="shared" si="536"/>
        <v>اختتام</v>
      </c>
      <c r="AF2003" s="1" t="str">
        <f>""</f>
        <v/>
      </c>
      <c r="AG2003" s="1" t="str">
        <f>""</f>
        <v/>
      </c>
      <c r="AH2003" s="1" t="str">
        <f>""</f>
        <v/>
      </c>
      <c r="AI2003" s="1" t="str">
        <f>""</f>
        <v/>
      </c>
      <c r="AJ2003" s="1" t="str">
        <f>""</f>
        <v/>
      </c>
      <c r="AK2003" s="1" t="str">
        <f>""</f>
        <v/>
      </c>
    </row>
    <row r="2004" spans="1:37" x14ac:dyDescent="0.2">
      <c r="A2004" s="1">
        <v>189000</v>
      </c>
      <c r="B2004" s="1">
        <v>956200228</v>
      </c>
      <c r="C2004" s="1" t="str">
        <f>"تخليه -يزد-خاتم -كيلومتر2جاده سياهوئيه - کارخانه آسفالت بسترسازان کوير"</f>
        <v>تخليه -يزد-خاتم -كيلومتر2جاده سياهوئيه - کارخانه آسفالت بسترسازان کوير</v>
      </c>
      <c r="D2004" s="1">
        <v>9361</v>
      </c>
      <c r="E2004" s="1">
        <v>188340</v>
      </c>
      <c r="F2004" s="1">
        <v>95</v>
      </c>
      <c r="G2004" s="1">
        <v>660</v>
      </c>
      <c r="H2004" s="1" t="str">
        <f>"95/11/25"</f>
        <v>95/11/25</v>
      </c>
      <c r="I2004" s="1" t="str">
        <f t="shared" si="531"/>
        <v>كيلوگرم</v>
      </c>
      <c r="J2004" s="1" t="str">
        <f t="shared" si="537"/>
        <v>0000000076</v>
      </c>
      <c r="K2004" s="1" t="str">
        <f t="shared" si="538"/>
        <v>قير 60/70 - فله</v>
      </c>
      <c r="L2004" s="1">
        <v>100</v>
      </c>
      <c r="M2004" s="1" t="str">
        <f t="shared" si="534"/>
        <v>مخازن قير اصفهان</v>
      </c>
      <c r="N2004" s="1">
        <v>10088</v>
      </c>
      <c r="O2004" s="1">
        <v>50033730</v>
      </c>
      <c r="P2004" s="1" t="str">
        <f>"  عمراني بسترسازان كوير"</f>
        <v xml:space="preserve">  عمراني بسترسازان كوير</v>
      </c>
      <c r="Q2004" s="1">
        <v>62</v>
      </c>
      <c r="R2004" s="1" t="str">
        <f>"فروش داخلي - سازمان بنيادمسكن انقلاب اسلامي"</f>
        <v>فروش داخلي - سازمان بنيادمسكن انقلاب اسلامي</v>
      </c>
      <c r="S2004" s="1" t="str">
        <f t="shared" si="532"/>
        <v>قرارداد فروش</v>
      </c>
      <c r="T2004" s="1" t="str">
        <f t="shared" si="533"/>
        <v>ندارد</v>
      </c>
      <c r="U2004" s="1" t="str">
        <f>"عزيزي صفر(1006ج 89)"</f>
        <v>عزيزي صفر(1006ج 89)</v>
      </c>
      <c r="V2004" s="1">
        <v>956200228</v>
      </c>
      <c r="W2004" s="1">
        <v>956200228</v>
      </c>
      <c r="X2004" s="1" t="str">
        <f>"1395464669"</f>
        <v>1395464669</v>
      </c>
      <c r="Y2004" s="1" t="str">
        <f>"95/11/25"</f>
        <v>95/11/25</v>
      </c>
      <c r="Z2004" s="1" t="str">
        <f>"51027/د"</f>
        <v>51027/د</v>
      </c>
      <c r="AA2004" s="1" t="str">
        <f>"بنيادمسكن انقلاب اسلامي"</f>
        <v>بنيادمسكن انقلاب اسلامي</v>
      </c>
      <c r="AB2004" s="1" t="str">
        <f>"95/11/24"</f>
        <v>95/11/24</v>
      </c>
      <c r="AC2004" s="1" t="str">
        <f>"استان يزد"</f>
        <v>استان يزد</v>
      </c>
      <c r="AD2004" s="1" t="str">
        <f>"95/11/25"</f>
        <v>95/11/25</v>
      </c>
      <c r="AE2004" s="1" t="str">
        <f t="shared" si="536"/>
        <v>اختتام</v>
      </c>
      <c r="AF2004" s="1" t="str">
        <f>""</f>
        <v/>
      </c>
      <c r="AG2004" s="1" t="str">
        <f>""</f>
        <v/>
      </c>
      <c r="AH2004" s="1" t="str">
        <f>""</f>
        <v/>
      </c>
      <c r="AI2004" s="1" t="str">
        <f>""</f>
        <v/>
      </c>
      <c r="AJ2004" s="1" t="str">
        <f>""</f>
        <v/>
      </c>
      <c r="AK2004" s="1" t="str">
        <f>""</f>
        <v/>
      </c>
    </row>
    <row r="2005" spans="1:37" x14ac:dyDescent="0.2">
      <c r="A2005" s="1">
        <v>70000</v>
      </c>
      <c r="B2005" s="1">
        <v>956200046</v>
      </c>
      <c r="C2005" s="1" t="str">
        <f>"تخليه-کيلومتر 18 جاده يزد-بافق"</f>
        <v>تخليه-کيلومتر 18 جاده يزد-بافق</v>
      </c>
      <c r="D2005" s="1">
        <v>5950</v>
      </c>
      <c r="E2005" s="1">
        <v>70000</v>
      </c>
      <c r="F2005" s="1">
        <v>95</v>
      </c>
      <c r="G2005" s="1">
        <v>0</v>
      </c>
      <c r="H2005" s="1" t="str">
        <f>"95/04/14"</f>
        <v>95/04/14</v>
      </c>
      <c r="I2005" s="1" t="str">
        <f t="shared" si="531"/>
        <v>كيلوگرم</v>
      </c>
      <c r="J2005" s="1" t="str">
        <f t="shared" si="537"/>
        <v>0000000076</v>
      </c>
      <c r="K2005" s="1" t="str">
        <f t="shared" si="538"/>
        <v>قير 60/70 - فله</v>
      </c>
      <c r="L2005" s="1">
        <v>100</v>
      </c>
      <c r="M2005" s="1" t="str">
        <f t="shared" si="534"/>
        <v>مخازن قير اصفهان</v>
      </c>
      <c r="N2005" s="1">
        <v>10148</v>
      </c>
      <c r="O2005" s="1">
        <v>50031190</v>
      </c>
      <c r="P2005" s="1" t="str">
        <f>"  مشکين راه يزد"</f>
        <v xml:space="preserve">  مشکين راه يزد</v>
      </c>
      <c r="Q2005" s="1">
        <v>62</v>
      </c>
      <c r="R2005" s="1" t="str">
        <f>"فروش داخلي - سازمان بنيادمسكن انقلاب اسلامي"</f>
        <v>فروش داخلي - سازمان بنيادمسكن انقلاب اسلامي</v>
      </c>
      <c r="S2005" s="1" t="str">
        <f t="shared" si="532"/>
        <v>قرارداد فروش</v>
      </c>
      <c r="T2005" s="1" t="str">
        <f t="shared" si="533"/>
        <v>ندارد</v>
      </c>
      <c r="U2005" s="1" t="str">
        <f>"عزيزي صفر(1006ج 89)"</f>
        <v>عزيزي صفر(1006ج 89)</v>
      </c>
      <c r="V2005" s="1">
        <v>956200046</v>
      </c>
      <c r="W2005" s="1">
        <v>956200046</v>
      </c>
      <c r="X2005" s="1" t="str">
        <f>"1395412854"</f>
        <v>1395412854</v>
      </c>
      <c r="Y2005" s="1" t="str">
        <f>"95/04/14"</f>
        <v>95/04/14</v>
      </c>
      <c r="Z2005" s="1" t="str">
        <f>"14229/د"</f>
        <v>14229/د</v>
      </c>
      <c r="AA2005" s="1" t="str">
        <f>"بنيادمسكن انقلاب اسلامي"</f>
        <v>بنيادمسكن انقلاب اسلامي</v>
      </c>
      <c r="AB2005" s="1" t="str">
        <f>"95/04/09"</f>
        <v>95/04/09</v>
      </c>
      <c r="AC2005" s="1" t="str">
        <f>"استان يزد"</f>
        <v>استان يزد</v>
      </c>
      <c r="AD2005" s="1" t="str">
        <f>"95/04/13"</f>
        <v>95/04/13</v>
      </c>
      <c r="AE2005" s="1" t="str">
        <f t="shared" si="536"/>
        <v>اختتام</v>
      </c>
      <c r="AF2005" s="1" t="str">
        <f>""</f>
        <v/>
      </c>
      <c r="AG2005" s="1" t="str">
        <f>""</f>
        <v/>
      </c>
      <c r="AH2005" s="1" t="str">
        <f>""</f>
        <v/>
      </c>
      <c r="AI2005" s="1" t="str">
        <f>""</f>
        <v/>
      </c>
      <c r="AJ2005" s="1" t="str">
        <f>""</f>
        <v/>
      </c>
      <c r="AK2005" s="1" t="str">
        <f>""</f>
        <v/>
      </c>
    </row>
    <row r="2006" spans="1:37" x14ac:dyDescent="0.2">
      <c r="A2006" s="1">
        <v>436000</v>
      </c>
      <c r="B2006" s="1">
        <v>956200141</v>
      </c>
      <c r="C2006" s="1" t="str">
        <f>"تخليه-کيلومتر 18 جاده يزد-بافق"</f>
        <v>تخليه-کيلومتر 18 جاده يزد-بافق</v>
      </c>
      <c r="D2006" s="1">
        <v>8861</v>
      </c>
      <c r="E2006" s="1">
        <v>435080</v>
      </c>
      <c r="F2006" s="1">
        <v>95</v>
      </c>
      <c r="G2006" s="1">
        <v>920</v>
      </c>
      <c r="H2006" s="1" t="str">
        <f>"95/10/14"</f>
        <v>95/10/14</v>
      </c>
      <c r="I2006" s="1" t="str">
        <f t="shared" si="531"/>
        <v>كيلوگرم</v>
      </c>
      <c r="J2006" s="1" t="str">
        <f t="shared" si="537"/>
        <v>0000000076</v>
      </c>
      <c r="K2006" s="1" t="str">
        <f t="shared" si="538"/>
        <v>قير 60/70 - فله</v>
      </c>
      <c r="L2006" s="1">
        <v>100</v>
      </c>
      <c r="M2006" s="1" t="str">
        <f t="shared" si="534"/>
        <v>مخازن قير اصفهان</v>
      </c>
      <c r="N2006" s="1">
        <v>10148</v>
      </c>
      <c r="O2006" s="1">
        <v>50033282</v>
      </c>
      <c r="P2006" s="1" t="str">
        <f>"  مشکين راه يزد"</f>
        <v xml:space="preserve">  مشکين راه يزد</v>
      </c>
      <c r="Q2006" s="1">
        <v>62</v>
      </c>
      <c r="R2006" s="1" t="str">
        <f>"فروش داخلي - سازمان بنيادمسكن انقلاب اسلامي"</f>
        <v>فروش داخلي - سازمان بنيادمسكن انقلاب اسلامي</v>
      </c>
      <c r="S2006" s="1" t="str">
        <f t="shared" si="532"/>
        <v>قرارداد فروش</v>
      </c>
      <c r="T2006" s="1" t="str">
        <f t="shared" si="533"/>
        <v>ندارد</v>
      </c>
      <c r="U2006" s="1" t="str">
        <f>"عزيزي صفر(1006ج 89)"</f>
        <v>عزيزي صفر(1006ج 89)</v>
      </c>
      <c r="V2006" s="1">
        <v>956200141</v>
      </c>
      <c r="W2006" s="1">
        <v>956200141</v>
      </c>
      <c r="X2006" s="1" t="str">
        <f>"1395456365"</f>
        <v>1395456365</v>
      </c>
      <c r="Y2006" s="1" t="str">
        <f>"95/10/14"</f>
        <v>95/10/14</v>
      </c>
      <c r="Z2006" s="1" t="str">
        <f>"43328/د"</f>
        <v>43328/د</v>
      </c>
      <c r="AA2006" s="1" t="str">
        <f>"بنيادمسكن انقلاب اسلامي"</f>
        <v>بنيادمسكن انقلاب اسلامي</v>
      </c>
      <c r="AB2006" s="1" t="str">
        <f>"95/10/12"</f>
        <v>95/10/12</v>
      </c>
      <c r="AC2006" s="1" t="str">
        <f>"استان يزد"</f>
        <v>استان يزد</v>
      </c>
      <c r="AD2006" s="1" t="str">
        <f>"95/10/13"</f>
        <v>95/10/13</v>
      </c>
      <c r="AE2006" s="1" t="str">
        <f t="shared" si="536"/>
        <v>اختتام</v>
      </c>
      <c r="AF2006" s="1" t="str">
        <f>""</f>
        <v/>
      </c>
      <c r="AG2006" s="1" t="str">
        <f>""</f>
        <v/>
      </c>
      <c r="AH2006" s="1" t="str">
        <f>""</f>
        <v/>
      </c>
      <c r="AI2006" s="1" t="str">
        <f>""</f>
        <v/>
      </c>
      <c r="AJ2006" s="1" t="str">
        <f>""</f>
        <v/>
      </c>
      <c r="AK2006" s="1" t="str">
        <f>""</f>
        <v/>
      </c>
    </row>
    <row r="2007" spans="1:37" x14ac:dyDescent="0.2">
      <c r="A2007" s="1">
        <v>120000</v>
      </c>
      <c r="B2007" s="1">
        <v>952000143</v>
      </c>
      <c r="C2007" s="1" t="str">
        <f>"تخليه -كهكيلويه و بويراحمد-کارخانه آسفالت شهرداري لنده"</f>
        <v>تخليه -كهكيلويه و بويراحمد-کارخانه آسفالت شهرداري لنده</v>
      </c>
      <c r="D2007" s="1">
        <v>6976</v>
      </c>
      <c r="E2007" s="1">
        <v>119900</v>
      </c>
      <c r="F2007" s="1">
        <v>95</v>
      </c>
      <c r="G2007" s="1">
        <v>100</v>
      </c>
      <c r="H2007" s="1" t="str">
        <f>"95/07/14"</f>
        <v>95/07/14</v>
      </c>
      <c r="I2007" s="1" t="str">
        <f t="shared" si="531"/>
        <v>كيلوگرم</v>
      </c>
      <c r="J2007" s="1" t="str">
        <f t="shared" si="537"/>
        <v>0000000076</v>
      </c>
      <c r="K2007" s="1" t="str">
        <f t="shared" si="538"/>
        <v>قير 60/70 - فله</v>
      </c>
      <c r="L2007" s="1">
        <v>100</v>
      </c>
      <c r="M2007" s="1" t="str">
        <f t="shared" si="534"/>
        <v>مخازن قير اصفهان</v>
      </c>
      <c r="N2007" s="1">
        <v>10230</v>
      </c>
      <c r="O2007" s="1">
        <v>50032100</v>
      </c>
      <c r="P2007" s="1" t="str">
        <f>"  شهرداري لنده"</f>
        <v xml:space="preserve">  شهرداري لنده</v>
      </c>
      <c r="Q2007" s="1">
        <v>20</v>
      </c>
      <c r="R2007" s="1" t="str">
        <f>"فروش داخلي - سازمان شهرداري ها و دهياري هاي كشور"</f>
        <v>فروش داخلي - سازمان شهرداري ها و دهياري هاي كشور</v>
      </c>
      <c r="S2007" s="1" t="str">
        <f t="shared" si="532"/>
        <v>قرارداد فروش</v>
      </c>
      <c r="T2007" s="1" t="str">
        <f t="shared" si="533"/>
        <v>ندارد</v>
      </c>
      <c r="U2007" s="1" t="str">
        <f>"افناني اسفندآبادي سعيد(4844002)"</f>
        <v>افناني اسفندآبادي سعيد(4844002)</v>
      </c>
      <c r="V2007" s="1">
        <v>952000143</v>
      </c>
      <c r="W2007" s="1">
        <v>952000143</v>
      </c>
      <c r="X2007" s="1" t="str">
        <f>"1395436486"</f>
        <v>1395436486</v>
      </c>
      <c r="Y2007" s="1" t="str">
        <f>"95/07/14"</f>
        <v>95/07/14</v>
      </c>
      <c r="Z2007" s="1" t="str">
        <f>"32665"</f>
        <v>32665</v>
      </c>
      <c r="AA2007" s="1" t="str">
        <f>"شهرداريها"</f>
        <v>شهرداريها</v>
      </c>
      <c r="AB2007" s="1" t="str">
        <f>"95/07/06"</f>
        <v>95/07/06</v>
      </c>
      <c r="AC2007" s="1" t="str">
        <f>"كهكيلويه و بوير احمد"</f>
        <v>كهكيلويه و بوير احمد</v>
      </c>
      <c r="AD2007" s="1" t="str">
        <f>"95/07/14"</f>
        <v>95/07/14</v>
      </c>
      <c r="AE2007" s="1" t="str">
        <f t="shared" si="536"/>
        <v>اختتام</v>
      </c>
      <c r="AF2007" s="1" t="str">
        <f>""</f>
        <v/>
      </c>
      <c r="AG2007" s="1" t="str">
        <f>""</f>
        <v/>
      </c>
      <c r="AH2007" s="1" t="str">
        <f>""</f>
        <v/>
      </c>
      <c r="AI2007" s="1" t="str">
        <f>""</f>
        <v/>
      </c>
      <c r="AJ2007" s="1" t="str">
        <f>""</f>
        <v/>
      </c>
      <c r="AK2007" s="1" t="str">
        <f>""</f>
        <v/>
      </c>
    </row>
    <row r="2008" spans="1:37" x14ac:dyDescent="0.2">
      <c r="A2008" s="1">
        <v>123000</v>
      </c>
      <c r="B2008" s="1">
        <v>952000332</v>
      </c>
      <c r="C2008" s="1" t="str">
        <f>"تخليه -كهكيلويه و بويراحمد-کارخانه آسفالت شهرداري لنده"</f>
        <v>تخليه -كهكيلويه و بويراحمد-کارخانه آسفالت شهرداري لنده</v>
      </c>
      <c r="D2008" s="1">
        <v>9361</v>
      </c>
      <c r="E2008" s="1">
        <v>121960</v>
      </c>
      <c r="F2008" s="1">
        <v>95</v>
      </c>
      <c r="G2008" s="1">
        <v>1040</v>
      </c>
      <c r="H2008" s="1" t="str">
        <f>"95/11/24"</f>
        <v>95/11/24</v>
      </c>
      <c r="I2008" s="1" t="str">
        <f t="shared" si="531"/>
        <v>كيلوگرم</v>
      </c>
      <c r="J2008" s="1" t="str">
        <f t="shared" si="537"/>
        <v>0000000076</v>
      </c>
      <c r="K2008" s="1" t="str">
        <f t="shared" si="538"/>
        <v>قير 60/70 - فله</v>
      </c>
      <c r="L2008" s="1">
        <v>100</v>
      </c>
      <c r="M2008" s="1" t="str">
        <f t="shared" si="534"/>
        <v>مخازن قير اصفهان</v>
      </c>
      <c r="N2008" s="1">
        <v>10230</v>
      </c>
      <c r="O2008" s="1">
        <v>50033696</v>
      </c>
      <c r="P2008" s="1" t="str">
        <f>"  شهرداري لنده"</f>
        <v xml:space="preserve">  شهرداري لنده</v>
      </c>
      <c r="Q2008" s="1">
        <v>20</v>
      </c>
      <c r="R2008" s="1" t="str">
        <f>"فروش داخلي - سازمان شهرداري ها و دهياري هاي كشور"</f>
        <v>فروش داخلي - سازمان شهرداري ها و دهياري هاي كشور</v>
      </c>
      <c r="S2008" s="1" t="str">
        <f t="shared" si="532"/>
        <v>قرارداد فروش</v>
      </c>
      <c r="T2008" s="1" t="str">
        <f t="shared" si="533"/>
        <v>ندارد</v>
      </c>
      <c r="U2008" s="1" t="str">
        <f>"افناني اسفندآبادي سعيد(4844002)"</f>
        <v>افناني اسفندآبادي سعيد(4844002)</v>
      </c>
      <c r="V2008" s="1">
        <v>952000332</v>
      </c>
      <c r="W2008" s="1">
        <v>952000332</v>
      </c>
      <c r="X2008" s="1" t="str">
        <f>"1395464401"</f>
        <v>1395464401</v>
      </c>
      <c r="Y2008" s="1" t="str">
        <f>"95/11/24"</f>
        <v>95/11/24</v>
      </c>
      <c r="Z2008" s="1" t="str">
        <f>"42315"</f>
        <v>42315</v>
      </c>
      <c r="AA2008" s="1" t="str">
        <f>"شهرداريها"</f>
        <v>شهرداريها</v>
      </c>
      <c r="AB2008" s="1" t="str">
        <f>"95/08/25"</f>
        <v>95/08/25</v>
      </c>
      <c r="AC2008" s="1" t="str">
        <f>"كهكيلويه و بوير احمد"</f>
        <v>كهكيلويه و بوير احمد</v>
      </c>
      <c r="AD2008" s="1" t="str">
        <f>"95/11/23"</f>
        <v>95/11/23</v>
      </c>
      <c r="AE2008" s="1" t="str">
        <f t="shared" si="536"/>
        <v>اختتام</v>
      </c>
      <c r="AF2008" s="1" t="str">
        <f>""</f>
        <v/>
      </c>
      <c r="AG2008" s="1" t="str">
        <f>""</f>
        <v/>
      </c>
      <c r="AH2008" s="1" t="str">
        <f>""</f>
        <v/>
      </c>
      <c r="AI2008" s="1" t="str">
        <f>""</f>
        <v/>
      </c>
      <c r="AJ2008" s="1" t="str">
        <f>""</f>
        <v/>
      </c>
      <c r="AK2008" s="1" t="str">
        <f>""</f>
        <v/>
      </c>
    </row>
    <row r="2009" spans="1:37" x14ac:dyDescent="0.2">
      <c r="A2009" s="1">
        <v>25000</v>
      </c>
      <c r="B2009" s="1">
        <v>956200243</v>
      </c>
      <c r="C2009" s="1" t="str">
        <f>"تخليه -گلستان -شهرستان كلاله جنب روستاي فريد"</f>
        <v>تخليه -گلستان -شهرستان كلاله جنب روستاي فريد</v>
      </c>
      <c r="D2009" s="1">
        <v>9361</v>
      </c>
      <c r="E2009" s="1">
        <v>23260</v>
      </c>
      <c r="F2009" s="1">
        <v>95</v>
      </c>
      <c r="G2009" s="1">
        <v>1740</v>
      </c>
      <c r="H2009" s="1" t="str">
        <f>"95/11/27"</f>
        <v>95/11/27</v>
      </c>
      <c r="I2009" s="1" t="str">
        <f t="shared" si="531"/>
        <v>كيلوگرم</v>
      </c>
      <c r="J2009" s="1" t="str">
        <f t="shared" si="537"/>
        <v>0000000076</v>
      </c>
      <c r="K2009" s="1" t="str">
        <f t="shared" si="538"/>
        <v>قير 60/70 - فله</v>
      </c>
      <c r="L2009" s="1">
        <v>100</v>
      </c>
      <c r="M2009" s="1" t="str">
        <f t="shared" si="534"/>
        <v>مخازن قير اصفهان</v>
      </c>
      <c r="N2009" s="1">
        <v>10256</v>
      </c>
      <c r="O2009" s="1">
        <v>50033776</v>
      </c>
      <c r="P2009" s="1" t="str">
        <f>"  راهسازان جبال گلستان"</f>
        <v xml:space="preserve">  راهسازان جبال گلستان</v>
      </c>
      <c r="Q2009" s="1">
        <v>62</v>
      </c>
      <c r="R2009" s="1" t="str">
        <f>"فروش داخلي - سازمان بنيادمسكن انقلاب اسلامي"</f>
        <v>فروش داخلي - سازمان بنيادمسكن انقلاب اسلامي</v>
      </c>
      <c r="S2009" s="1" t="str">
        <f t="shared" si="532"/>
        <v>قرارداد فروش</v>
      </c>
      <c r="T2009" s="1" t="str">
        <f t="shared" si="533"/>
        <v>ندارد</v>
      </c>
      <c r="U2009" s="1" t="str">
        <f>"رضائي كلهر حسن (1901099)"</f>
        <v>رضائي كلهر حسن (1901099)</v>
      </c>
      <c r="V2009" s="1">
        <v>956200243</v>
      </c>
      <c r="W2009" s="1">
        <v>956200243</v>
      </c>
      <c r="X2009" s="1" t="str">
        <f>"1395465843"</f>
        <v>1395465843</v>
      </c>
      <c r="Y2009" s="1" t="str">
        <f>"95/11/27"</f>
        <v>95/11/27</v>
      </c>
      <c r="Z2009" s="1" t="str">
        <f>"51498/د"</f>
        <v>51498/د</v>
      </c>
      <c r="AA2009" s="1" t="str">
        <f>"بنيادمسكن انقلاب اسلامي"</f>
        <v>بنيادمسكن انقلاب اسلامي</v>
      </c>
      <c r="AB2009" s="1" t="str">
        <f>"95/11/26"</f>
        <v>95/11/26</v>
      </c>
      <c r="AC2009" s="1" t="str">
        <f>"استان گلستان"</f>
        <v>استان گلستان</v>
      </c>
      <c r="AD2009" s="1" t="str">
        <f>"95/11/27"</f>
        <v>95/11/27</v>
      </c>
      <c r="AE2009" s="1" t="str">
        <f t="shared" si="536"/>
        <v>اختتام</v>
      </c>
      <c r="AF2009" s="1" t="str">
        <f>""</f>
        <v/>
      </c>
      <c r="AG2009" s="1" t="str">
        <f>""</f>
        <v/>
      </c>
      <c r="AH2009" s="1" t="str">
        <f>""</f>
        <v/>
      </c>
      <c r="AI2009" s="1" t="str">
        <f>""</f>
        <v/>
      </c>
      <c r="AJ2009" s="1" t="str">
        <f>""</f>
        <v/>
      </c>
      <c r="AK2009" s="1" t="str">
        <f>""</f>
        <v/>
      </c>
    </row>
    <row r="2010" spans="1:37" x14ac:dyDescent="0.2">
      <c r="A2010" s="1">
        <v>17000</v>
      </c>
      <c r="B2010" s="1">
        <v>951100012</v>
      </c>
      <c r="C2010" s="1" t="str">
        <f>"تخليه -اصفهان جاده تهران روبروي کارخانه سيمان جنب نيروگاه شهيدمنتظري کارخانه آسفالت مصلحي"</f>
        <v>تخليه -اصفهان جاده تهران روبروي کارخانه سيمان جنب نيروگاه شهيدمنتظري کارخانه آسفالت مصلحي</v>
      </c>
      <c r="D2010" s="1">
        <v>5200</v>
      </c>
      <c r="E2010" s="1">
        <v>16280</v>
      </c>
      <c r="F2010" s="1">
        <v>95</v>
      </c>
      <c r="G2010" s="1">
        <v>720</v>
      </c>
      <c r="H2010" s="1" t="str">
        <f>"95/01/30"</f>
        <v>95/01/30</v>
      </c>
      <c r="I2010" s="1" t="str">
        <f t="shared" si="531"/>
        <v>كيلوگرم</v>
      </c>
      <c r="J2010" s="1" t="str">
        <f t="shared" si="537"/>
        <v>0000000076</v>
      </c>
      <c r="K2010" s="1" t="str">
        <f t="shared" si="538"/>
        <v>قير 60/70 - فله</v>
      </c>
      <c r="L2010" s="1">
        <v>100</v>
      </c>
      <c r="M2010" s="1" t="str">
        <f t="shared" si="534"/>
        <v>مخازن قير اصفهان</v>
      </c>
      <c r="N2010" s="1">
        <v>10324</v>
      </c>
      <c r="O2010" s="1">
        <v>50030574</v>
      </c>
      <c r="P2010" s="1" t="str">
        <f>"  جاده سازان سپاهان"</f>
        <v xml:space="preserve">  جاده سازان سپاهان</v>
      </c>
      <c r="Q2010" s="1">
        <v>11</v>
      </c>
      <c r="R2010" s="1" t="str">
        <f>"فروش داخلي تهران - بورس"</f>
        <v>فروش داخلي تهران - بورس</v>
      </c>
      <c r="S2010" s="1" t="str">
        <f t="shared" si="532"/>
        <v>قرارداد فروش</v>
      </c>
      <c r="T2010" s="1" t="str">
        <f t="shared" si="533"/>
        <v>ندارد</v>
      </c>
      <c r="U2010" s="1" t="str">
        <f>"تاج سعيد هوشنگ (1031ج 89)"</f>
        <v>تاج سعيد هوشنگ (1031ج 89)</v>
      </c>
      <c r="V2010" s="1">
        <v>951100012</v>
      </c>
      <c r="W2010" s="1">
        <v>951100012</v>
      </c>
      <c r="X2010" s="1" t="str">
        <f>"1395399730"</f>
        <v>1395399730</v>
      </c>
      <c r="Y2010" s="1" t="str">
        <f>"95/01/28"</f>
        <v>95/01/28</v>
      </c>
      <c r="Z2010" s="1" t="str">
        <f>"95-34205"</f>
        <v>95-34205</v>
      </c>
      <c r="AA2010" s="1" t="str">
        <f>"آسفالت سازان"</f>
        <v>آسفالت سازان</v>
      </c>
      <c r="AB2010" s="1" t="str">
        <f>"95/01/28"</f>
        <v>95/01/28</v>
      </c>
      <c r="AC2010" s="1" t="str">
        <f>"استان اصفهان"</f>
        <v>استان اصفهان</v>
      </c>
      <c r="AD2010" s="1" t="str">
        <f>"95/01/25"</f>
        <v>95/01/25</v>
      </c>
      <c r="AE2010" s="1" t="str">
        <f t="shared" si="536"/>
        <v>اختتام</v>
      </c>
      <c r="AF2010" s="1" t="str">
        <f>""</f>
        <v/>
      </c>
      <c r="AG2010" s="1" t="str">
        <f>""</f>
        <v/>
      </c>
      <c r="AH2010" s="1" t="str">
        <f>""</f>
        <v/>
      </c>
      <c r="AI2010" s="1" t="str">
        <f>""</f>
        <v/>
      </c>
      <c r="AJ2010" s="1" t="str">
        <f>""</f>
        <v/>
      </c>
      <c r="AK2010" s="1" t="str">
        <f>""</f>
        <v/>
      </c>
    </row>
    <row r="2011" spans="1:37" x14ac:dyDescent="0.2">
      <c r="A2011" s="1">
        <v>230000</v>
      </c>
      <c r="B2011" s="1">
        <v>956200135</v>
      </c>
      <c r="C2011" s="1" t="str">
        <f>"تخليه -سيستان و بلوچستان - چابهار - روستاي کريم بخش"</f>
        <v>تخليه -سيستان و بلوچستان - چابهار - روستاي کريم بخش</v>
      </c>
      <c r="D2011" s="1">
        <v>8861</v>
      </c>
      <c r="E2011" s="1">
        <v>228580</v>
      </c>
      <c r="F2011" s="1">
        <v>95</v>
      </c>
      <c r="G2011" s="1">
        <v>1420</v>
      </c>
      <c r="H2011" s="1" t="str">
        <f>"95/10/13"</f>
        <v>95/10/13</v>
      </c>
      <c r="I2011" s="1" t="str">
        <f t="shared" si="531"/>
        <v>كيلوگرم</v>
      </c>
      <c r="J2011" s="1" t="str">
        <f t="shared" si="537"/>
        <v>0000000076</v>
      </c>
      <c r="K2011" s="1" t="str">
        <f t="shared" si="538"/>
        <v>قير 60/70 - فله</v>
      </c>
      <c r="L2011" s="1">
        <v>100</v>
      </c>
      <c r="M2011" s="1" t="str">
        <f t="shared" si="534"/>
        <v>مخازن قير اصفهان</v>
      </c>
      <c r="N2011" s="1">
        <v>10421</v>
      </c>
      <c r="O2011" s="1">
        <v>50033264</v>
      </c>
      <c r="P2011" s="1" t="str">
        <f>"  تعاوني راه وساختمان  3136سيستان سازه زابل"</f>
        <v xml:space="preserve">  تعاوني راه وساختمان  3136سيستان سازه زابل</v>
      </c>
      <c r="Q2011" s="1">
        <v>62</v>
      </c>
      <c r="R2011" s="1" t="str">
        <f>"فروش داخلي - سازمان بنيادمسكن انقلاب اسلامي"</f>
        <v>فروش داخلي - سازمان بنيادمسكن انقلاب اسلامي</v>
      </c>
      <c r="S2011" s="1" t="str">
        <f t="shared" si="532"/>
        <v>قرارداد فروش</v>
      </c>
      <c r="T2011" s="1" t="str">
        <f t="shared" si="533"/>
        <v>ندارد</v>
      </c>
      <c r="U2011" s="1" t="str">
        <f>"ميهن دوست مرتضي(1044ج 94)"</f>
        <v>ميهن دوست مرتضي(1044ج 94)</v>
      </c>
      <c r="V2011" s="1">
        <v>956200135</v>
      </c>
      <c r="W2011" s="1">
        <v>956200135</v>
      </c>
      <c r="X2011" s="1" t="str">
        <f>"1395456107"</f>
        <v>1395456107</v>
      </c>
      <c r="Y2011" s="1" t="str">
        <f>"95/10/13"</f>
        <v>95/10/13</v>
      </c>
      <c r="Z2011" s="1" t="str">
        <f>"42761/د"</f>
        <v>42761/د</v>
      </c>
      <c r="AA2011" s="1" t="str">
        <f>"بنيادمسكن انقلاب اسلامي"</f>
        <v>بنيادمسكن انقلاب اسلامي</v>
      </c>
      <c r="AB2011" s="1" t="str">
        <f>"95/10/08"</f>
        <v>95/10/08</v>
      </c>
      <c r="AC2011" s="1" t="str">
        <f>"استان سيستان بلوچستان"</f>
        <v>استان سيستان بلوچستان</v>
      </c>
      <c r="AD2011" s="1" t="str">
        <f>"95/10/11"</f>
        <v>95/10/11</v>
      </c>
      <c r="AE2011" s="1" t="str">
        <f t="shared" si="536"/>
        <v>اختتام</v>
      </c>
      <c r="AF2011" s="1" t="str">
        <f>""</f>
        <v/>
      </c>
      <c r="AG2011" s="1" t="str">
        <f>""</f>
        <v/>
      </c>
      <c r="AH2011" s="1" t="str">
        <f>""</f>
        <v/>
      </c>
      <c r="AI2011" s="1" t="str">
        <f>""</f>
        <v/>
      </c>
      <c r="AJ2011" s="1" t="str">
        <f>""</f>
        <v/>
      </c>
      <c r="AK2011" s="1" t="str">
        <f>""</f>
        <v/>
      </c>
    </row>
    <row r="2012" spans="1:37" x14ac:dyDescent="0.2">
      <c r="A2012" s="1">
        <v>307000</v>
      </c>
      <c r="B2012" s="1">
        <v>956200305</v>
      </c>
      <c r="C2012" s="1" t="str">
        <f>"تخليه :لرستان الشتر - شهر فيروز آباد - کارخانه شرکت زاگرس راه نصر"</f>
        <v>تخليه :لرستان الشتر - شهر فيروز آباد - کارخانه شرکت زاگرس راه نصر</v>
      </c>
      <c r="D2012" s="1">
        <v>8848</v>
      </c>
      <c r="E2012" s="1">
        <v>307000</v>
      </c>
      <c r="F2012" s="1">
        <v>95</v>
      </c>
      <c r="G2012" s="1">
        <v>0</v>
      </c>
      <c r="H2012" s="1" t="str">
        <f>"95/12/10"</f>
        <v>95/12/10</v>
      </c>
      <c r="I2012" s="1" t="str">
        <f t="shared" si="531"/>
        <v>كيلوگرم</v>
      </c>
      <c r="J2012" s="1" t="str">
        <f t="shared" si="537"/>
        <v>0000000076</v>
      </c>
      <c r="K2012" s="1" t="str">
        <f t="shared" si="538"/>
        <v>قير 60/70 - فله</v>
      </c>
      <c r="L2012" s="1">
        <v>100</v>
      </c>
      <c r="M2012" s="1" t="str">
        <f t="shared" si="534"/>
        <v>مخازن قير اصفهان</v>
      </c>
      <c r="N2012" s="1">
        <v>10506</v>
      </c>
      <c r="O2012" s="1">
        <v>50033934</v>
      </c>
      <c r="P2012" s="1" t="str">
        <f>"  يكتابتن پرشين"</f>
        <v xml:space="preserve">  يكتابتن پرشين</v>
      </c>
      <c r="Q2012" s="1">
        <v>62</v>
      </c>
      <c r="R2012" s="1" t="str">
        <f>"فروش داخلي - سازمان بنيادمسكن انقلاب اسلامي"</f>
        <v>فروش داخلي - سازمان بنيادمسكن انقلاب اسلامي</v>
      </c>
      <c r="S2012" s="1" t="str">
        <f t="shared" si="532"/>
        <v>قرارداد فروش</v>
      </c>
      <c r="T2012" s="1" t="str">
        <f t="shared" si="533"/>
        <v>ندارد</v>
      </c>
      <c r="U2012" s="1" t="str">
        <f>"عظيمي محمد(2842015)"</f>
        <v>عظيمي محمد(2842015)</v>
      </c>
      <c r="V2012" s="1">
        <v>956200305</v>
      </c>
      <c r="W2012" s="1">
        <v>956200305</v>
      </c>
      <c r="X2012" s="1" t="str">
        <f>"1395468357"</f>
        <v>1395468357</v>
      </c>
      <c r="Y2012" s="1" t="str">
        <f>"95/12/10"</f>
        <v>95/12/10</v>
      </c>
      <c r="Z2012" s="1" t="str">
        <f>"54426/د"</f>
        <v>54426/د</v>
      </c>
      <c r="AA2012" s="1" t="str">
        <f>"بنيادمسكن انقلاب اسلامي"</f>
        <v>بنيادمسكن انقلاب اسلامي</v>
      </c>
      <c r="AB2012" s="1" t="str">
        <f>"95/12/09"</f>
        <v>95/12/09</v>
      </c>
      <c r="AC2012" s="1" t="str">
        <f>"لرستان"</f>
        <v>لرستان</v>
      </c>
      <c r="AD2012" s="1" t="str">
        <f>"95/12/10"</f>
        <v>95/12/10</v>
      </c>
      <c r="AE2012" s="1" t="str">
        <f t="shared" si="536"/>
        <v>اختتام</v>
      </c>
      <c r="AF2012" s="1" t="str">
        <f>""</f>
        <v/>
      </c>
      <c r="AG2012" s="1" t="str">
        <f>""</f>
        <v/>
      </c>
      <c r="AH2012" s="1" t="str">
        <f>""</f>
        <v/>
      </c>
      <c r="AI2012" s="1" t="str">
        <f>""</f>
        <v/>
      </c>
      <c r="AJ2012" s="1" t="str">
        <f>""</f>
        <v/>
      </c>
      <c r="AK2012" s="1" t="str">
        <f>""</f>
        <v/>
      </c>
    </row>
    <row r="2013" spans="1:37" x14ac:dyDescent="0.2">
      <c r="A2013" s="1">
        <v>375000</v>
      </c>
      <c r="B2013" s="1">
        <v>956200163</v>
      </c>
      <c r="C2013" s="1" t="str">
        <f>"تخليه -اصفهان -فريدن -كارخانه آسفالت دامنه"</f>
        <v>تخليه -اصفهان -فريدن -كارخانه آسفالت دامنه</v>
      </c>
      <c r="D2013" s="1">
        <v>8861</v>
      </c>
      <c r="E2013" s="1">
        <v>374040</v>
      </c>
      <c r="F2013" s="1">
        <v>95</v>
      </c>
      <c r="G2013" s="1">
        <v>960</v>
      </c>
      <c r="H2013" s="1" t="str">
        <f>"95/10/23"</f>
        <v>95/10/23</v>
      </c>
      <c r="I2013" s="1" t="str">
        <f t="shared" si="531"/>
        <v>كيلوگرم</v>
      </c>
      <c r="J2013" s="1" t="str">
        <f t="shared" si="537"/>
        <v>0000000076</v>
      </c>
      <c r="K2013" s="1" t="str">
        <f t="shared" si="538"/>
        <v>قير 60/70 - فله</v>
      </c>
      <c r="L2013" s="1">
        <v>100</v>
      </c>
      <c r="M2013" s="1" t="str">
        <f t="shared" si="534"/>
        <v>مخازن قير اصفهان</v>
      </c>
      <c r="N2013" s="1">
        <v>10536</v>
      </c>
      <c r="O2013" s="1">
        <v>50033385</v>
      </c>
      <c r="P2013" s="1" t="str">
        <f>"  آبجيل صنعت"</f>
        <v xml:space="preserve">  آبجيل صنعت</v>
      </c>
      <c r="Q2013" s="1">
        <v>62</v>
      </c>
      <c r="R2013" s="1" t="str">
        <f>"فروش داخلي - سازمان بنيادمسكن انقلاب اسلامي"</f>
        <v>فروش داخلي - سازمان بنيادمسكن انقلاب اسلامي</v>
      </c>
      <c r="S2013" s="1" t="str">
        <f t="shared" si="532"/>
        <v>قرارداد فروش</v>
      </c>
      <c r="T2013" s="1" t="str">
        <f t="shared" si="533"/>
        <v>ندارد</v>
      </c>
      <c r="U2013" s="1" t="str">
        <f>"سيفي پور گودرز(1019ج89)"</f>
        <v>سيفي پور گودرز(1019ج89)</v>
      </c>
      <c r="V2013" s="1">
        <v>956200163</v>
      </c>
      <c r="W2013" s="1">
        <v>956200163</v>
      </c>
      <c r="X2013" s="1" t="str">
        <f>"1395457937"</f>
        <v>1395457937</v>
      </c>
      <c r="Y2013" s="1" t="str">
        <f>"95/10/23"</f>
        <v>95/10/23</v>
      </c>
      <c r="Z2013" s="1" t="str">
        <f>"44847/د"</f>
        <v>44847/د</v>
      </c>
      <c r="AA2013" s="1" t="str">
        <f>"بنيادمسكن انقلاب اسلامي"</f>
        <v>بنيادمسكن انقلاب اسلامي</v>
      </c>
      <c r="AB2013" s="1" t="str">
        <f>"95/10/20"</f>
        <v>95/10/20</v>
      </c>
      <c r="AC2013" s="1" t="str">
        <f>"استان اصفهان"</f>
        <v>استان اصفهان</v>
      </c>
      <c r="AD2013" s="1" t="str">
        <f>"95/10/22"</f>
        <v>95/10/22</v>
      </c>
      <c r="AE2013" s="1" t="str">
        <f t="shared" si="536"/>
        <v>اختتام</v>
      </c>
      <c r="AF2013" s="1" t="str">
        <f>""</f>
        <v/>
      </c>
      <c r="AG2013" s="1" t="str">
        <f>""</f>
        <v/>
      </c>
      <c r="AH2013" s="1" t="str">
        <f>""</f>
        <v/>
      </c>
      <c r="AI2013" s="1" t="str">
        <f>""</f>
        <v/>
      </c>
      <c r="AJ2013" s="1" t="str">
        <f>""</f>
        <v/>
      </c>
      <c r="AK2013" s="1" t="str">
        <f>""</f>
        <v/>
      </c>
    </row>
    <row r="2014" spans="1:37" x14ac:dyDescent="0.2">
      <c r="A2014" s="1">
        <v>210000</v>
      </c>
      <c r="B2014" s="1">
        <v>956200399</v>
      </c>
      <c r="C2014" s="1" t="str">
        <f>"تخليه - اصفهان-دامنه-کارخانه آسفالت شهرداري"</f>
        <v>تخليه - اصفهان-دامنه-کارخانه آسفالت شهرداري</v>
      </c>
      <c r="D2014" s="1">
        <v>8848</v>
      </c>
      <c r="E2014" s="1">
        <v>210000</v>
      </c>
      <c r="F2014" s="1">
        <v>95</v>
      </c>
      <c r="G2014" s="1">
        <v>0</v>
      </c>
      <c r="H2014" s="1" t="str">
        <f>"95/12/25"</f>
        <v>95/12/25</v>
      </c>
      <c r="I2014" s="1" t="str">
        <f t="shared" si="531"/>
        <v>كيلوگرم</v>
      </c>
      <c r="J2014" s="1" t="str">
        <f t="shared" si="537"/>
        <v>0000000076</v>
      </c>
      <c r="K2014" s="1" t="str">
        <f t="shared" si="538"/>
        <v>قير 60/70 - فله</v>
      </c>
      <c r="L2014" s="1">
        <v>100</v>
      </c>
      <c r="M2014" s="1" t="str">
        <f t="shared" si="534"/>
        <v>مخازن قير اصفهان</v>
      </c>
      <c r="N2014" s="1">
        <v>10536</v>
      </c>
      <c r="O2014" s="1">
        <v>50034244</v>
      </c>
      <c r="P2014" s="1" t="str">
        <f>"  آبجيل صنعت"</f>
        <v xml:space="preserve">  آبجيل صنعت</v>
      </c>
      <c r="Q2014" s="1">
        <v>62</v>
      </c>
      <c r="R2014" s="1" t="str">
        <f>"فروش داخلي - سازمان بنيادمسكن انقلاب اسلامي"</f>
        <v>فروش داخلي - سازمان بنيادمسكن انقلاب اسلامي</v>
      </c>
      <c r="S2014" s="1" t="str">
        <f t="shared" si="532"/>
        <v>قرارداد فروش</v>
      </c>
      <c r="T2014" s="1" t="str">
        <f t="shared" si="533"/>
        <v>ندارد</v>
      </c>
      <c r="U2014" s="1" t="str">
        <f>"سيفي پور گودرز(1019ج89)"</f>
        <v>سيفي پور گودرز(1019ج89)</v>
      </c>
      <c r="V2014" s="1">
        <v>956200399</v>
      </c>
      <c r="W2014" s="1">
        <v>956200399</v>
      </c>
      <c r="X2014" s="1" t="str">
        <f>"1395470894"</f>
        <v>1395470894</v>
      </c>
      <c r="Y2014" s="1" t="str">
        <f>"95/12/25"</f>
        <v>95/12/25</v>
      </c>
      <c r="Z2014" s="1" t="str">
        <f>"57007/د"</f>
        <v>57007/د</v>
      </c>
      <c r="AA2014" s="1" t="str">
        <f>"بنيادمسكن انقلاب اسلامي"</f>
        <v>بنيادمسكن انقلاب اسلامي</v>
      </c>
      <c r="AB2014" s="1" t="str">
        <f>"95/12/22"</f>
        <v>95/12/22</v>
      </c>
      <c r="AC2014" s="1" t="str">
        <f>"استان اصفهان"</f>
        <v>استان اصفهان</v>
      </c>
      <c r="AD2014" s="1" t="str">
        <f>"95/12/23"</f>
        <v>95/12/23</v>
      </c>
      <c r="AE2014" s="1" t="str">
        <f t="shared" si="536"/>
        <v>اختتام</v>
      </c>
      <c r="AF2014" s="1" t="str">
        <f>""</f>
        <v/>
      </c>
      <c r="AG2014" s="1" t="str">
        <f>""</f>
        <v/>
      </c>
      <c r="AH2014" s="1" t="str">
        <f>""</f>
        <v/>
      </c>
      <c r="AI2014" s="1" t="str">
        <f>""</f>
        <v/>
      </c>
      <c r="AJ2014" s="1" t="str">
        <f>""</f>
        <v/>
      </c>
      <c r="AK2014" s="1" t="str">
        <f>""</f>
        <v/>
      </c>
    </row>
    <row r="2015" spans="1:37" x14ac:dyDescent="0.2">
      <c r="A2015" s="1">
        <v>80000</v>
      </c>
      <c r="B2015" s="1">
        <v>956200419</v>
      </c>
      <c r="C2015" s="1" t="str">
        <f>"تخليه - کهگيلويه و بوير احمد-گچساران-روستاي خيرآباد-کارخانه آسفالت محسن زارع"</f>
        <v>تخليه - کهگيلويه و بوير احمد-گچساران-روستاي خيرآباد-کارخانه آسفالت محسن زارع</v>
      </c>
      <c r="D2015" s="1">
        <v>8848</v>
      </c>
      <c r="E2015" s="1">
        <v>67080</v>
      </c>
      <c r="F2015" s="1">
        <v>95</v>
      </c>
      <c r="G2015" s="1">
        <v>12920</v>
      </c>
      <c r="H2015" s="1" t="str">
        <f>"95/12/28"</f>
        <v>95/12/28</v>
      </c>
      <c r="I2015" s="1" t="str">
        <f t="shared" si="531"/>
        <v>كيلوگرم</v>
      </c>
      <c r="J2015" s="1" t="str">
        <f t="shared" si="537"/>
        <v>0000000076</v>
      </c>
      <c r="K2015" s="1" t="str">
        <f t="shared" si="538"/>
        <v>قير 60/70 - فله</v>
      </c>
      <c r="L2015" s="1">
        <v>100</v>
      </c>
      <c r="M2015" s="1" t="str">
        <f t="shared" si="534"/>
        <v>مخازن قير اصفهان</v>
      </c>
      <c r="N2015" s="1">
        <v>10543</v>
      </c>
      <c r="O2015" s="1">
        <v>50034307</v>
      </c>
      <c r="P2015" s="1" t="str">
        <f>"  پارسيان برج ايليا"</f>
        <v xml:space="preserve">  پارسيان برج ايليا</v>
      </c>
      <c r="Q2015" s="1">
        <v>62</v>
      </c>
      <c r="R2015" s="1" t="str">
        <f>"فروش داخلي - سازمان بنيادمسكن انقلاب اسلامي"</f>
        <v>فروش داخلي - سازمان بنيادمسكن انقلاب اسلامي</v>
      </c>
      <c r="S2015" s="1" t="str">
        <f t="shared" si="532"/>
        <v>قرارداد فروش</v>
      </c>
      <c r="T2015" s="1" t="str">
        <f t="shared" si="533"/>
        <v>ندارد</v>
      </c>
      <c r="U2015" s="1" t="str">
        <f>"غلام نجفي سيامك‌‌‌‌‌‌(1881082)"</f>
        <v>غلام نجفي سيامك‌‌‌‌‌‌(1881082)</v>
      </c>
      <c r="V2015" s="1">
        <v>956200419</v>
      </c>
      <c r="W2015" s="1">
        <v>956200419</v>
      </c>
      <c r="X2015" s="1" t="str">
        <f>"1395470952"</f>
        <v>1395470952</v>
      </c>
      <c r="Y2015" s="1" t="str">
        <f>"95/12/28"</f>
        <v>95/12/28</v>
      </c>
      <c r="Z2015" s="1" t="str">
        <f>"57031/د"</f>
        <v>57031/د</v>
      </c>
      <c r="AA2015" s="1" t="str">
        <f>"بنيادمسكن انقلاب اسلامي"</f>
        <v>بنيادمسكن انقلاب اسلامي</v>
      </c>
      <c r="AB2015" s="1" t="str">
        <f>"95/12/22"</f>
        <v>95/12/22</v>
      </c>
      <c r="AC2015" s="1" t="str">
        <f>"كهكيلويه و بوير احمد"</f>
        <v>كهكيلويه و بوير احمد</v>
      </c>
      <c r="AD2015" s="1" t="str">
        <f>"95/12/24"</f>
        <v>95/12/24</v>
      </c>
      <c r="AE2015" s="1" t="str">
        <f t="shared" si="536"/>
        <v>اختتام</v>
      </c>
      <c r="AF2015" s="1" t="str">
        <f>""</f>
        <v/>
      </c>
      <c r="AG2015" s="1" t="str">
        <f>""</f>
        <v/>
      </c>
      <c r="AH2015" s="1" t="str">
        <f>""</f>
        <v/>
      </c>
      <c r="AI2015" s="1" t="str">
        <f>""</f>
        <v/>
      </c>
      <c r="AJ2015" s="1" t="str">
        <f>""</f>
        <v/>
      </c>
      <c r="AK2015" s="1" t="str">
        <f>""</f>
        <v/>
      </c>
    </row>
    <row r="2016" spans="1:37" x14ac:dyDescent="0.2">
      <c r="A2016" s="1">
        <v>148000</v>
      </c>
      <c r="B2016" s="1">
        <v>952000082</v>
      </c>
      <c r="C2016" s="1" t="str">
        <f>"تخليه - شهرداري گلشن"</f>
        <v>تخليه - شهرداري گلشن</v>
      </c>
      <c r="D2016" s="1">
        <v>6876</v>
      </c>
      <c r="E2016" s="1">
        <v>146920</v>
      </c>
      <c r="F2016" s="1">
        <v>95</v>
      </c>
      <c r="G2016" s="1">
        <v>1080</v>
      </c>
      <c r="H2016" s="1" t="str">
        <f>"95/06/21"</f>
        <v>95/06/21</v>
      </c>
      <c r="I2016" s="1" t="str">
        <f t="shared" si="531"/>
        <v>كيلوگرم</v>
      </c>
      <c r="J2016" s="1" t="str">
        <f t="shared" si="537"/>
        <v>0000000076</v>
      </c>
      <c r="K2016" s="1" t="str">
        <f t="shared" si="538"/>
        <v>قير 60/70 - فله</v>
      </c>
      <c r="L2016" s="1">
        <v>100</v>
      </c>
      <c r="M2016" s="1" t="str">
        <f t="shared" si="534"/>
        <v>مخازن قير اصفهان</v>
      </c>
      <c r="N2016" s="1">
        <v>10659</v>
      </c>
      <c r="O2016" s="1">
        <v>50031845</v>
      </c>
      <c r="P2016" s="1" t="str">
        <f>"  شهرداري سميرم"</f>
        <v xml:space="preserve">  شهرداري سميرم</v>
      </c>
      <c r="Q2016" s="1">
        <v>20</v>
      </c>
      <c r="R2016" s="1" t="str">
        <f>"فروش داخلي - سازمان شهرداري ها و دهياري هاي كشور"</f>
        <v>فروش داخلي - سازمان شهرداري ها و دهياري هاي كشور</v>
      </c>
      <c r="S2016" s="1" t="str">
        <f t="shared" si="532"/>
        <v>قرارداد فروش</v>
      </c>
      <c r="T2016" s="1" t="str">
        <f t="shared" si="533"/>
        <v>ندارد</v>
      </c>
      <c r="U2016" s="1" t="str">
        <f>"سيفي پور عبدالمجيد(1009ج89)"</f>
        <v>سيفي پور عبدالمجيد(1009ج89)</v>
      </c>
      <c r="V2016" s="1">
        <v>952000082</v>
      </c>
      <c r="W2016" s="1">
        <v>952000082</v>
      </c>
      <c r="X2016" s="1" t="str">
        <f>"1395430748"</f>
        <v>1395430748</v>
      </c>
      <c r="Y2016" s="1" t="str">
        <f>"95/06/21"</f>
        <v>95/06/21</v>
      </c>
      <c r="Z2016" s="1" t="str">
        <f>"29115"</f>
        <v>29115</v>
      </c>
      <c r="AA2016" s="1" t="str">
        <f>"شهرداريها"</f>
        <v>شهرداريها</v>
      </c>
      <c r="AB2016" s="1" t="str">
        <f>"95/06/17"</f>
        <v>95/06/17</v>
      </c>
      <c r="AC2016" s="1" t="str">
        <f>"استان اصفهان"</f>
        <v>استان اصفهان</v>
      </c>
      <c r="AD2016" s="1" t="str">
        <f>"95/06/21"</f>
        <v>95/06/21</v>
      </c>
      <c r="AE2016" s="1" t="str">
        <f t="shared" si="536"/>
        <v>اختتام</v>
      </c>
      <c r="AF2016" s="1" t="str">
        <f>""</f>
        <v/>
      </c>
      <c r="AG2016" s="1" t="str">
        <f>""</f>
        <v/>
      </c>
      <c r="AH2016" s="1" t="str">
        <f>""</f>
        <v/>
      </c>
      <c r="AI2016" s="1" t="str">
        <f>""</f>
        <v/>
      </c>
      <c r="AJ2016" s="1" t="str">
        <f>""</f>
        <v/>
      </c>
      <c r="AK2016" s="1" t="str">
        <f>""</f>
        <v/>
      </c>
    </row>
    <row r="2017" spans="1:37" x14ac:dyDescent="0.2">
      <c r="A2017" s="1">
        <v>94000</v>
      </c>
      <c r="B2017" s="1">
        <v>952000160</v>
      </c>
      <c r="C2017" s="1" t="str">
        <f>"تخليه اصفهان جاده سيمان سپاهان شهرك صنعتي اشترجان انتهاي خيابان يازدهم شركت راه آژند"</f>
        <v>تخليه اصفهان جاده سيمان سپاهان شهرك صنعتي اشترجان انتهاي خيابان يازدهم شركت راه آژند</v>
      </c>
      <c r="D2017" s="1">
        <v>6976</v>
      </c>
      <c r="E2017" s="1">
        <v>93340</v>
      </c>
      <c r="F2017" s="1">
        <v>95</v>
      </c>
      <c r="G2017" s="1">
        <v>660</v>
      </c>
      <c r="H2017" s="1" t="str">
        <f>"95/07/17"</f>
        <v>95/07/17</v>
      </c>
      <c r="I2017" s="1" t="str">
        <f t="shared" si="531"/>
        <v>كيلوگرم</v>
      </c>
      <c r="J2017" s="1" t="str">
        <f t="shared" si="537"/>
        <v>0000000076</v>
      </c>
      <c r="K2017" s="1" t="str">
        <f t="shared" si="538"/>
        <v>قير 60/70 - فله</v>
      </c>
      <c r="L2017" s="1">
        <v>100</v>
      </c>
      <c r="M2017" s="1" t="str">
        <f t="shared" si="534"/>
        <v>مخازن قير اصفهان</v>
      </c>
      <c r="N2017" s="1">
        <v>10666</v>
      </c>
      <c r="O2017" s="1">
        <v>50032133</v>
      </c>
      <c r="P2017" s="1" t="str">
        <f>"  شهرداري کهريز سنگ"</f>
        <v xml:space="preserve">  شهرداري کهريز سنگ</v>
      </c>
      <c r="Q2017" s="1">
        <v>20</v>
      </c>
      <c r="R2017" s="1" t="str">
        <f>"فروش داخلي - سازمان شهرداري ها و دهياري هاي كشور"</f>
        <v>فروش داخلي - سازمان شهرداري ها و دهياري هاي كشور</v>
      </c>
      <c r="S2017" s="1" t="str">
        <f t="shared" si="532"/>
        <v>قرارداد فروش</v>
      </c>
      <c r="T2017" s="1" t="str">
        <f t="shared" si="533"/>
        <v>ندارد</v>
      </c>
      <c r="U2017" s="1" t="str">
        <f>"سيفي پور عبدالمجيد(1009ج89)"</f>
        <v>سيفي پور عبدالمجيد(1009ج89)</v>
      </c>
      <c r="V2017" s="1">
        <v>952000160</v>
      </c>
      <c r="W2017" s="1">
        <v>952000160</v>
      </c>
      <c r="X2017" s="1" t="str">
        <f>"1395436741"</f>
        <v>1395436741</v>
      </c>
      <c r="Y2017" s="1" t="str">
        <f>"95/07/17"</f>
        <v>95/07/17</v>
      </c>
      <c r="Z2017" s="1" t="str">
        <f>"27728"</f>
        <v>27728</v>
      </c>
      <c r="AA2017" s="1" t="str">
        <f>"شهرداريها"</f>
        <v>شهرداريها</v>
      </c>
      <c r="AB2017" s="1" t="str">
        <f>"95/06/10"</f>
        <v>95/06/10</v>
      </c>
      <c r="AC2017" s="1" t="str">
        <f>"استان اصفهان"</f>
        <v>استان اصفهان</v>
      </c>
      <c r="AD2017" s="1" t="str">
        <f>"95/07/17"</f>
        <v>95/07/17</v>
      </c>
      <c r="AE2017" s="1" t="str">
        <f t="shared" si="536"/>
        <v>اختتام</v>
      </c>
      <c r="AF2017" s="1" t="str">
        <f>""</f>
        <v/>
      </c>
      <c r="AG2017" s="1" t="str">
        <f>""</f>
        <v/>
      </c>
      <c r="AH2017" s="1" t="str">
        <f>""</f>
        <v/>
      </c>
      <c r="AI2017" s="1" t="str">
        <f>""</f>
        <v/>
      </c>
      <c r="AJ2017" s="1" t="str">
        <f>""</f>
        <v/>
      </c>
      <c r="AK2017" s="1" t="str">
        <f>""</f>
        <v/>
      </c>
    </row>
    <row r="2018" spans="1:37" x14ac:dyDescent="0.2">
      <c r="A2018" s="1">
        <v>30000</v>
      </c>
      <c r="B2018" s="1">
        <v>952000113</v>
      </c>
      <c r="C2018" s="1" t="str">
        <f>"تخليه -اصفهان -كيلومتر20جاده علويجه -شركت اصفهان مترو"</f>
        <v>تخليه -اصفهان -كيلومتر20جاده علويجه -شركت اصفهان مترو</v>
      </c>
      <c r="D2018" s="1">
        <v>6976</v>
      </c>
      <c r="E2018" s="1">
        <v>30000</v>
      </c>
      <c r="F2018" s="1">
        <v>95</v>
      </c>
      <c r="G2018" s="1">
        <v>0</v>
      </c>
      <c r="H2018" s="1" t="str">
        <f>"95/07/06"</f>
        <v>95/07/06</v>
      </c>
      <c r="I2018" s="1" t="str">
        <f t="shared" si="531"/>
        <v>كيلوگرم</v>
      </c>
      <c r="J2018" s="1" t="str">
        <f t="shared" si="537"/>
        <v>0000000076</v>
      </c>
      <c r="K2018" s="1" t="str">
        <f t="shared" si="538"/>
        <v>قير 60/70 - فله</v>
      </c>
      <c r="L2018" s="1">
        <v>100</v>
      </c>
      <c r="M2018" s="1" t="str">
        <f t="shared" si="534"/>
        <v>مخازن قير اصفهان</v>
      </c>
      <c r="N2018" s="1">
        <v>10677</v>
      </c>
      <c r="O2018" s="1">
        <v>50031981</v>
      </c>
      <c r="P2018" s="1" t="str">
        <f>"  شهرداري علويجه"</f>
        <v xml:space="preserve">  شهرداري علويجه</v>
      </c>
      <c r="Q2018" s="1">
        <v>20</v>
      </c>
      <c r="R2018" s="1" t="str">
        <f>"فروش داخلي - سازمان شهرداري ها و دهياري هاي كشور"</f>
        <v>فروش داخلي - سازمان شهرداري ها و دهياري هاي كشور</v>
      </c>
      <c r="S2018" s="1" t="str">
        <f t="shared" si="532"/>
        <v>قرارداد فروش</v>
      </c>
      <c r="T2018" s="1" t="str">
        <f t="shared" si="533"/>
        <v>ندارد</v>
      </c>
      <c r="U2018" s="1" t="str">
        <f>"عزيزي صفر(1006ج 89)"</f>
        <v>عزيزي صفر(1006ج 89)</v>
      </c>
      <c r="V2018" s="1">
        <v>952000113</v>
      </c>
      <c r="W2018" s="1">
        <v>952000113</v>
      </c>
      <c r="X2018" s="1" t="str">
        <f>"1395433839"</f>
        <v>1395433839</v>
      </c>
      <c r="Y2018" s="1" t="str">
        <f>"95/07/06"</f>
        <v>95/07/06</v>
      </c>
      <c r="Z2018" s="1" t="str">
        <f>"27741"</f>
        <v>27741</v>
      </c>
      <c r="AA2018" s="1" t="str">
        <f>"شهرداريها"</f>
        <v>شهرداريها</v>
      </c>
      <c r="AB2018" s="1" t="str">
        <f>"95/06/10"</f>
        <v>95/06/10</v>
      </c>
      <c r="AC2018" s="1" t="str">
        <f>"استان اصفهان"</f>
        <v>استان اصفهان</v>
      </c>
      <c r="AD2018" s="1" t="str">
        <f>"95/07/05"</f>
        <v>95/07/05</v>
      </c>
      <c r="AE2018" s="1" t="str">
        <f t="shared" si="536"/>
        <v>اختتام</v>
      </c>
      <c r="AF2018" s="1" t="str">
        <f>""</f>
        <v/>
      </c>
      <c r="AG2018" s="1" t="str">
        <f>""</f>
        <v/>
      </c>
      <c r="AH2018" s="1" t="str">
        <f>""</f>
        <v/>
      </c>
      <c r="AI2018" s="1" t="str">
        <f>""</f>
        <v/>
      </c>
      <c r="AJ2018" s="1" t="str">
        <f>""</f>
        <v/>
      </c>
      <c r="AK2018" s="1" t="str">
        <f>""</f>
        <v/>
      </c>
    </row>
    <row r="2019" spans="1:37" x14ac:dyDescent="0.2">
      <c r="A2019" s="1">
        <v>129000</v>
      </c>
      <c r="B2019" s="1">
        <v>952000309</v>
      </c>
      <c r="C2019" s="1" t="str">
        <f>"تخليه اصفهان كيلومتر30اتوبان اصفهان زرين شهركارخانه آسفالت شركت زرين سپاهان"</f>
        <v>تخليه اصفهان كيلومتر30اتوبان اصفهان زرين شهركارخانه آسفالت شركت زرين سپاهان</v>
      </c>
      <c r="D2019" s="1">
        <v>9361</v>
      </c>
      <c r="E2019" s="1">
        <v>128880</v>
      </c>
      <c r="F2019" s="1">
        <v>95</v>
      </c>
      <c r="G2019" s="1">
        <v>120</v>
      </c>
      <c r="H2019" s="1" t="str">
        <f>"95/11/23"</f>
        <v>95/11/23</v>
      </c>
      <c r="I2019" s="1" t="str">
        <f t="shared" si="531"/>
        <v>كيلوگرم</v>
      </c>
      <c r="J2019" s="1" t="str">
        <f t="shared" si="537"/>
        <v>0000000076</v>
      </c>
      <c r="K2019" s="1" t="str">
        <f t="shared" si="538"/>
        <v>قير 60/70 - فله</v>
      </c>
      <c r="L2019" s="1">
        <v>100</v>
      </c>
      <c r="M2019" s="1" t="str">
        <f t="shared" si="534"/>
        <v>مخازن قير اصفهان</v>
      </c>
      <c r="N2019" s="1">
        <v>10680</v>
      </c>
      <c r="O2019" s="1">
        <v>50033666</v>
      </c>
      <c r="P2019" s="1" t="str">
        <f>"  شهرداري گلدشت"</f>
        <v xml:space="preserve">  شهرداري گلدشت</v>
      </c>
      <c r="Q2019" s="1">
        <v>20</v>
      </c>
      <c r="R2019" s="1" t="str">
        <f>"فروش داخلي - سازمان شهرداري ها و دهياري هاي كشور"</f>
        <v>فروش داخلي - سازمان شهرداري ها و دهياري هاي كشور</v>
      </c>
      <c r="S2019" s="1" t="str">
        <f t="shared" si="532"/>
        <v>قرارداد فروش</v>
      </c>
      <c r="T2019" s="1" t="str">
        <f t="shared" si="533"/>
        <v>ندارد</v>
      </c>
      <c r="U2019" s="1" t="str">
        <f>"مرادي نجاتعلي(1020ج89)"</f>
        <v>مرادي نجاتعلي(1020ج89)</v>
      </c>
      <c r="V2019" s="1">
        <v>952000309</v>
      </c>
      <c r="W2019" s="1">
        <v>952000309</v>
      </c>
      <c r="X2019" s="1" t="str">
        <f>"1395464401"</f>
        <v>1395464401</v>
      </c>
      <c r="Y2019" s="1" t="str">
        <f>"95/11/23"</f>
        <v>95/11/23</v>
      </c>
      <c r="Z2019" s="1" t="str">
        <f>"43391"</f>
        <v>43391</v>
      </c>
      <c r="AA2019" s="1" t="str">
        <f>"شهرداريها"</f>
        <v>شهرداريها</v>
      </c>
      <c r="AB2019" s="1" t="str">
        <f>"95/09/02"</f>
        <v>95/09/02</v>
      </c>
      <c r="AC2019" s="1" t="str">
        <f>"استان اصفهان"</f>
        <v>استان اصفهان</v>
      </c>
      <c r="AD2019" s="1" t="str">
        <f>"95/11/23"</f>
        <v>95/11/23</v>
      </c>
      <c r="AE2019" s="1" t="str">
        <f t="shared" si="536"/>
        <v>اختتام</v>
      </c>
      <c r="AF2019" s="1" t="str">
        <f>""</f>
        <v/>
      </c>
      <c r="AG2019" s="1" t="str">
        <f>""</f>
        <v/>
      </c>
      <c r="AH2019" s="1" t="str">
        <f>""</f>
        <v/>
      </c>
      <c r="AI2019" s="1" t="str">
        <f>""</f>
        <v/>
      </c>
      <c r="AJ2019" s="1" t="str">
        <f>""</f>
        <v/>
      </c>
      <c r="AK2019" s="1" t="str">
        <f>""</f>
        <v/>
      </c>
    </row>
    <row r="2020" spans="1:37" x14ac:dyDescent="0.2">
      <c r="A2020" s="1">
        <v>25000</v>
      </c>
      <c r="B2020" s="1">
        <v>951100035</v>
      </c>
      <c r="C2020" s="1" t="str">
        <f>"تخليه-شهرستان آباده-روبروي کارخانه سيمان"</f>
        <v>تخليه-شهرستان آباده-روبروي کارخانه سيمان</v>
      </c>
      <c r="D2020" s="1">
        <v>5650</v>
      </c>
      <c r="E2020" s="1">
        <v>25000</v>
      </c>
      <c r="F2020" s="1">
        <v>95</v>
      </c>
      <c r="G2020" s="1">
        <v>0</v>
      </c>
      <c r="H2020" s="1" t="str">
        <f>"95/02/13"</f>
        <v>95/02/13</v>
      </c>
      <c r="I2020" s="1" t="str">
        <f t="shared" si="531"/>
        <v>كيلوگرم</v>
      </c>
      <c r="J2020" s="1" t="str">
        <f t="shared" si="537"/>
        <v>0000000076</v>
      </c>
      <c r="K2020" s="1" t="str">
        <f t="shared" si="538"/>
        <v>قير 60/70 - فله</v>
      </c>
      <c r="L2020" s="1">
        <v>100</v>
      </c>
      <c r="M2020" s="1" t="str">
        <f t="shared" si="534"/>
        <v>مخازن قير اصفهان</v>
      </c>
      <c r="N2020" s="1">
        <v>10683</v>
      </c>
      <c r="O2020" s="1">
        <v>50030693</v>
      </c>
      <c r="P2020" s="1" t="str">
        <f>"  عايق اندود شرق سيصدو دو آسيا"</f>
        <v xml:space="preserve">  عايق اندود شرق سيصدو دو آسيا</v>
      </c>
      <c r="Q2020" s="1">
        <v>11</v>
      </c>
      <c r="R2020" s="1" t="str">
        <f>"فروش داخلي تهران - بورس"</f>
        <v>فروش داخلي تهران - بورس</v>
      </c>
      <c r="S2020" s="1" t="str">
        <f t="shared" si="532"/>
        <v>قرارداد فروش</v>
      </c>
      <c r="T2020" s="1" t="str">
        <f t="shared" si="533"/>
        <v>ندارد</v>
      </c>
      <c r="U2020" s="1" t="str">
        <f>"تاج سعيد هوشنگ (1031ج 89)"</f>
        <v>تاج سعيد هوشنگ (1031ج 89)</v>
      </c>
      <c r="V2020" s="1">
        <v>951100035</v>
      </c>
      <c r="W2020" s="1">
        <v>951100035</v>
      </c>
      <c r="X2020" s="1" t="str">
        <f>"1395401764"</f>
        <v>1395401764</v>
      </c>
      <c r="Y2020" s="1" t="str">
        <f>"95/02/12"</f>
        <v>95/02/12</v>
      </c>
      <c r="Z2020" s="1" t="str">
        <f>"95-34302"</f>
        <v>95-34302</v>
      </c>
      <c r="AA2020" s="1" t="str">
        <f>"راه سازي"</f>
        <v>راه سازي</v>
      </c>
      <c r="AB2020" s="1" t="str">
        <f>"95/02/12"</f>
        <v>95/02/12</v>
      </c>
      <c r="AC2020" s="1" t="str">
        <f>"استان فارس"</f>
        <v>استان فارس</v>
      </c>
      <c r="AD2020" s="1" t="str">
        <f>"95/02/08"</f>
        <v>95/02/08</v>
      </c>
      <c r="AE2020" s="1" t="str">
        <f>"تاييدشده"</f>
        <v>تاييدشده</v>
      </c>
      <c r="AF2020" s="1" t="str">
        <f>""</f>
        <v/>
      </c>
      <c r="AG2020" s="1" t="str">
        <f>""</f>
        <v/>
      </c>
      <c r="AH2020" s="1" t="str">
        <f>""</f>
        <v/>
      </c>
      <c r="AI2020" s="1" t="str">
        <f>""</f>
        <v/>
      </c>
      <c r="AJ2020" s="1" t="str">
        <f>""</f>
        <v/>
      </c>
      <c r="AK2020" s="1" t="str">
        <f>""</f>
        <v/>
      </c>
    </row>
    <row r="2021" spans="1:37" x14ac:dyDescent="0.2">
      <c r="A2021" s="1">
        <v>79000</v>
      </c>
      <c r="B2021" s="1">
        <v>952000036</v>
      </c>
      <c r="C2021" s="1" t="str">
        <f>"تخليه اصفهان جاده سيمان سپاهان منطقه صنعتي اشترجان كارخانه آسفالت راه آژند"</f>
        <v>تخليه اصفهان جاده سيمان سپاهان منطقه صنعتي اشترجان كارخانه آسفالت راه آژند</v>
      </c>
      <c r="D2021" s="1">
        <v>6876</v>
      </c>
      <c r="E2021" s="1">
        <v>78460</v>
      </c>
      <c r="F2021" s="1">
        <v>95</v>
      </c>
      <c r="G2021" s="1">
        <v>540</v>
      </c>
      <c r="H2021" s="1" t="str">
        <f>"95/06/07"</f>
        <v>95/06/07</v>
      </c>
      <c r="I2021" s="1" t="str">
        <f t="shared" si="531"/>
        <v>كيلوگرم</v>
      </c>
      <c r="J2021" s="1" t="str">
        <f t="shared" si="537"/>
        <v>0000000076</v>
      </c>
      <c r="K2021" s="1" t="str">
        <f t="shared" si="538"/>
        <v>قير 60/70 - فله</v>
      </c>
      <c r="L2021" s="1">
        <v>100</v>
      </c>
      <c r="M2021" s="1" t="str">
        <f t="shared" si="534"/>
        <v>مخازن قير اصفهان</v>
      </c>
      <c r="N2021" s="1">
        <v>10696</v>
      </c>
      <c r="O2021" s="1">
        <v>50031670</v>
      </c>
      <c r="P2021" s="1" t="str">
        <f>"  شهرداري هرند"</f>
        <v xml:space="preserve">  شهرداري هرند</v>
      </c>
      <c r="Q2021" s="1">
        <v>20</v>
      </c>
      <c r="R2021" s="1" t="str">
        <f>"فروش داخلي - سازمان شهرداري ها و دهياري هاي كشور"</f>
        <v>فروش داخلي - سازمان شهرداري ها و دهياري هاي كشور</v>
      </c>
      <c r="S2021" s="1" t="str">
        <f t="shared" si="532"/>
        <v>قرارداد فروش</v>
      </c>
      <c r="T2021" s="1" t="str">
        <f t="shared" si="533"/>
        <v>ندارد</v>
      </c>
      <c r="U2021" s="1" t="str">
        <f>"سيفي پور عبدالمجيد(1009ج89)"</f>
        <v>سيفي پور عبدالمجيد(1009ج89)</v>
      </c>
      <c r="V2021" s="1">
        <v>952000036</v>
      </c>
      <c r="W2021" s="1">
        <v>952000036</v>
      </c>
      <c r="X2021" s="1" t="str">
        <f>"1395426944"</f>
        <v>1395426944</v>
      </c>
      <c r="Y2021" s="1" t="str">
        <f>"95/06/07"</f>
        <v>95/06/07</v>
      </c>
      <c r="Z2021" s="1" t="str">
        <f>"23561"</f>
        <v>23561</v>
      </c>
      <c r="AA2021" s="1" t="str">
        <f>"شهرداريها"</f>
        <v>شهرداريها</v>
      </c>
      <c r="AB2021" s="1" t="str">
        <f>"95/05/25"</f>
        <v>95/05/25</v>
      </c>
      <c r="AC2021" s="1" t="str">
        <f>"استان اصفهان"</f>
        <v>استان اصفهان</v>
      </c>
      <c r="AD2021" s="1" t="str">
        <f>"95/06/06"</f>
        <v>95/06/06</v>
      </c>
      <c r="AE2021" s="1" t="str">
        <f t="shared" ref="AE2021:AE2031" si="539">"اختتام"</f>
        <v>اختتام</v>
      </c>
      <c r="AF2021" s="1" t="str">
        <f>""</f>
        <v/>
      </c>
      <c r="AG2021" s="1" t="str">
        <f>""</f>
        <v/>
      </c>
      <c r="AH2021" s="1" t="str">
        <f>""</f>
        <v/>
      </c>
      <c r="AI2021" s="1" t="str">
        <f>""</f>
        <v/>
      </c>
      <c r="AJ2021" s="1" t="str">
        <f>""</f>
        <v/>
      </c>
      <c r="AK2021" s="1" t="str">
        <f>""</f>
        <v/>
      </c>
    </row>
    <row r="2022" spans="1:37" x14ac:dyDescent="0.2">
      <c r="A2022" s="1">
        <v>111000</v>
      </c>
      <c r="B2022" s="1">
        <v>952000330</v>
      </c>
      <c r="C2022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2022" s="1">
        <v>9361</v>
      </c>
      <c r="E2022" s="1">
        <v>109380</v>
      </c>
      <c r="F2022" s="1">
        <v>95</v>
      </c>
      <c r="G2022" s="1">
        <v>1620</v>
      </c>
      <c r="H2022" s="1" t="str">
        <f>"95/11/24"</f>
        <v>95/11/24</v>
      </c>
      <c r="I2022" s="1" t="str">
        <f t="shared" si="531"/>
        <v>كيلوگرم</v>
      </c>
      <c r="J2022" s="1" t="str">
        <f t="shared" si="537"/>
        <v>0000000076</v>
      </c>
      <c r="K2022" s="1" t="str">
        <f t="shared" si="538"/>
        <v>قير 60/70 - فله</v>
      </c>
      <c r="L2022" s="1">
        <v>100</v>
      </c>
      <c r="M2022" s="1" t="str">
        <f t="shared" si="534"/>
        <v>مخازن قير اصفهان</v>
      </c>
      <c r="N2022" s="1">
        <v>10705</v>
      </c>
      <c r="O2022" s="1">
        <v>50033694</v>
      </c>
      <c r="P2022" s="1" t="str">
        <f>"  شهرداري گوگد"</f>
        <v xml:space="preserve">  شهرداري گوگد</v>
      </c>
      <c r="Q2022" s="1">
        <v>20</v>
      </c>
      <c r="R2022" s="1" t="str">
        <f>"فروش داخلي - سازمان شهرداري ها و دهياري هاي كشور"</f>
        <v>فروش داخلي - سازمان شهرداري ها و دهياري هاي كشور</v>
      </c>
      <c r="S2022" s="1" t="str">
        <f t="shared" si="532"/>
        <v>قرارداد فروش</v>
      </c>
      <c r="T2022" s="1" t="str">
        <f t="shared" si="533"/>
        <v>ندارد</v>
      </c>
      <c r="U2022" s="1" t="str">
        <f>"شهبازي محمدرضا(1029ج89)"</f>
        <v>شهبازي محمدرضا(1029ج89)</v>
      </c>
      <c r="V2022" s="1">
        <v>952000330</v>
      </c>
      <c r="W2022" s="1">
        <v>952000330</v>
      </c>
      <c r="X2022" s="1" t="str">
        <f>"1395464401"</f>
        <v>1395464401</v>
      </c>
      <c r="Y2022" s="1" t="str">
        <f>"95/11/24"</f>
        <v>95/11/24</v>
      </c>
      <c r="Z2022" s="1" t="str">
        <f>"43389"</f>
        <v>43389</v>
      </c>
      <c r="AA2022" s="1" t="str">
        <f>"شهرداريها"</f>
        <v>شهرداريها</v>
      </c>
      <c r="AB2022" s="1" t="str">
        <f>"95/09/02"</f>
        <v>95/09/02</v>
      </c>
      <c r="AC2022" s="1" t="str">
        <f>"استان اصفهان"</f>
        <v>استان اصفهان</v>
      </c>
      <c r="AD2022" s="1" t="str">
        <f>"95/11/23"</f>
        <v>95/11/23</v>
      </c>
      <c r="AE2022" s="1" t="str">
        <f t="shared" si="539"/>
        <v>اختتام</v>
      </c>
      <c r="AF2022" s="1" t="str">
        <f>""</f>
        <v/>
      </c>
      <c r="AG2022" s="1" t="str">
        <f>""</f>
        <v/>
      </c>
      <c r="AH2022" s="1" t="str">
        <f>""</f>
        <v/>
      </c>
      <c r="AI2022" s="1" t="str">
        <f>""</f>
        <v/>
      </c>
      <c r="AJ2022" s="1" t="str">
        <f>""</f>
        <v/>
      </c>
      <c r="AK2022" s="1" t="str">
        <f>""</f>
        <v/>
      </c>
    </row>
    <row r="2023" spans="1:37" x14ac:dyDescent="0.2">
      <c r="A2023" s="1">
        <v>75000</v>
      </c>
      <c r="B2023" s="1">
        <v>952000261</v>
      </c>
      <c r="C2023" s="1" t="str">
        <f>"تخليه - اصفهان - اتوبان تهران روبروي جاده ديسمان -کارخانه آسفالت مصلحي"</f>
        <v>تخليه - اصفهان - اتوبان تهران روبروي جاده ديسمان -کارخانه آسفالت مصلحي</v>
      </c>
      <c r="D2023" s="1">
        <v>7026</v>
      </c>
      <c r="E2023" s="1">
        <v>73780</v>
      </c>
      <c r="F2023" s="1">
        <v>95</v>
      </c>
      <c r="G2023" s="1">
        <v>1220</v>
      </c>
      <c r="H2023" s="1" t="str">
        <f>"95/09/09"</f>
        <v>95/09/09</v>
      </c>
      <c r="I2023" s="1" t="str">
        <f t="shared" si="531"/>
        <v>كيلوگرم</v>
      </c>
      <c r="J2023" s="1" t="str">
        <f t="shared" si="537"/>
        <v>0000000076</v>
      </c>
      <c r="K2023" s="1" t="str">
        <f t="shared" si="538"/>
        <v>قير 60/70 - فله</v>
      </c>
      <c r="L2023" s="1">
        <v>100</v>
      </c>
      <c r="M2023" s="1" t="str">
        <f t="shared" si="534"/>
        <v>مخازن قير اصفهان</v>
      </c>
      <c r="N2023" s="1">
        <v>10706</v>
      </c>
      <c r="O2023" s="1">
        <v>50032734</v>
      </c>
      <c r="P2023" s="1" t="str">
        <f>"  شهرداري شاپورآباد"</f>
        <v xml:space="preserve">  شهرداري شاپورآباد</v>
      </c>
      <c r="Q2023" s="1">
        <v>20</v>
      </c>
      <c r="R2023" s="1" t="str">
        <f>"فروش داخلي - سازمان شهرداري ها و دهياري هاي كشور"</f>
        <v>فروش داخلي - سازمان شهرداري ها و دهياري هاي كشور</v>
      </c>
      <c r="S2023" s="1" t="str">
        <f t="shared" si="532"/>
        <v>قرارداد فروش</v>
      </c>
      <c r="T2023" s="1" t="str">
        <f t="shared" si="533"/>
        <v>ندارد</v>
      </c>
      <c r="U2023" s="1" t="str">
        <f>"تاج سعيد هوشنگ (1031ج 89)"</f>
        <v>تاج سعيد هوشنگ (1031ج 89)</v>
      </c>
      <c r="V2023" s="1">
        <v>952000261</v>
      </c>
      <c r="W2023" s="1">
        <v>952000261</v>
      </c>
      <c r="X2023" s="1" t="str">
        <f>"1395447768"</f>
        <v>1395447768</v>
      </c>
      <c r="Y2023" s="1" t="str">
        <f>"95/09/09"</f>
        <v>95/09/09</v>
      </c>
      <c r="Z2023" s="1" t="str">
        <f>"43201"</f>
        <v>43201</v>
      </c>
      <c r="AA2023" s="1" t="str">
        <f>"شهرداريها"</f>
        <v>شهرداريها</v>
      </c>
      <c r="AB2023" s="1" t="str">
        <f>"95/09/01"</f>
        <v>95/09/01</v>
      </c>
      <c r="AC2023" s="1" t="str">
        <f>"استان اصفهان"</f>
        <v>استان اصفهان</v>
      </c>
      <c r="AD2023" s="1" t="str">
        <f>"95/09/07"</f>
        <v>95/09/07</v>
      </c>
      <c r="AE2023" s="1" t="str">
        <f t="shared" si="539"/>
        <v>اختتام</v>
      </c>
      <c r="AF2023" s="1" t="str">
        <f>""</f>
        <v/>
      </c>
      <c r="AG2023" s="1" t="str">
        <f>""</f>
        <v/>
      </c>
      <c r="AH2023" s="1" t="str">
        <f>""</f>
        <v/>
      </c>
      <c r="AI2023" s="1" t="str">
        <f>""</f>
        <v/>
      </c>
      <c r="AJ2023" s="1" t="str">
        <f>""</f>
        <v/>
      </c>
      <c r="AK2023" s="1" t="str">
        <f>""</f>
        <v/>
      </c>
    </row>
    <row r="2024" spans="1:37" x14ac:dyDescent="0.2">
      <c r="A2024" s="1">
        <v>66000</v>
      </c>
      <c r="B2024" s="1">
        <v>952000302</v>
      </c>
      <c r="C2024" s="1" t="str">
        <f>"تخليه -اصفهان -جاده قمصركيلومتر17-كارخانه بتن آسفالت مهر"</f>
        <v>تخليه -اصفهان -جاده قمصركيلومتر17-كارخانه بتن آسفالت مهر</v>
      </c>
      <c r="D2024" s="1">
        <v>7026</v>
      </c>
      <c r="E2024" s="1">
        <v>65160</v>
      </c>
      <c r="F2024" s="1">
        <v>95</v>
      </c>
      <c r="G2024" s="1">
        <v>840</v>
      </c>
      <c r="H2024" s="1" t="str">
        <f>"95/09/11"</f>
        <v>95/09/11</v>
      </c>
      <c r="I2024" s="1" t="str">
        <f t="shared" si="531"/>
        <v>كيلوگرم</v>
      </c>
      <c r="J2024" s="1" t="str">
        <f t="shared" si="537"/>
        <v>0000000076</v>
      </c>
      <c r="K2024" s="1" t="str">
        <f t="shared" si="538"/>
        <v>قير 60/70 - فله</v>
      </c>
      <c r="L2024" s="1">
        <v>100</v>
      </c>
      <c r="M2024" s="1" t="str">
        <f t="shared" si="534"/>
        <v>مخازن قير اصفهان</v>
      </c>
      <c r="N2024" s="1">
        <v>10708</v>
      </c>
      <c r="O2024" s="1">
        <v>50032786</v>
      </c>
      <c r="P2024" s="1" t="str">
        <f>"  شهرداري قمصر"</f>
        <v xml:space="preserve">  شهرداري قمصر</v>
      </c>
      <c r="Q2024" s="1">
        <v>20</v>
      </c>
      <c r="R2024" s="1" t="str">
        <f>"فروش داخلي - سازمان شهرداري ها و دهياري هاي كشور"</f>
        <v>فروش داخلي - سازمان شهرداري ها و دهياري هاي كشور</v>
      </c>
      <c r="S2024" s="1" t="str">
        <f t="shared" si="532"/>
        <v>قرارداد فروش</v>
      </c>
      <c r="T2024" s="1" t="str">
        <f t="shared" si="533"/>
        <v>ندارد</v>
      </c>
      <c r="U2024" s="1" t="str">
        <f>"شهبازي محمدرضا(1029ج89)"</f>
        <v>شهبازي محمدرضا(1029ج89)</v>
      </c>
      <c r="V2024" s="1">
        <v>952000302</v>
      </c>
      <c r="W2024" s="1">
        <v>952000302</v>
      </c>
      <c r="X2024" s="1" t="str">
        <f>"1395447798"</f>
        <v>1395447798</v>
      </c>
      <c r="Y2024" s="1" t="str">
        <f>"95/09/09"</f>
        <v>95/09/09</v>
      </c>
      <c r="Z2024" s="1" t="str">
        <f>"43375"</f>
        <v>43375</v>
      </c>
      <c r="AA2024" s="1" t="str">
        <f>"شهرداريها"</f>
        <v>شهرداريها</v>
      </c>
      <c r="AB2024" s="1" t="str">
        <f>"95/09/02"</f>
        <v>95/09/02</v>
      </c>
      <c r="AC2024" s="1" t="str">
        <f>"استان اصفهان"</f>
        <v>استان اصفهان</v>
      </c>
      <c r="AD2024" s="1" t="str">
        <f>"95/09/07"</f>
        <v>95/09/07</v>
      </c>
      <c r="AE2024" s="1" t="str">
        <f t="shared" si="539"/>
        <v>اختتام</v>
      </c>
      <c r="AF2024" s="1" t="str">
        <f>""</f>
        <v/>
      </c>
      <c r="AG2024" s="1" t="str">
        <f>""</f>
        <v/>
      </c>
      <c r="AH2024" s="1" t="str">
        <f>""</f>
        <v/>
      </c>
      <c r="AI2024" s="1" t="str">
        <f>""</f>
        <v/>
      </c>
      <c r="AJ2024" s="1" t="str">
        <f>""</f>
        <v/>
      </c>
      <c r="AK2024" s="1" t="str">
        <f>""</f>
        <v/>
      </c>
    </row>
    <row r="2025" spans="1:37" x14ac:dyDescent="0.2">
      <c r="A2025" s="1">
        <v>93000</v>
      </c>
      <c r="B2025" s="1">
        <v>956200370</v>
      </c>
      <c r="C2025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2025" s="1">
        <v>8848</v>
      </c>
      <c r="E2025" s="1">
        <v>93000</v>
      </c>
      <c r="F2025" s="1">
        <v>95</v>
      </c>
      <c r="G2025" s="1">
        <v>0</v>
      </c>
      <c r="H2025" s="1" t="str">
        <f>"95/12/23"</f>
        <v>95/12/23</v>
      </c>
      <c r="I2025" s="1" t="str">
        <f t="shared" si="531"/>
        <v>كيلوگرم</v>
      </c>
      <c r="J2025" s="1" t="str">
        <f t="shared" si="537"/>
        <v>0000000076</v>
      </c>
      <c r="K2025" s="1" t="str">
        <f t="shared" si="538"/>
        <v>قير 60/70 - فله</v>
      </c>
      <c r="L2025" s="1">
        <v>100</v>
      </c>
      <c r="M2025" s="1" t="str">
        <f t="shared" si="534"/>
        <v>مخازن قير اصفهان</v>
      </c>
      <c r="N2025" s="1">
        <v>10828</v>
      </c>
      <c r="O2025" s="1">
        <v>50034167</v>
      </c>
      <c r="P2025" s="1" t="str">
        <f>"  زرين گستربيستون"</f>
        <v xml:space="preserve">  زرين گستربيستون</v>
      </c>
      <c r="Q2025" s="1">
        <v>62</v>
      </c>
      <c r="R2025" s="1" t="str">
        <f>"فروش داخلي - سازمان بنيادمسكن انقلاب اسلامي"</f>
        <v>فروش داخلي - سازمان بنيادمسكن انقلاب اسلامي</v>
      </c>
      <c r="S2025" s="1" t="str">
        <f t="shared" si="532"/>
        <v>قرارداد فروش</v>
      </c>
      <c r="T2025" s="1" t="str">
        <f t="shared" si="533"/>
        <v>ندارد</v>
      </c>
      <c r="U2025" s="1" t="str">
        <f>"پيرالي مجيد(1045ج 94)"</f>
        <v>پيرالي مجيد(1045ج 94)</v>
      </c>
      <c r="V2025" s="1">
        <v>956200370</v>
      </c>
      <c r="W2025" s="1">
        <v>956200370</v>
      </c>
      <c r="X2025" s="1" t="str">
        <f>"1395470885"</f>
        <v>1395470885</v>
      </c>
      <c r="Y2025" s="1" t="str">
        <f>"95/12/23"</f>
        <v>95/12/23</v>
      </c>
      <c r="Z2025" s="1" t="str">
        <f>"56997/د"</f>
        <v>56997/د</v>
      </c>
      <c r="AA2025" s="1" t="str">
        <f>"بنيادمسكن انقلاب اسلامي"</f>
        <v>بنيادمسكن انقلاب اسلامي</v>
      </c>
      <c r="AB2025" s="1" t="str">
        <f>"95/12/22"</f>
        <v>95/12/22</v>
      </c>
      <c r="AC2025" s="1" t="str">
        <f>"استان كرمانشاه"</f>
        <v>استان كرمانشاه</v>
      </c>
      <c r="AD2025" s="1" t="str">
        <f>"95/12/23"</f>
        <v>95/12/23</v>
      </c>
      <c r="AE2025" s="1" t="str">
        <f t="shared" si="539"/>
        <v>اختتام</v>
      </c>
      <c r="AF2025" s="1" t="str">
        <f>""</f>
        <v/>
      </c>
      <c r="AG2025" s="1" t="str">
        <f>""</f>
        <v/>
      </c>
      <c r="AH2025" s="1" t="str">
        <f>""</f>
        <v/>
      </c>
      <c r="AI2025" s="1" t="str">
        <f>""</f>
        <v/>
      </c>
      <c r="AJ2025" s="1" t="str">
        <f>""</f>
        <v/>
      </c>
      <c r="AK2025" s="1" t="str">
        <f>""</f>
        <v/>
      </c>
    </row>
    <row r="2026" spans="1:37" x14ac:dyDescent="0.2">
      <c r="A2026" s="1">
        <v>193000</v>
      </c>
      <c r="B2026" s="1">
        <v>956200378</v>
      </c>
      <c r="C2026" s="1" t="str">
        <f>"تخليه -كرمانشاه صحنه ميان راهان ديزگران -روستاي محمدآبادزحماني-کارخانه آسفالت خانه زرين"</f>
        <v>تخليه -كرمانشاه صحنه ميان راهان ديزگران -روستاي محمدآبادزحماني-کارخانه آسفالت خانه زرين</v>
      </c>
      <c r="D2026" s="1">
        <v>8848</v>
      </c>
      <c r="E2026" s="1">
        <v>192380</v>
      </c>
      <c r="F2026" s="1">
        <v>95</v>
      </c>
      <c r="G2026" s="1">
        <v>620</v>
      </c>
      <c r="H2026" s="1" t="str">
        <f>"95/12/23"</f>
        <v>95/12/23</v>
      </c>
      <c r="I2026" s="1" t="str">
        <f t="shared" si="531"/>
        <v>كيلوگرم</v>
      </c>
      <c r="J2026" s="1" t="str">
        <f t="shared" si="537"/>
        <v>0000000076</v>
      </c>
      <c r="K2026" s="1" t="str">
        <f t="shared" si="538"/>
        <v>قير 60/70 - فله</v>
      </c>
      <c r="L2026" s="1">
        <v>100</v>
      </c>
      <c r="M2026" s="1" t="str">
        <f t="shared" si="534"/>
        <v>مخازن قير اصفهان</v>
      </c>
      <c r="N2026" s="1">
        <v>10828</v>
      </c>
      <c r="O2026" s="1">
        <v>50034176</v>
      </c>
      <c r="P2026" s="1" t="str">
        <f>"  زرين گستربيستون"</f>
        <v xml:space="preserve">  زرين گستربيستون</v>
      </c>
      <c r="Q2026" s="1">
        <v>62</v>
      </c>
      <c r="R2026" s="1" t="str">
        <f>"فروش داخلي - سازمان بنيادمسكن انقلاب اسلامي"</f>
        <v>فروش داخلي - سازمان بنيادمسكن انقلاب اسلامي</v>
      </c>
      <c r="S2026" s="1" t="str">
        <f t="shared" si="532"/>
        <v>قرارداد فروش</v>
      </c>
      <c r="T2026" s="1" t="str">
        <f t="shared" si="533"/>
        <v>ندارد</v>
      </c>
      <c r="U2026" s="1" t="str">
        <f>"پيرالي مجيد(1045ج 94)"</f>
        <v>پيرالي مجيد(1045ج 94)</v>
      </c>
      <c r="V2026" s="1">
        <v>956200378</v>
      </c>
      <c r="W2026" s="1">
        <v>956200378</v>
      </c>
      <c r="X2026" s="1" t="str">
        <f>"1395470885"</f>
        <v>1395470885</v>
      </c>
      <c r="Y2026" s="1" t="str">
        <f>"95/12/23"</f>
        <v>95/12/23</v>
      </c>
      <c r="Z2026" s="1" t="str">
        <f>"57049/د"</f>
        <v>57049/د</v>
      </c>
      <c r="AA2026" s="1" t="str">
        <f>"بنيادمسكن انقلاب اسلامي"</f>
        <v>بنيادمسكن انقلاب اسلامي</v>
      </c>
      <c r="AB2026" s="1" t="str">
        <f>"95/12/22"</f>
        <v>95/12/22</v>
      </c>
      <c r="AC2026" s="1" t="str">
        <f>"استان كرمانشاه"</f>
        <v>استان كرمانشاه</v>
      </c>
      <c r="AD2026" s="1" t="str">
        <f>"95/12/23"</f>
        <v>95/12/23</v>
      </c>
      <c r="AE2026" s="1" t="str">
        <f t="shared" si="539"/>
        <v>اختتام</v>
      </c>
      <c r="AF2026" s="1" t="str">
        <f>""</f>
        <v/>
      </c>
      <c r="AG2026" s="1" t="str">
        <f>""</f>
        <v/>
      </c>
      <c r="AH2026" s="1" t="str">
        <f>""</f>
        <v/>
      </c>
      <c r="AI2026" s="1" t="str">
        <f>""</f>
        <v/>
      </c>
      <c r="AJ2026" s="1" t="str">
        <f>""</f>
        <v/>
      </c>
      <c r="AK2026" s="1" t="str">
        <f>""</f>
        <v/>
      </c>
    </row>
    <row r="2027" spans="1:37" x14ac:dyDescent="0.2">
      <c r="A2027" s="1">
        <v>65000</v>
      </c>
      <c r="B2027" s="1">
        <v>952000065</v>
      </c>
      <c r="C2027" s="1" t="str">
        <f>"تخليه - لرستان- شهرستان ازنا- شهر مومن آباد- بلوار امام خميني"</f>
        <v>تخليه - لرستان- شهرستان ازنا- شهر مومن آباد- بلوار امام خميني</v>
      </c>
      <c r="D2027" s="1">
        <v>6876</v>
      </c>
      <c r="E2027" s="1">
        <v>64200</v>
      </c>
      <c r="F2027" s="1">
        <v>95</v>
      </c>
      <c r="G2027" s="1">
        <v>800</v>
      </c>
      <c r="H2027" s="1" t="str">
        <f>"95/06/14"</f>
        <v>95/06/14</v>
      </c>
      <c r="I2027" s="1" t="str">
        <f t="shared" si="531"/>
        <v>كيلوگرم</v>
      </c>
      <c r="J2027" s="1" t="str">
        <f t="shared" si="537"/>
        <v>0000000076</v>
      </c>
      <c r="K2027" s="1" t="str">
        <f t="shared" si="538"/>
        <v>قير 60/70 - فله</v>
      </c>
      <c r="L2027" s="1">
        <v>100</v>
      </c>
      <c r="M2027" s="1" t="str">
        <f t="shared" si="534"/>
        <v>مخازن قير اصفهان</v>
      </c>
      <c r="N2027" s="1">
        <v>10861</v>
      </c>
      <c r="O2027" s="1">
        <v>50031766</v>
      </c>
      <c r="P2027" s="1" t="str">
        <f>"  شهرداري مومن آباد"</f>
        <v xml:space="preserve">  شهرداري مومن آباد</v>
      </c>
      <c r="Q2027" s="1">
        <v>20</v>
      </c>
      <c r="R2027" s="1" t="str">
        <f>"فروش داخلي - سازمان شهرداري ها و دهياري هاي كشور"</f>
        <v>فروش داخلي - سازمان شهرداري ها و دهياري هاي كشور</v>
      </c>
      <c r="S2027" s="1" t="str">
        <f t="shared" si="532"/>
        <v>قرارداد فروش</v>
      </c>
      <c r="T2027" s="1" t="str">
        <f t="shared" si="533"/>
        <v>ندارد</v>
      </c>
      <c r="U2027" s="1" t="str">
        <f>"عظيمي محمد(2842015)"</f>
        <v>عظيمي محمد(2842015)</v>
      </c>
      <c r="V2027" s="1">
        <v>952000065</v>
      </c>
      <c r="W2027" s="1">
        <v>952000065</v>
      </c>
      <c r="X2027" s="1" t="str">
        <f>"1395428834"</f>
        <v>1395428834</v>
      </c>
      <c r="Y2027" s="1" t="str">
        <f>"95/06/14"</f>
        <v>95/06/14</v>
      </c>
      <c r="Z2027" s="1" t="str">
        <f>"27657"</f>
        <v>27657</v>
      </c>
      <c r="AA2027" s="1" t="str">
        <f>"شهرداريها"</f>
        <v>شهرداريها</v>
      </c>
      <c r="AB2027" s="1" t="str">
        <f>"95/06/10"</f>
        <v>95/06/10</v>
      </c>
      <c r="AC2027" s="1" t="str">
        <f>"لرستان"</f>
        <v>لرستان</v>
      </c>
      <c r="AD2027" s="1" t="str">
        <f>"95/06/13"</f>
        <v>95/06/13</v>
      </c>
      <c r="AE2027" s="1" t="str">
        <f t="shared" si="539"/>
        <v>اختتام</v>
      </c>
      <c r="AF2027" s="1" t="str">
        <f>""</f>
        <v/>
      </c>
      <c r="AG2027" s="1" t="str">
        <f>""</f>
        <v/>
      </c>
      <c r="AH2027" s="1" t="str">
        <f>""</f>
        <v/>
      </c>
      <c r="AI2027" s="1" t="str">
        <f>""</f>
        <v/>
      </c>
      <c r="AJ2027" s="1" t="str">
        <f>""</f>
        <v/>
      </c>
      <c r="AK2027" s="1" t="str">
        <f>""</f>
        <v/>
      </c>
    </row>
    <row r="2028" spans="1:37" x14ac:dyDescent="0.2">
      <c r="A2028" s="1">
        <v>145000</v>
      </c>
      <c r="B2028" s="1">
        <v>952000198</v>
      </c>
      <c r="C2028" s="1" t="str">
        <f>"تخليه -لرستان -الشترجاده خرگوشناب -كارخانه شن وماسه وآسفالت شهرداري"</f>
        <v>تخليه -لرستان -الشترجاده خرگوشناب -كارخانه شن وماسه وآسفالت شهرداري</v>
      </c>
      <c r="D2028" s="1">
        <v>8023</v>
      </c>
      <c r="E2028" s="1">
        <v>70600</v>
      </c>
      <c r="F2028" s="1">
        <v>95</v>
      </c>
      <c r="G2028" s="1">
        <v>74400</v>
      </c>
      <c r="H2028" s="1" t="str">
        <f>"95/08/15"</f>
        <v>95/08/15</v>
      </c>
      <c r="I2028" s="1" t="str">
        <f t="shared" si="531"/>
        <v>كيلوگرم</v>
      </c>
      <c r="J2028" s="1" t="str">
        <f t="shared" si="537"/>
        <v>0000000076</v>
      </c>
      <c r="K2028" s="1" t="str">
        <f t="shared" si="538"/>
        <v>قير 60/70 - فله</v>
      </c>
      <c r="L2028" s="1">
        <v>100</v>
      </c>
      <c r="M2028" s="1" t="str">
        <f t="shared" si="534"/>
        <v>مخازن قير اصفهان</v>
      </c>
      <c r="N2028" s="1">
        <v>10862</v>
      </c>
      <c r="O2028" s="1">
        <v>50032504</v>
      </c>
      <c r="P2028" s="1" t="str">
        <f>"  شهرداري الشتر"</f>
        <v xml:space="preserve">  شهرداري الشتر</v>
      </c>
      <c r="Q2028" s="1">
        <v>20</v>
      </c>
      <c r="R2028" s="1" t="str">
        <f>"فروش داخلي - سازمان شهرداري ها و دهياري هاي كشور"</f>
        <v>فروش داخلي - سازمان شهرداري ها و دهياري هاي كشور</v>
      </c>
      <c r="S2028" s="1" t="str">
        <f t="shared" si="532"/>
        <v>قرارداد فروش</v>
      </c>
      <c r="T2028" s="1" t="str">
        <f t="shared" si="533"/>
        <v>ندارد</v>
      </c>
      <c r="U2028" s="1" t="str">
        <f>"بستاني محسن (2882039)"</f>
        <v>بستاني محسن (2882039)</v>
      </c>
      <c r="V2028" s="1">
        <v>952000198</v>
      </c>
      <c r="W2028" s="1">
        <v>952000198</v>
      </c>
      <c r="X2028" s="1" t="str">
        <f>"1395443199"</f>
        <v>1395443199</v>
      </c>
      <c r="Y2028" s="1" t="str">
        <f>"95/08/15"</f>
        <v>95/08/15</v>
      </c>
      <c r="Z2028" s="1" t="str">
        <f>"39479"</f>
        <v>39479</v>
      </c>
      <c r="AA2028" s="1" t="str">
        <f>"شهرداريها"</f>
        <v>شهرداريها</v>
      </c>
      <c r="AB2028" s="1" t="str">
        <f>"95/08/11"</f>
        <v>95/08/11</v>
      </c>
      <c r="AC2028" s="1" t="str">
        <f>"لرستان"</f>
        <v>لرستان</v>
      </c>
      <c r="AD2028" s="1" t="str">
        <f>"95/08/15"</f>
        <v>95/08/15</v>
      </c>
      <c r="AE2028" s="1" t="str">
        <f t="shared" si="539"/>
        <v>اختتام</v>
      </c>
      <c r="AF2028" s="1" t="str">
        <f>""</f>
        <v/>
      </c>
      <c r="AG2028" s="1" t="str">
        <f>""</f>
        <v/>
      </c>
      <c r="AH2028" s="1" t="str">
        <f>""</f>
        <v/>
      </c>
      <c r="AI2028" s="1" t="str">
        <f>""</f>
        <v/>
      </c>
      <c r="AJ2028" s="1" t="str">
        <f>""</f>
        <v/>
      </c>
      <c r="AK2028" s="1" t="str">
        <f>""</f>
        <v/>
      </c>
    </row>
    <row r="2029" spans="1:37" x14ac:dyDescent="0.2">
      <c r="A2029" s="1">
        <v>71000</v>
      </c>
      <c r="B2029" s="1">
        <v>952000067</v>
      </c>
      <c r="C2029" s="1" t="str">
        <f>"تخليه - لرستان-شهرستان رومشگان شهر چغابل شهرداري چغابل"</f>
        <v>تخليه - لرستان-شهرستان رومشگان شهر چغابل شهرداري چغابل</v>
      </c>
      <c r="D2029" s="1">
        <v>6876</v>
      </c>
      <c r="E2029" s="1">
        <v>70840</v>
      </c>
      <c r="F2029" s="1">
        <v>95</v>
      </c>
      <c r="G2029" s="1">
        <v>160</v>
      </c>
      <c r="H2029" s="1" t="str">
        <f>"95/06/14"</f>
        <v>95/06/14</v>
      </c>
      <c r="I2029" s="1" t="str">
        <f t="shared" si="531"/>
        <v>كيلوگرم</v>
      </c>
      <c r="J2029" s="1" t="str">
        <f t="shared" si="537"/>
        <v>0000000076</v>
      </c>
      <c r="K2029" s="1" t="str">
        <f t="shared" si="538"/>
        <v>قير 60/70 - فله</v>
      </c>
      <c r="L2029" s="1">
        <v>100</v>
      </c>
      <c r="M2029" s="1" t="str">
        <f t="shared" si="534"/>
        <v>مخازن قير اصفهان</v>
      </c>
      <c r="N2029" s="1">
        <v>10865</v>
      </c>
      <c r="O2029" s="1">
        <v>50031769</v>
      </c>
      <c r="P2029" s="1" t="str">
        <f>"  شهرداري چغابل"</f>
        <v xml:space="preserve">  شهرداري چغابل</v>
      </c>
      <c r="Q2029" s="1">
        <v>20</v>
      </c>
      <c r="R2029" s="1" t="str">
        <f>"فروش داخلي - سازمان شهرداري ها و دهياري هاي كشور"</f>
        <v>فروش داخلي - سازمان شهرداري ها و دهياري هاي كشور</v>
      </c>
      <c r="S2029" s="1" t="str">
        <f t="shared" si="532"/>
        <v>قرارداد فروش</v>
      </c>
      <c r="T2029" s="1" t="str">
        <f t="shared" si="533"/>
        <v>ندارد</v>
      </c>
      <c r="U2029" s="1" t="str">
        <f>"بستاني محسن (2882039)"</f>
        <v>بستاني محسن (2882039)</v>
      </c>
      <c r="V2029" s="1">
        <v>952000067</v>
      </c>
      <c r="W2029" s="1">
        <v>952000067</v>
      </c>
      <c r="X2029" s="1" t="str">
        <f>"1395428834"</f>
        <v>1395428834</v>
      </c>
      <c r="Y2029" s="1" t="str">
        <f>"95/06/14"</f>
        <v>95/06/14</v>
      </c>
      <c r="Z2029" s="1" t="str">
        <f>"27672"</f>
        <v>27672</v>
      </c>
      <c r="AA2029" s="1" t="str">
        <f>"شهرداريها"</f>
        <v>شهرداريها</v>
      </c>
      <c r="AB2029" s="1" t="str">
        <f>"95/06/10"</f>
        <v>95/06/10</v>
      </c>
      <c r="AC2029" s="1" t="str">
        <f>"لرستان"</f>
        <v>لرستان</v>
      </c>
      <c r="AD2029" s="1" t="str">
        <f>"95/06/13"</f>
        <v>95/06/13</v>
      </c>
      <c r="AE2029" s="1" t="str">
        <f t="shared" si="539"/>
        <v>اختتام</v>
      </c>
      <c r="AF2029" s="1" t="str">
        <f>""</f>
        <v/>
      </c>
      <c r="AG2029" s="1" t="str">
        <f>""</f>
        <v/>
      </c>
      <c r="AH2029" s="1" t="str">
        <f>""</f>
        <v/>
      </c>
      <c r="AI2029" s="1" t="str">
        <f>""</f>
        <v/>
      </c>
      <c r="AJ2029" s="1" t="str">
        <f>""</f>
        <v/>
      </c>
      <c r="AK2029" s="1" t="str">
        <f>""</f>
        <v/>
      </c>
    </row>
    <row r="2030" spans="1:37" x14ac:dyDescent="0.2">
      <c r="A2030" s="1">
        <v>71000</v>
      </c>
      <c r="B2030" s="1">
        <v>952000334</v>
      </c>
      <c r="C2030" s="1" t="str">
        <f>"تخليه -چهارمحال بختياري -شهرستان كوهرنگ بخش بازفت سنگ شكن جنب پل شرمك كارخانه آسفالت پارساكوشان زاگرس"</f>
        <v>تخليه -چهارمحال بختياري -شهرستان كوهرنگ بخش بازفت سنگ شكن جنب پل شرمك كارخانه آسفالت پارساكوشان زاگرس</v>
      </c>
      <c r="D2030" s="1">
        <v>9361</v>
      </c>
      <c r="E2030" s="1">
        <v>70440</v>
      </c>
      <c r="F2030" s="1">
        <v>95</v>
      </c>
      <c r="G2030" s="1">
        <v>560</v>
      </c>
      <c r="H2030" s="1" t="str">
        <f>"95/11/24"</f>
        <v>95/11/24</v>
      </c>
      <c r="I2030" s="1" t="str">
        <f t="shared" si="531"/>
        <v>كيلوگرم</v>
      </c>
      <c r="J2030" s="1" t="str">
        <f t="shared" si="537"/>
        <v>0000000076</v>
      </c>
      <c r="K2030" s="1" t="str">
        <f t="shared" si="538"/>
        <v>قير 60/70 - فله</v>
      </c>
      <c r="L2030" s="1">
        <v>100</v>
      </c>
      <c r="M2030" s="1" t="str">
        <f t="shared" si="534"/>
        <v>مخازن قير اصفهان</v>
      </c>
      <c r="N2030" s="1">
        <v>10872</v>
      </c>
      <c r="O2030" s="1">
        <v>50033698</v>
      </c>
      <c r="P2030" s="1" t="str">
        <f>"  شهرداري بازفت"</f>
        <v xml:space="preserve">  شهرداري بازفت</v>
      </c>
      <c r="Q2030" s="1">
        <v>20</v>
      </c>
      <c r="R2030" s="1" t="str">
        <f>"فروش داخلي - سازمان شهرداري ها و دهياري هاي كشور"</f>
        <v>فروش داخلي - سازمان شهرداري ها و دهياري هاي كشور</v>
      </c>
      <c r="S2030" s="1" t="str">
        <f t="shared" si="532"/>
        <v>قرارداد فروش</v>
      </c>
      <c r="T2030" s="1" t="str">
        <f t="shared" si="533"/>
        <v>ندارد</v>
      </c>
      <c r="U2030" s="1" t="str">
        <f>"قره باغي مجيد(1871065)"</f>
        <v>قره باغي مجيد(1871065)</v>
      </c>
      <c r="V2030" s="1">
        <v>952000334</v>
      </c>
      <c r="W2030" s="1">
        <v>952000334</v>
      </c>
      <c r="X2030" s="1" t="str">
        <f>"1395464401"</f>
        <v>1395464401</v>
      </c>
      <c r="Y2030" s="1" t="str">
        <f>"95/11/24"</f>
        <v>95/11/24</v>
      </c>
      <c r="Z2030" s="1" t="str">
        <f>"44117"</f>
        <v>44117</v>
      </c>
      <c r="AA2030" s="1" t="str">
        <f>"شهرداريها"</f>
        <v>شهرداريها</v>
      </c>
      <c r="AB2030" s="1" t="str">
        <f>"95/09/06"</f>
        <v>95/09/06</v>
      </c>
      <c r="AC2030" s="1" t="str">
        <f>"استان چهارمحال بختياري"</f>
        <v>استان چهارمحال بختياري</v>
      </c>
      <c r="AD2030" s="1" t="str">
        <f>"95/11/23"</f>
        <v>95/11/23</v>
      </c>
      <c r="AE2030" s="1" t="str">
        <f t="shared" si="539"/>
        <v>اختتام</v>
      </c>
      <c r="AF2030" s="1" t="str">
        <f>""</f>
        <v/>
      </c>
      <c r="AG2030" s="1" t="str">
        <f>""</f>
        <v/>
      </c>
      <c r="AH2030" s="1" t="str">
        <f>""</f>
        <v/>
      </c>
      <c r="AI2030" s="1" t="str">
        <f>""</f>
        <v/>
      </c>
      <c r="AJ2030" s="1" t="str">
        <f>""</f>
        <v/>
      </c>
      <c r="AK2030" s="1" t="str">
        <f>""</f>
        <v/>
      </c>
    </row>
    <row r="2031" spans="1:37" x14ac:dyDescent="0.2">
      <c r="A2031" s="1">
        <v>400000</v>
      </c>
      <c r="B2031" s="1">
        <v>951100044</v>
      </c>
      <c r="C2031" s="1" t="str">
        <f>"تخليه-کارخانه آسفالت فريدونشهر"</f>
        <v>تخليه-کارخانه آسفالت فريدونشهر</v>
      </c>
      <c r="D2031" s="1">
        <v>5650</v>
      </c>
      <c r="E2031" s="1">
        <v>398520</v>
      </c>
      <c r="F2031" s="1">
        <v>95</v>
      </c>
      <c r="G2031" s="1">
        <v>1480</v>
      </c>
      <c r="H2031" s="1" t="str">
        <f>"95/02/21"</f>
        <v>95/02/21</v>
      </c>
      <c r="I2031" s="1" t="str">
        <f t="shared" si="531"/>
        <v>كيلوگرم</v>
      </c>
      <c r="J2031" s="1" t="str">
        <f t="shared" ref="J2031:J2064" si="540">"0000000076"</f>
        <v>0000000076</v>
      </c>
      <c r="K2031" s="1" t="str">
        <f t="shared" ref="K2031:K2064" si="541">"قير 60/70 - فله"</f>
        <v>قير 60/70 - فله</v>
      </c>
      <c r="L2031" s="1">
        <v>100</v>
      </c>
      <c r="M2031" s="1" t="str">
        <f t="shared" si="534"/>
        <v>مخازن قير اصفهان</v>
      </c>
      <c r="N2031" s="1">
        <v>10977</v>
      </c>
      <c r="O2031" s="1">
        <v>50030796</v>
      </c>
      <c r="P2031" s="1" t="str">
        <f>"  پاوان پناه"</f>
        <v xml:space="preserve">  پاوان پناه</v>
      </c>
      <c r="Q2031" s="1">
        <v>11</v>
      </c>
      <c r="R2031" s="1" t="str">
        <f>"فروش داخلي تهران - بورس"</f>
        <v>فروش داخلي تهران - بورس</v>
      </c>
      <c r="S2031" s="1" t="str">
        <f t="shared" si="532"/>
        <v>قرارداد فروش</v>
      </c>
      <c r="T2031" s="1" t="str">
        <f t="shared" si="533"/>
        <v>ندارد</v>
      </c>
      <c r="U2031" s="1" t="str">
        <f>"شهبازي محمدرضا(1029ج89)"</f>
        <v>شهبازي محمدرضا(1029ج89)</v>
      </c>
      <c r="V2031" s="1">
        <v>951100044</v>
      </c>
      <c r="W2031" s="1">
        <v>951100044</v>
      </c>
      <c r="X2031" s="1" t="str">
        <f>"1395401987"</f>
        <v>1395401987</v>
      </c>
      <c r="Y2031" s="1" t="str">
        <f>"95/02/20"</f>
        <v>95/02/20</v>
      </c>
      <c r="Z2031" s="1" t="str">
        <f>"95-34332"</f>
        <v>95-34332</v>
      </c>
      <c r="AA2031" s="1" t="str">
        <f>"راه سازي"</f>
        <v>راه سازي</v>
      </c>
      <c r="AB2031" s="1" t="str">
        <f>"95/02/19"</f>
        <v>95/02/19</v>
      </c>
      <c r="AC2031" s="1" t="str">
        <f>"استان اصفهان"</f>
        <v>استان اصفهان</v>
      </c>
      <c r="AD2031" s="1" t="str">
        <f>"95/02/11"</f>
        <v>95/02/11</v>
      </c>
      <c r="AE2031" s="1" t="str">
        <f t="shared" si="539"/>
        <v>اختتام</v>
      </c>
      <c r="AF2031" s="1" t="str">
        <f>""</f>
        <v/>
      </c>
      <c r="AG2031" s="1" t="str">
        <f>""</f>
        <v/>
      </c>
      <c r="AH2031" s="1" t="str">
        <f>""</f>
        <v/>
      </c>
      <c r="AI2031" s="1" t="str">
        <f>""</f>
        <v/>
      </c>
      <c r="AJ2031" s="1" t="str">
        <f>""</f>
        <v/>
      </c>
      <c r="AK2031" s="1" t="str">
        <f>""</f>
        <v/>
      </c>
    </row>
    <row r="2032" spans="1:37" x14ac:dyDescent="0.2">
      <c r="A2032" s="1">
        <v>200000</v>
      </c>
      <c r="B2032" s="1">
        <v>951100095</v>
      </c>
      <c r="C2032" s="1" t="str">
        <f>"تخليه-جاده علويجه-کيلومتر12 شرکت افق راه ماندگار"</f>
        <v>تخليه-جاده علويجه-کيلومتر12 شرکت افق راه ماندگار</v>
      </c>
      <c r="D2032" s="1">
        <v>6426</v>
      </c>
      <c r="E2032" s="1">
        <v>200000</v>
      </c>
      <c r="F2032" s="1">
        <v>95</v>
      </c>
      <c r="G2032" s="1">
        <v>0</v>
      </c>
      <c r="H2032" s="1" t="str">
        <f>"95/05/13"</f>
        <v>95/05/13</v>
      </c>
      <c r="I2032" s="1" t="str">
        <f t="shared" si="531"/>
        <v>كيلوگرم</v>
      </c>
      <c r="J2032" s="1" t="str">
        <f t="shared" si="540"/>
        <v>0000000076</v>
      </c>
      <c r="K2032" s="1" t="str">
        <f t="shared" si="541"/>
        <v>قير 60/70 - فله</v>
      </c>
      <c r="L2032" s="1">
        <v>100</v>
      </c>
      <c r="M2032" s="1" t="str">
        <f t="shared" si="534"/>
        <v>مخازن قير اصفهان</v>
      </c>
      <c r="N2032" s="1">
        <v>11008</v>
      </c>
      <c r="O2032" s="1">
        <v>50031411</v>
      </c>
      <c r="P2032" s="1" t="str">
        <f>"  افق راه ماندگار"</f>
        <v xml:space="preserve">  افق راه ماندگار</v>
      </c>
      <c r="Q2032" s="1">
        <v>11</v>
      </c>
      <c r="R2032" s="1" t="str">
        <f>"فروش داخلي تهران - بورس"</f>
        <v>فروش داخلي تهران - بورس</v>
      </c>
      <c r="S2032" s="1" t="str">
        <f t="shared" si="532"/>
        <v>قرارداد فروش</v>
      </c>
      <c r="T2032" s="1" t="str">
        <f t="shared" si="533"/>
        <v>ندارد</v>
      </c>
      <c r="U2032" s="1" t="str">
        <f>"عزيزي صفر(1006ج 89)"</f>
        <v>عزيزي صفر(1006ج 89)</v>
      </c>
      <c r="V2032" s="1">
        <v>951100095</v>
      </c>
      <c r="W2032" s="1">
        <v>951100095</v>
      </c>
      <c r="X2032" s="1" t="str">
        <f>"1395419171"</f>
        <v>1395419171</v>
      </c>
      <c r="Y2032" s="1" t="str">
        <f>"95/05/12"</f>
        <v>95/05/12</v>
      </c>
      <c r="Z2032" s="1" t="str">
        <f>"95-34628"</f>
        <v>95-34628</v>
      </c>
      <c r="AA2032" s="1" t="str">
        <f>"راه سازي"</f>
        <v>راه سازي</v>
      </c>
      <c r="AB2032" s="1" t="str">
        <f>"95/05/12"</f>
        <v>95/05/12</v>
      </c>
      <c r="AC2032" s="1" t="str">
        <f>"استان اصفهان"</f>
        <v>استان اصفهان</v>
      </c>
      <c r="AD2032" s="1" t="str">
        <f>"95/05/06"</f>
        <v>95/05/06</v>
      </c>
      <c r="AE2032" s="1" t="str">
        <f>"تاييدشده"</f>
        <v>تاييدشده</v>
      </c>
      <c r="AF2032" s="1" t="str">
        <f>""</f>
        <v/>
      </c>
      <c r="AG2032" s="1" t="str">
        <f>""</f>
        <v/>
      </c>
      <c r="AH2032" s="1" t="str">
        <f>""</f>
        <v/>
      </c>
      <c r="AI2032" s="1" t="str">
        <f>""</f>
        <v/>
      </c>
      <c r="AJ2032" s="1" t="str">
        <f>""</f>
        <v/>
      </c>
      <c r="AK2032" s="1" t="str">
        <f>""</f>
        <v/>
      </c>
    </row>
    <row r="2033" spans="1:37" x14ac:dyDescent="0.2">
      <c r="A2033" s="1">
        <v>458000</v>
      </c>
      <c r="B2033" s="1">
        <v>956200083</v>
      </c>
      <c r="C2033" s="1" t="str">
        <f>"تخليه - کهگيلويه - روستاي دارشاهي-کارخانه آسفالت احساني"</f>
        <v>تخليه - کهگيلويه - روستاي دارشاهي-کارخانه آسفالت احساني</v>
      </c>
      <c r="D2033" s="1">
        <v>6976</v>
      </c>
      <c r="E2033" s="1">
        <v>457860</v>
      </c>
      <c r="F2033" s="1">
        <v>95</v>
      </c>
      <c r="G2033" s="1">
        <v>140</v>
      </c>
      <c r="H2033" s="1" t="str">
        <f>"95/07/07"</f>
        <v>95/07/07</v>
      </c>
      <c r="I2033" s="1" t="str">
        <f t="shared" si="531"/>
        <v>كيلوگرم</v>
      </c>
      <c r="J2033" s="1" t="str">
        <f t="shared" si="540"/>
        <v>0000000076</v>
      </c>
      <c r="K2033" s="1" t="str">
        <f t="shared" si="541"/>
        <v>قير 60/70 - فله</v>
      </c>
      <c r="L2033" s="1">
        <v>100</v>
      </c>
      <c r="M2033" s="1" t="str">
        <f t="shared" si="534"/>
        <v>مخازن قير اصفهان</v>
      </c>
      <c r="N2033" s="1">
        <v>11036</v>
      </c>
      <c r="O2033" s="1">
        <v>50032028</v>
      </c>
      <c r="P2033" s="1" t="str">
        <f>"  استحکام ساز باختر"</f>
        <v xml:space="preserve">  استحکام ساز باختر</v>
      </c>
      <c r="Q2033" s="1">
        <v>62</v>
      </c>
      <c r="R2033" s="1" t="str">
        <f>"فروش داخلي - سازمان بنيادمسكن انقلاب اسلامي"</f>
        <v>فروش داخلي - سازمان بنيادمسكن انقلاب اسلامي</v>
      </c>
      <c r="S2033" s="1" t="str">
        <f t="shared" si="532"/>
        <v>قرارداد فروش</v>
      </c>
      <c r="T2033" s="1" t="str">
        <f t="shared" si="533"/>
        <v>ندارد</v>
      </c>
      <c r="U2033" s="1" t="str">
        <f>"غلام نجفي سيامك‌‌‌‌‌‌(1881082)"</f>
        <v>غلام نجفي سيامك‌‌‌‌‌‌(1881082)</v>
      </c>
      <c r="V2033" s="1">
        <v>956200083</v>
      </c>
      <c r="W2033" s="1">
        <v>956200083</v>
      </c>
      <c r="X2033" s="1" t="str">
        <f>"1395434880"</f>
        <v>1395434880</v>
      </c>
      <c r="Y2033" s="1" t="str">
        <f>"95/07/07"</f>
        <v>95/07/07</v>
      </c>
      <c r="Z2033" s="1" t="str">
        <f>"28077/د"</f>
        <v>28077/د</v>
      </c>
      <c r="AA2033" s="1" t="str">
        <f>"بنيادمسكن انقلاب اسلامي"</f>
        <v>بنيادمسكن انقلاب اسلامي</v>
      </c>
      <c r="AB2033" s="1" t="str">
        <f>"95/07/06"</f>
        <v>95/07/06</v>
      </c>
      <c r="AC2033" s="1" t="str">
        <f>"كهكيلويه و بوير احمد"</f>
        <v>كهكيلويه و بوير احمد</v>
      </c>
      <c r="AD2033" s="1" t="str">
        <f>"95/07/07"</f>
        <v>95/07/07</v>
      </c>
      <c r="AE2033" s="1" t="str">
        <f>"اختتام"</f>
        <v>اختتام</v>
      </c>
      <c r="AF2033" s="1" t="str">
        <f>""</f>
        <v/>
      </c>
      <c r="AG2033" s="1" t="str">
        <f>""</f>
        <v/>
      </c>
      <c r="AH2033" s="1" t="str">
        <f>""</f>
        <v/>
      </c>
      <c r="AI2033" s="1" t="str">
        <f>""</f>
        <v/>
      </c>
      <c r="AJ2033" s="1" t="str">
        <f>""</f>
        <v/>
      </c>
      <c r="AK2033" s="1" t="str">
        <f>""</f>
        <v/>
      </c>
    </row>
    <row r="2034" spans="1:37" x14ac:dyDescent="0.2">
      <c r="A2034" s="1">
        <v>207000</v>
      </c>
      <c r="B2034" s="1">
        <v>956200066</v>
      </c>
      <c r="C2034" s="1" t="str">
        <f>"تخليه - کارخانه آسفالت  شرکت سنگ و کوه واقع در بندر چابهار"</f>
        <v>تخليه - کارخانه آسفالت  شرکت سنگ و کوه واقع در بندر چابهار</v>
      </c>
      <c r="D2034" s="1">
        <v>6426</v>
      </c>
      <c r="E2034" s="1">
        <v>205900</v>
      </c>
      <c r="F2034" s="1">
        <v>95</v>
      </c>
      <c r="G2034" s="1">
        <v>1100</v>
      </c>
      <c r="H2034" s="1" t="str">
        <f>"95/05/30"</f>
        <v>95/05/30</v>
      </c>
      <c r="I2034" s="1" t="str">
        <f t="shared" si="531"/>
        <v>كيلوگرم</v>
      </c>
      <c r="J2034" s="1" t="str">
        <f t="shared" si="540"/>
        <v>0000000076</v>
      </c>
      <c r="K2034" s="1" t="str">
        <f t="shared" si="541"/>
        <v>قير 60/70 - فله</v>
      </c>
      <c r="L2034" s="1">
        <v>100</v>
      </c>
      <c r="M2034" s="1" t="str">
        <f t="shared" si="534"/>
        <v>مخازن قير اصفهان</v>
      </c>
      <c r="N2034" s="1">
        <v>11080</v>
      </c>
      <c r="O2034" s="1">
        <v>50031587</v>
      </c>
      <c r="P2034" s="1" t="str">
        <f>"  بتن کاوه هرمز"</f>
        <v xml:space="preserve">  بتن کاوه هرمز</v>
      </c>
      <c r="Q2034" s="1">
        <v>62</v>
      </c>
      <c r="R2034" s="1" t="str">
        <f>"فروش داخلي - سازمان بنيادمسكن انقلاب اسلامي"</f>
        <v>فروش داخلي - سازمان بنيادمسكن انقلاب اسلامي</v>
      </c>
      <c r="S2034" s="1" t="str">
        <f t="shared" si="532"/>
        <v>قرارداد فروش</v>
      </c>
      <c r="T2034" s="1" t="str">
        <f t="shared" si="533"/>
        <v>ندارد</v>
      </c>
      <c r="U2034" s="1" t="str">
        <f>"احمدي حبيب (1901097)"</f>
        <v>احمدي حبيب (1901097)</v>
      </c>
      <c r="V2034" s="1">
        <v>956200066</v>
      </c>
      <c r="W2034" s="1">
        <v>956200066</v>
      </c>
      <c r="X2034" s="1" t="str">
        <f>"1395418071"</f>
        <v>1395418071</v>
      </c>
      <c r="Y2034" s="1" t="str">
        <f>"95/05/30"</f>
        <v>95/05/30</v>
      </c>
      <c r="Z2034" s="1" t="str">
        <f>"17654/د"</f>
        <v>17654/د</v>
      </c>
      <c r="AA2034" s="1" t="str">
        <f>"بنيادمسكن انقلاب اسلامي"</f>
        <v>بنيادمسكن انقلاب اسلامي</v>
      </c>
      <c r="AB2034" s="1" t="str">
        <f>"95/05/02"</f>
        <v>95/05/02</v>
      </c>
      <c r="AC2034" s="1" t="str">
        <f>"استان سيستان بلوچستان"</f>
        <v>استان سيستان بلوچستان</v>
      </c>
      <c r="AD2034" s="1" t="str">
        <f>"95/05/05"</f>
        <v>95/05/05</v>
      </c>
      <c r="AE2034" s="1" t="str">
        <f>"اختتام"</f>
        <v>اختتام</v>
      </c>
      <c r="AF2034" s="1" t="str">
        <f>""</f>
        <v/>
      </c>
      <c r="AG2034" s="1" t="str">
        <f>""</f>
        <v/>
      </c>
      <c r="AH2034" s="1" t="str">
        <f>""</f>
        <v/>
      </c>
      <c r="AI2034" s="1" t="str">
        <f>""</f>
        <v/>
      </c>
      <c r="AJ2034" s="1" t="str">
        <f>""</f>
        <v/>
      </c>
      <c r="AK2034" s="1" t="str">
        <f>""</f>
        <v/>
      </c>
    </row>
    <row r="2035" spans="1:37" x14ac:dyDescent="0.2">
      <c r="A2035" s="1">
        <v>100000</v>
      </c>
      <c r="B2035" s="1">
        <v>951100062</v>
      </c>
      <c r="C2035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2035" s="1">
        <v>5750</v>
      </c>
      <c r="E2035" s="1">
        <v>100000</v>
      </c>
      <c r="F2035" s="1">
        <v>95</v>
      </c>
      <c r="G2035" s="1">
        <v>0</v>
      </c>
      <c r="H2035" s="1" t="str">
        <f>"95/03/17"</f>
        <v>95/03/17</v>
      </c>
      <c r="I2035" s="1" t="str">
        <f t="shared" si="531"/>
        <v>كيلوگرم</v>
      </c>
      <c r="J2035" s="1" t="str">
        <f t="shared" si="540"/>
        <v>0000000076</v>
      </c>
      <c r="K2035" s="1" t="str">
        <f t="shared" si="541"/>
        <v>قير 60/70 - فله</v>
      </c>
      <c r="L2035" s="1">
        <v>100</v>
      </c>
      <c r="M2035" s="1" t="str">
        <f t="shared" si="534"/>
        <v>مخازن قير اصفهان</v>
      </c>
      <c r="N2035" s="1">
        <v>11095</v>
      </c>
      <c r="O2035" s="1">
        <v>50030973</v>
      </c>
      <c r="P2035" s="1" t="str">
        <f>"  شهيربناي ايرانيان"</f>
        <v xml:space="preserve">  شهيربناي ايرانيان</v>
      </c>
      <c r="Q2035" s="1">
        <v>11</v>
      </c>
      <c r="R2035" s="1" t="str">
        <f>"فروش داخلي تهران - بورس"</f>
        <v>فروش داخلي تهران - بورس</v>
      </c>
      <c r="S2035" s="1" t="str">
        <f t="shared" si="532"/>
        <v>قرارداد فروش</v>
      </c>
      <c r="T2035" s="1" t="str">
        <f t="shared" si="533"/>
        <v>ندارد</v>
      </c>
      <c r="U2035" s="1" t="str">
        <f>"ريسماني حسن(1007ج89)"</f>
        <v>ريسماني حسن(1007ج89)</v>
      </c>
      <c r="V2035" s="1">
        <v>951100062</v>
      </c>
      <c r="W2035" s="1">
        <v>951100062</v>
      </c>
      <c r="X2035" s="1" t="str">
        <f>"1395406844"</f>
        <v>1395406844</v>
      </c>
      <c r="Y2035" s="1" t="str">
        <f>"95/03/16"</f>
        <v>95/03/16</v>
      </c>
      <c r="Z2035" s="1" t="str">
        <f>"95-34457"</f>
        <v>95-34457</v>
      </c>
      <c r="AA2035" s="1" t="str">
        <f>"راه سازي"</f>
        <v>راه سازي</v>
      </c>
      <c r="AB2035" s="1" t="str">
        <f>"95/03/16"</f>
        <v>95/03/16</v>
      </c>
      <c r="AC2035" s="1" t="str">
        <f>"استان اصفهان"</f>
        <v>استان اصفهان</v>
      </c>
      <c r="AD2035" s="1" t="str">
        <f>"95/03/11"</f>
        <v>95/03/11</v>
      </c>
      <c r="AE2035" s="1" t="str">
        <f>"تاييدشده"</f>
        <v>تاييدشده</v>
      </c>
      <c r="AF2035" s="1" t="str">
        <f>""</f>
        <v/>
      </c>
      <c r="AG2035" s="1" t="str">
        <f>""</f>
        <v/>
      </c>
      <c r="AH2035" s="1" t="str">
        <f>""</f>
        <v/>
      </c>
      <c r="AI2035" s="1" t="str">
        <f>""</f>
        <v/>
      </c>
      <c r="AJ2035" s="1" t="str">
        <f>""</f>
        <v/>
      </c>
      <c r="AK2035" s="1" t="str">
        <f>""</f>
        <v/>
      </c>
    </row>
    <row r="2036" spans="1:37" x14ac:dyDescent="0.2">
      <c r="A2036" s="1">
        <v>69000</v>
      </c>
      <c r="B2036" s="1">
        <v>956300013</v>
      </c>
      <c r="C2036" s="1" t="str">
        <f>"تخليه - اصفهان - فولاد شهر-کارخانه آسفالت آبادگران جنوب (شرکت مرآد صنعت نياکان)"</f>
        <v>تخليه - اصفهان - فولاد شهر-کارخانه آسفالت آبادگران جنوب (شرکت مرآد صنعت نياکان)</v>
      </c>
      <c r="D2036" s="1">
        <v>8861</v>
      </c>
      <c r="E2036" s="1">
        <v>67140</v>
      </c>
      <c r="F2036" s="1">
        <v>95</v>
      </c>
      <c r="G2036" s="1">
        <v>1860</v>
      </c>
      <c r="H2036" s="1" t="str">
        <f>"95/10/26"</f>
        <v>95/10/26</v>
      </c>
      <c r="I2036" s="1" t="str">
        <f t="shared" si="531"/>
        <v>كيلوگرم</v>
      </c>
      <c r="J2036" s="1" t="str">
        <f t="shared" si="540"/>
        <v>0000000076</v>
      </c>
      <c r="K2036" s="1" t="str">
        <f t="shared" si="541"/>
        <v>قير 60/70 - فله</v>
      </c>
      <c r="L2036" s="1">
        <v>100</v>
      </c>
      <c r="M2036" s="1" t="str">
        <f t="shared" si="534"/>
        <v>مخازن قير اصفهان</v>
      </c>
      <c r="N2036" s="1">
        <v>11098</v>
      </c>
      <c r="O2036" s="1">
        <v>50033402</v>
      </c>
      <c r="P2036" s="1" t="str">
        <f>"  اداره كل نوسازي توسعه وتجهيزمدارس استان اصفهان"</f>
        <v xml:space="preserve">  اداره كل نوسازي توسعه وتجهيزمدارس استان اصفهان</v>
      </c>
      <c r="Q2036" s="1">
        <v>63</v>
      </c>
      <c r="R2036" s="1" t="str">
        <f>"سازمان نوسازي،توسعه و تجهيز مدارس كشور"</f>
        <v>سازمان نوسازي،توسعه و تجهيز مدارس كشور</v>
      </c>
      <c r="S2036" s="1" t="str">
        <f t="shared" si="532"/>
        <v>قرارداد فروش</v>
      </c>
      <c r="T2036" s="1" t="str">
        <f t="shared" si="533"/>
        <v>ندارد</v>
      </c>
      <c r="U2036" s="1" t="str">
        <f>"ترك شاهسوندي مهدي(1022ج89)"</f>
        <v>ترك شاهسوندي مهدي(1022ج89)</v>
      </c>
      <c r="V2036" s="1">
        <v>956300013</v>
      </c>
      <c r="W2036" s="1">
        <v>956300013</v>
      </c>
      <c r="X2036" s="1" t="str">
        <f>"1395458677"</f>
        <v>1395458677</v>
      </c>
      <c r="Y2036" s="1" t="str">
        <f>"95/10/26"</f>
        <v>95/10/26</v>
      </c>
      <c r="Z2036" s="1" t="str">
        <f>"3-95/422-31449"</f>
        <v>3-95/422-31449</v>
      </c>
      <c r="AA2036" s="1" t="str">
        <f>"سازمان نوسازي توسعه وتجهيزمدارس كشور"</f>
        <v>سازمان نوسازي توسعه وتجهيزمدارس كشور</v>
      </c>
      <c r="AB2036" s="1" t="str">
        <f>"95/10/22"</f>
        <v>95/10/22</v>
      </c>
      <c r="AC2036" s="1" t="str">
        <f>"استان اصفهان"</f>
        <v>استان اصفهان</v>
      </c>
      <c r="AD2036" s="1" t="str">
        <f>"95/10/25"</f>
        <v>95/10/25</v>
      </c>
      <c r="AE2036" s="1" t="str">
        <f t="shared" ref="AE2036:AE2067" si="542">"اختتام"</f>
        <v>اختتام</v>
      </c>
      <c r="AF2036" s="1" t="str">
        <f>""</f>
        <v/>
      </c>
      <c r="AG2036" s="1" t="str">
        <f>""</f>
        <v/>
      </c>
      <c r="AH2036" s="1" t="str">
        <f>""</f>
        <v/>
      </c>
      <c r="AI2036" s="1" t="str">
        <f>""</f>
        <v/>
      </c>
      <c r="AJ2036" s="1" t="str">
        <f>""</f>
        <v/>
      </c>
      <c r="AK2036" s="1" t="str">
        <f>""</f>
        <v/>
      </c>
    </row>
    <row r="2037" spans="1:37" x14ac:dyDescent="0.2">
      <c r="A2037" s="1">
        <v>51000</v>
      </c>
      <c r="B2037" s="1">
        <v>956300027</v>
      </c>
      <c r="C2037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2037" s="1">
        <v>8848</v>
      </c>
      <c r="E2037" s="1">
        <v>50000</v>
      </c>
      <c r="F2037" s="1">
        <v>95</v>
      </c>
      <c r="G2037" s="1">
        <v>1000</v>
      </c>
      <c r="H2037" s="1" t="str">
        <f>"95/12/07"</f>
        <v>95/12/07</v>
      </c>
      <c r="I2037" s="1" t="str">
        <f t="shared" si="531"/>
        <v>كيلوگرم</v>
      </c>
      <c r="J2037" s="1" t="str">
        <f t="shared" si="540"/>
        <v>0000000076</v>
      </c>
      <c r="K2037" s="1" t="str">
        <f t="shared" si="541"/>
        <v>قير 60/70 - فله</v>
      </c>
      <c r="L2037" s="1">
        <v>100</v>
      </c>
      <c r="M2037" s="1" t="str">
        <f t="shared" si="534"/>
        <v>مخازن قير اصفهان</v>
      </c>
      <c r="N2037" s="1">
        <v>11098</v>
      </c>
      <c r="O2037" s="1">
        <v>50033885</v>
      </c>
      <c r="P2037" s="1" t="str">
        <f>"  اداره كل نوسازي توسعه وتجهيزمدارس استان اصفهان"</f>
        <v xml:space="preserve">  اداره كل نوسازي توسعه وتجهيزمدارس استان اصفهان</v>
      </c>
      <c r="Q2037" s="1">
        <v>63</v>
      </c>
      <c r="R2037" s="1" t="str">
        <f>"سازمان نوسازي،توسعه و تجهيز مدارس كشور"</f>
        <v>سازمان نوسازي،توسعه و تجهيز مدارس كشور</v>
      </c>
      <c r="S2037" s="1" t="str">
        <f t="shared" si="532"/>
        <v>قرارداد فروش</v>
      </c>
      <c r="T2037" s="1" t="str">
        <f t="shared" si="533"/>
        <v>ندارد</v>
      </c>
      <c r="U2037" s="1" t="str">
        <f>"سيفي پور عبدالمجيد(1009ج89)"</f>
        <v>سيفي پور عبدالمجيد(1009ج89)</v>
      </c>
      <c r="V2037" s="1">
        <v>956300027</v>
      </c>
      <c r="W2037" s="1">
        <v>956300027</v>
      </c>
      <c r="X2037" s="1" t="str">
        <f>"1395467546"</f>
        <v>1395467546</v>
      </c>
      <c r="Y2037" s="1" t="str">
        <f>"95/12/07"</f>
        <v>95/12/07</v>
      </c>
      <c r="Z2037" s="1" t="str">
        <f>"3-95/422-35968"</f>
        <v>3-95/422-35968</v>
      </c>
      <c r="AA2037" s="1" t="str">
        <f>"سازمان نوسازي توسعه وتجهيزمدارس كشور"</f>
        <v>سازمان نوسازي توسعه وتجهيزمدارس كشور</v>
      </c>
      <c r="AB2037" s="1" t="str">
        <f>"95/12/03"</f>
        <v>95/12/03</v>
      </c>
      <c r="AC2037" s="1" t="str">
        <f>"استان اصفهان"</f>
        <v>استان اصفهان</v>
      </c>
      <c r="AD2037" s="1" t="str">
        <f>"95/12/07"</f>
        <v>95/12/07</v>
      </c>
      <c r="AE2037" s="1" t="str">
        <f t="shared" si="542"/>
        <v>اختتام</v>
      </c>
      <c r="AF2037" s="1" t="str">
        <f>""</f>
        <v/>
      </c>
      <c r="AG2037" s="1" t="str">
        <f>""</f>
        <v/>
      </c>
      <c r="AH2037" s="1" t="str">
        <f>""</f>
        <v/>
      </c>
      <c r="AI2037" s="1" t="str">
        <f>""</f>
        <v/>
      </c>
      <c r="AJ2037" s="1" t="str">
        <f>""</f>
        <v/>
      </c>
      <c r="AK2037" s="1" t="str">
        <f>""</f>
        <v/>
      </c>
    </row>
    <row r="2038" spans="1:37" x14ac:dyDescent="0.2">
      <c r="A2038" s="1">
        <v>23000</v>
      </c>
      <c r="B2038" s="1">
        <v>956300038</v>
      </c>
      <c r="C2038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2038" s="1">
        <v>8848</v>
      </c>
      <c r="E2038" s="1">
        <v>16000</v>
      </c>
      <c r="F2038" s="1">
        <v>95</v>
      </c>
      <c r="G2038" s="1">
        <v>7000</v>
      </c>
      <c r="H2038" s="1" t="str">
        <f>"95/12/23"</f>
        <v>95/12/23</v>
      </c>
      <c r="I2038" s="1" t="str">
        <f t="shared" si="531"/>
        <v>كيلوگرم</v>
      </c>
      <c r="J2038" s="1" t="str">
        <f t="shared" si="540"/>
        <v>0000000076</v>
      </c>
      <c r="K2038" s="1" t="str">
        <f t="shared" si="541"/>
        <v>قير 60/70 - فله</v>
      </c>
      <c r="L2038" s="1">
        <v>100</v>
      </c>
      <c r="M2038" s="1" t="str">
        <f t="shared" si="534"/>
        <v>مخازن قير اصفهان</v>
      </c>
      <c r="N2038" s="1">
        <v>11098</v>
      </c>
      <c r="O2038" s="1">
        <v>50034159</v>
      </c>
      <c r="P2038" s="1" t="str">
        <f>"  اداره كل نوسازي توسعه وتجهيزمدارس استان اصفهان"</f>
        <v xml:space="preserve">  اداره كل نوسازي توسعه وتجهيزمدارس استان اصفهان</v>
      </c>
      <c r="Q2038" s="1">
        <v>63</v>
      </c>
      <c r="R2038" s="1" t="str">
        <f>"سازمان نوسازي،توسعه و تجهيز مدارس كشور"</f>
        <v>سازمان نوسازي،توسعه و تجهيز مدارس كشور</v>
      </c>
      <c r="S2038" s="1" t="str">
        <f t="shared" si="532"/>
        <v>قرارداد فروش</v>
      </c>
      <c r="T2038" s="1" t="str">
        <f t="shared" si="533"/>
        <v>ندارد</v>
      </c>
      <c r="U2038" s="1" t="str">
        <f>"سيفي پور عبدالمجيد(1009ج89)"</f>
        <v>سيفي پور عبدالمجيد(1009ج89)</v>
      </c>
      <c r="V2038" s="1">
        <v>956300038</v>
      </c>
      <c r="W2038" s="1">
        <v>956300038</v>
      </c>
      <c r="X2038" s="1" t="str">
        <f>"1395470871"</f>
        <v>1395470871</v>
      </c>
      <c r="Y2038" s="1" t="str">
        <f>"95/12/23"</f>
        <v>95/12/23</v>
      </c>
      <c r="Z2038" s="1" t="str">
        <f>"3-95/424-37676"</f>
        <v>3-95/424-37676</v>
      </c>
      <c r="AA2038" s="1" t="str">
        <f>"سازمان نوسازي توسعه وتجهيزمدارس كشور"</f>
        <v>سازمان نوسازي توسعه وتجهيزمدارس كشور</v>
      </c>
      <c r="AB2038" s="1" t="str">
        <f>"95/12/18"</f>
        <v>95/12/18</v>
      </c>
      <c r="AC2038" s="1" t="str">
        <f>"استان اصفهان"</f>
        <v>استان اصفهان</v>
      </c>
      <c r="AD2038" s="1" t="str">
        <f>"95/12/23"</f>
        <v>95/12/23</v>
      </c>
      <c r="AE2038" s="1" t="str">
        <f t="shared" si="542"/>
        <v>اختتام</v>
      </c>
      <c r="AF2038" s="1" t="str">
        <f>""</f>
        <v/>
      </c>
      <c r="AG2038" s="1" t="str">
        <f>""</f>
        <v/>
      </c>
      <c r="AH2038" s="1" t="str">
        <f>""</f>
        <v/>
      </c>
      <c r="AI2038" s="1" t="str">
        <f>""</f>
        <v/>
      </c>
      <c r="AJ2038" s="1" t="str">
        <f>""</f>
        <v/>
      </c>
      <c r="AK2038" s="1" t="str">
        <f>""</f>
        <v/>
      </c>
    </row>
    <row r="2039" spans="1:37" x14ac:dyDescent="0.2">
      <c r="A2039" s="1">
        <v>428000</v>
      </c>
      <c r="B2039" s="1">
        <v>956200026</v>
      </c>
      <c r="C2039" s="1" t="str">
        <f>"تخليه-يزد-شهرستان خاتم-کيلومتر 2 جاده سياهوئيه-کارخانه آسفالت بسترسازان کوير"</f>
        <v>تخليه-يزد-شهرستان خاتم-کيلومتر 2 جاده سياهوئيه-کارخانه آسفالت بسترسازان کوير</v>
      </c>
      <c r="D2039" s="1">
        <v>5750</v>
      </c>
      <c r="E2039" s="1">
        <v>427480</v>
      </c>
      <c r="F2039" s="1">
        <v>95</v>
      </c>
      <c r="G2039" s="1">
        <v>520</v>
      </c>
      <c r="H2039" s="1" t="str">
        <f>"95/03/17"</f>
        <v>95/03/17</v>
      </c>
      <c r="I2039" s="1" t="str">
        <f t="shared" si="531"/>
        <v>كيلوگرم</v>
      </c>
      <c r="J2039" s="1" t="str">
        <f t="shared" si="540"/>
        <v>0000000076</v>
      </c>
      <c r="K2039" s="1" t="str">
        <f t="shared" si="541"/>
        <v>قير 60/70 - فله</v>
      </c>
      <c r="L2039" s="1">
        <v>100</v>
      </c>
      <c r="M2039" s="1" t="str">
        <f t="shared" si="534"/>
        <v>مخازن قير اصفهان</v>
      </c>
      <c r="N2039" s="1">
        <v>11105</v>
      </c>
      <c r="O2039" s="1">
        <v>50030970</v>
      </c>
      <c r="P2039" s="1" t="str">
        <f>"  بهمن راه کويريزد"</f>
        <v xml:space="preserve">  بهمن راه کويريزد</v>
      </c>
      <c r="Q2039" s="1">
        <v>62</v>
      </c>
      <c r="R2039" s="1" t="str">
        <f>"فروش داخلي - سازمان بنيادمسكن انقلاب اسلامي"</f>
        <v>فروش داخلي - سازمان بنيادمسكن انقلاب اسلامي</v>
      </c>
      <c r="S2039" s="1" t="str">
        <f t="shared" si="532"/>
        <v>قرارداد فروش</v>
      </c>
      <c r="T2039" s="1" t="str">
        <f t="shared" si="533"/>
        <v>ندارد</v>
      </c>
      <c r="U2039" s="1" t="str">
        <f>"قانعي محمدرضا(1011ج89)"</f>
        <v>قانعي محمدرضا(1011ج89)</v>
      </c>
      <c r="V2039" s="1">
        <v>956200026</v>
      </c>
      <c r="W2039" s="1">
        <v>956200026</v>
      </c>
      <c r="X2039" s="1" t="str">
        <f>"1395407679"</f>
        <v>1395407679</v>
      </c>
      <c r="Y2039" s="1" t="str">
        <f>"95/03/17"</f>
        <v>95/03/17</v>
      </c>
      <c r="Z2039" s="1" t="str">
        <f>"9911/د"</f>
        <v>9911/د</v>
      </c>
      <c r="AA2039" s="1" t="str">
        <f>"بنيادمسكن انقلاب اسلامي"</f>
        <v>بنيادمسكن انقلاب اسلامي</v>
      </c>
      <c r="AB2039" s="1" t="str">
        <f>"95/03/12"</f>
        <v>95/03/12</v>
      </c>
      <c r="AC2039" s="1" t="str">
        <f>"استان يزد"</f>
        <v>استان يزد</v>
      </c>
      <c r="AD2039" s="1" t="str">
        <f>"95/03/16"</f>
        <v>95/03/16</v>
      </c>
      <c r="AE2039" s="1" t="str">
        <f t="shared" si="542"/>
        <v>اختتام</v>
      </c>
      <c r="AF2039" s="1" t="str">
        <f>""</f>
        <v/>
      </c>
      <c r="AG2039" s="1" t="str">
        <f>""</f>
        <v/>
      </c>
      <c r="AH2039" s="1" t="str">
        <f>""</f>
        <v/>
      </c>
      <c r="AI2039" s="1" t="str">
        <f>""</f>
        <v/>
      </c>
      <c r="AJ2039" s="1" t="str">
        <f>""</f>
        <v/>
      </c>
      <c r="AK2039" s="1" t="str">
        <f>""</f>
        <v/>
      </c>
    </row>
    <row r="2040" spans="1:37" x14ac:dyDescent="0.2">
      <c r="A2040" s="1">
        <v>413000</v>
      </c>
      <c r="B2040" s="1">
        <v>956200117</v>
      </c>
      <c r="C2040" s="1" t="str">
        <f>"تخليه -خراسان جنوبي بيرجندكيلومتر5جاده خوسف جنب كويرتاير کارخانه آسفالت بتن آسفالت جهان راه"</f>
        <v>تخليه -خراسان جنوبي بيرجندكيلومتر5جاده خوسف جنب كويرتاير کارخانه آسفالت بتن آسفالت جهان راه</v>
      </c>
      <c r="D2040" s="1">
        <v>8861</v>
      </c>
      <c r="E2040" s="1">
        <v>412220</v>
      </c>
      <c r="F2040" s="1">
        <v>95</v>
      </c>
      <c r="G2040" s="1">
        <v>780</v>
      </c>
      <c r="H2040" s="1" t="str">
        <f>"95/10/06"</f>
        <v>95/10/06</v>
      </c>
      <c r="I2040" s="1" t="str">
        <f t="shared" si="531"/>
        <v>كيلوگرم</v>
      </c>
      <c r="J2040" s="1" t="str">
        <f t="shared" si="540"/>
        <v>0000000076</v>
      </c>
      <c r="K2040" s="1" t="str">
        <f t="shared" si="541"/>
        <v>قير 60/70 - فله</v>
      </c>
      <c r="L2040" s="1">
        <v>100</v>
      </c>
      <c r="M2040" s="1" t="str">
        <f t="shared" si="534"/>
        <v>مخازن قير اصفهان</v>
      </c>
      <c r="N2040" s="1">
        <v>11109</v>
      </c>
      <c r="O2040" s="1">
        <v>50033166</v>
      </c>
      <c r="P2040" s="1" t="str">
        <f>"  راهسازي وساختمان مسيرياب بيرجند"</f>
        <v xml:space="preserve">  راهسازي وساختمان مسيرياب بيرجند</v>
      </c>
      <c r="Q2040" s="1">
        <v>62</v>
      </c>
      <c r="R2040" s="1" t="str">
        <f>"فروش داخلي - سازمان بنيادمسكن انقلاب اسلامي"</f>
        <v>فروش داخلي - سازمان بنيادمسكن انقلاب اسلامي</v>
      </c>
      <c r="S2040" s="1" t="str">
        <f t="shared" si="532"/>
        <v>قرارداد فروش</v>
      </c>
      <c r="T2040" s="1" t="str">
        <f t="shared" si="533"/>
        <v>ندارد</v>
      </c>
      <c r="U2040" s="1" t="str">
        <f>"كاردان اسپادان راه مصطفي  (1911100)"</f>
        <v>كاردان اسپادان راه مصطفي  (1911100)</v>
      </c>
      <c r="V2040" s="1">
        <v>956200117</v>
      </c>
      <c r="W2040" s="1">
        <v>956200117</v>
      </c>
      <c r="X2040" s="1" t="str">
        <f>"1395454526"</f>
        <v>1395454526</v>
      </c>
      <c r="Y2040" s="1" t="str">
        <f>"95/10/06"</f>
        <v>95/10/06</v>
      </c>
      <c r="Z2040" s="1" t="str">
        <f>"40592/د"</f>
        <v>40592/د</v>
      </c>
      <c r="AA2040" s="1" t="str">
        <f>"بنيادمسكن انقلاب اسلامي"</f>
        <v>بنيادمسكن انقلاب اسلامي</v>
      </c>
      <c r="AB2040" s="1" t="str">
        <f>"95/09/24"</f>
        <v>95/09/24</v>
      </c>
      <c r="AC2040" s="1" t="str">
        <f>"خراسان جنوبي"</f>
        <v>خراسان جنوبي</v>
      </c>
      <c r="AD2040" s="1" t="str">
        <f>"95/10/05"</f>
        <v>95/10/05</v>
      </c>
      <c r="AE2040" s="1" t="str">
        <f t="shared" si="542"/>
        <v>اختتام</v>
      </c>
      <c r="AF2040" s="1" t="str">
        <f>""</f>
        <v/>
      </c>
      <c r="AG2040" s="1" t="str">
        <f>""</f>
        <v/>
      </c>
      <c r="AH2040" s="1" t="str">
        <f>""</f>
        <v/>
      </c>
      <c r="AI2040" s="1" t="str">
        <f>""</f>
        <v/>
      </c>
      <c r="AJ2040" s="1" t="str">
        <f>""</f>
        <v/>
      </c>
      <c r="AK2040" s="1" t="str">
        <f>""</f>
        <v/>
      </c>
    </row>
    <row r="2041" spans="1:37" x14ac:dyDescent="0.2">
      <c r="A2041" s="1">
        <v>185000</v>
      </c>
      <c r="B2041" s="1">
        <v>956200035</v>
      </c>
      <c r="C2041" s="1" t="str">
        <f>"تخليه-يزد-جاده کنارگذر-کيلومتر7 جاده کمربندي-يزد به تفت -جنب شن و ماسه -کارخانه آسفالت سازمان همياري شهرداريهاي استان يزد"</f>
        <v>تخليه-يزد-جاده کنارگذر-کيلومتر7 جاده کمربندي-يزد به تفت -جنب شن و ماسه -کارخانه آسفالت سازمان همياري شهرداريهاي استان يزد</v>
      </c>
      <c r="D2041" s="1">
        <v>5750</v>
      </c>
      <c r="E2041" s="1">
        <v>184120</v>
      </c>
      <c r="F2041" s="1">
        <v>95</v>
      </c>
      <c r="G2041" s="1">
        <v>880</v>
      </c>
      <c r="H2041" s="1" t="str">
        <f>"95/03/26"</f>
        <v>95/03/26</v>
      </c>
      <c r="I2041" s="1" t="str">
        <f t="shared" si="531"/>
        <v>كيلوگرم</v>
      </c>
      <c r="J2041" s="1" t="str">
        <f t="shared" si="540"/>
        <v>0000000076</v>
      </c>
      <c r="K2041" s="1" t="str">
        <f t="shared" si="541"/>
        <v>قير 60/70 - فله</v>
      </c>
      <c r="L2041" s="1">
        <v>100</v>
      </c>
      <c r="M2041" s="1" t="str">
        <f t="shared" si="534"/>
        <v>مخازن قير اصفهان</v>
      </c>
      <c r="N2041" s="1">
        <v>11117</v>
      </c>
      <c r="O2041" s="1">
        <v>50031055</v>
      </c>
      <c r="P2041" s="1" t="str">
        <f>"  راهسازي سنگ فرش راه پرشيا"</f>
        <v xml:space="preserve">  راهسازي سنگ فرش راه پرشيا</v>
      </c>
      <c r="Q2041" s="1">
        <v>62</v>
      </c>
      <c r="R2041" s="1" t="str">
        <f>"فروش داخلي - سازمان بنيادمسكن انقلاب اسلامي"</f>
        <v>فروش داخلي - سازمان بنيادمسكن انقلاب اسلامي</v>
      </c>
      <c r="S2041" s="1" t="str">
        <f t="shared" si="532"/>
        <v>قرارداد فروش</v>
      </c>
      <c r="T2041" s="1" t="str">
        <f t="shared" si="533"/>
        <v>ندارد</v>
      </c>
      <c r="U2041" s="1" t="str">
        <f>"اسماعيلي پور امين (1013ج89)"</f>
        <v>اسماعيلي پور امين (1013ج89)</v>
      </c>
      <c r="V2041" s="1">
        <v>956200035</v>
      </c>
      <c r="W2041" s="1">
        <v>956200035</v>
      </c>
      <c r="X2041" s="1" t="str">
        <f>"1395409797"</f>
        <v>1395409797</v>
      </c>
      <c r="Y2041" s="1" t="str">
        <f>"95/03/26"</f>
        <v>95/03/26</v>
      </c>
      <c r="Z2041" s="1" t="str">
        <f>"11765/د"</f>
        <v>11765/د</v>
      </c>
      <c r="AA2041" s="1" t="str">
        <f>"بنيادمسكن انقلاب اسلامي"</f>
        <v>بنيادمسكن انقلاب اسلامي</v>
      </c>
      <c r="AB2041" s="1" t="str">
        <f>"95/03/25"</f>
        <v>95/03/25</v>
      </c>
      <c r="AC2041" s="1" t="str">
        <f>"استان يزد"</f>
        <v>استان يزد</v>
      </c>
      <c r="AD2041" s="1" t="str">
        <f>"95/03/26"</f>
        <v>95/03/26</v>
      </c>
      <c r="AE2041" s="1" t="str">
        <f t="shared" si="542"/>
        <v>اختتام</v>
      </c>
      <c r="AF2041" s="1" t="str">
        <f>""</f>
        <v/>
      </c>
      <c r="AG2041" s="1" t="str">
        <f>""</f>
        <v/>
      </c>
      <c r="AH2041" s="1" t="str">
        <f>""</f>
        <v/>
      </c>
      <c r="AI2041" s="1" t="str">
        <f>""</f>
        <v/>
      </c>
      <c r="AJ2041" s="1" t="str">
        <f>""</f>
        <v/>
      </c>
      <c r="AK2041" s="1" t="str">
        <f>""</f>
        <v/>
      </c>
    </row>
    <row r="2042" spans="1:37" x14ac:dyDescent="0.2">
      <c r="A2042" s="1">
        <v>274000</v>
      </c>
      <c r="B2042" s="1">
        <v>956200118</v>
      </c>
      <c r="C2042" s="1" t="str">
        <f>"تخليه -خراسان جنوبي اسفدن -كارخانه توس راديه"</f>
        <v>تخليه -خراسان جنوبي اسفدن -كارخانه توس راديه</v>
      </c>
      <c r="D2042" s="1">
        <v>8861</v>
      </c>
      <c r="E2042" s="1">
        <v>273900</v>
      </c>
      <c r="F2042" s="1">
        <v>95</v>
      </c>
      <c r="G2042" s="1">
        <v>100</v>
      </c>
      <c r="H2042" s="1" t="str">
        <f>"95/10/06"</f>
        <v>95/10/06</v>
      </c>
      <c r="I2042" s="1" t="str">
        <f t="shared" si="531"/>
        <v>كيلوگرم</v>
      </c>
      <c r="J2042" s="1" t="str">
        <f t="shared" si="540"/>
        <v>0000000076</v>
      </c>
      <c r="K2042" s="1" t="str">
        <f t="shared" si="541"/>
        <v>قير 60/70 - فله</v>
      </c>
      <c r="L2042" s="1">
        <v>100</v>
      </c>
      <c r="M2042" s="1" t="str">
        <f t="shared" si="534"/>
        <v>مخازن قير اصفهان</v>
      </c>
      <c r="N2042" s="1">
        <v>11119</v>
      </c>
      <c r="O2042" s="1">
        <v>50033168</v>
      </c>
      <c r="P2042" s="1" t="str">
        <f>"  نويدگسترزهان"</f>
        <v xml:space="preserve">  نويدگسترزهان</v>
      </c>
      <c r="Q2042" s="1">
        <v>62</v>
      </c>
      <c r="R2042" s="1" t="str">
        <f>"فروش داخلي - سازمان بنيادمسكن انقلاب اسلامي"</f>
        <v>فروش داخلي - سازمان بنيادمسكن انقلاب اسلامي</v>
      </c>
      <c r="S2042" s="1" t="str">
        <f t="shared" si="532"/>
        <v>قرارداد فروش</v>
      </c>
      <c r="T2042" s="1" t="str">
        <f t="shared" si="533"/>
        <v>ندارد</v>
      </c>
      <c r="U2042" s="1" t="str">
        <f>"آقا علي منوچهر(1016ج89)"</f>
        <v>آقا علي منوچهر(1016ج89)</v>
      </c>
      <c r="V2042" s="1">
        <v>956200118</v>
      </c>
      <c r="W2042" s="1">
        <v>956200118</v>
      </c>
      <c r="X2042" s="1" t="str">
        <f>"1395454526"</f>
        <v>1395454526</v>
      </c>
      <c r="Y2042" s="1" t="str">
        <f>"95/10/06"</f>
        <v>95/10/06</v>
      </c>
      <c r="Z2042" s="1" t="str">
        <f>"40593/د"</f>
        <v>40593/د</v>
      </c>
      <c r="AA2042" s="1" t="str">
        <f>"بنيادمسكن انقلاب اسلامي"</f>
        <v>بنيادمسكن انقلاب اسلامي</v>
      </c>
      <c r="AB2042" s="1" t="str">
        <f>"95/09/24"</f>
        <v>95/09/24</v>
      </c>
      <c r="AC2042" s="1" t="str">
        <f>"خراسان جنوبي"</f>
        <v>خراسان جنوبي</v>
      </c>
      <c r="AD2042" s="1" t="str">
        <f>"95/10/05"</f>
        <v>95/10/05</v>
      </c>
      <c r="AE2042" s="1" t="str">
        <f t="shared" si="542"/>
        <v>اختتام</v>
      </c>
      <c r="AF2042" s="1" t="str">
        <f>""</f>
        <v/>
      </c>
      <c r="AG2042" s="1" t="str">
        <f>""</f>
        <v/>
      </c>
      <c r="AH2042" s="1" t="str">
        <f>""</f>
        <v/>
      </c>
      <c r="AI2042" s="1" t="str">
        <f>""</f>
        <v/>
      </c>
      <c r="AJ2042" s="1" t="str">
        <f>""</f>
        <v/>
      </c>
      <c r="AK2042" s="1" t="str">
        <f>""</f>
        <v/>
      </c>
    </row>
    <row r="2043" spans="1:37" x14ac:dyDescent="0.2">
      <c r="A2043" s="1">
        <v>69000</v>
      </c>
      <c r="B2043" s="1">
        <v>952000005</v>
      </c>
      <c r="C2043" s="1" t="str">
        <f>"تخليه -چهارمحال وبختياري -كارخانه آسفالت گندمكار"</f>
        <v>تخليه -چهارمحال وبختياري -كارخانه آسفالت گندمكار</v>
      </c>
      <c r="D2043" s="1">
        <v>6426</v>
      </c>
      <c r="E2043" s="1">
        <v>68420</v>
      </c>
      <c r="F2043" s="1">
        <v>95</v>
      </c>
      <c r="G2043" s="1">
        <v>580</v>
      </c>
      <c r="H2043" s="1" t="str">
        <f>"95/05/25"</f>
        <v>95/05/25</v>
      </c>
      <c r="I2043" s="1" t="str">
        <f t="shared" si="531"/>
        <v>كيلوگرم</v>
      </c>
      <c r="J2043" s="1" t="str">
        <f t="shared" si="540"/>
        <v>0000000076</v>
      </c>
      <c r="K2043" s="1" t="str">
        <f t="shared" si="541"/>
        <v>قير 60/70 - فله</v>
      </c>
      <c r="L2043" s="1">
        <v>100</v>
      </c>
      <c r="M2043" s="1" t="str">
        <f t="shared" si="534"/>
        <v>مخازن قير اصفهان</v>
      </c>
      <c r="N2043" s="1">
        <v>11158</v>
      </c>
      <c r="O2043" s="1">
        <v>50031539</v>
      </c>
      <c r="P2043" s="1" t="str">
        <f>"  شهرداري سرخون"</f>
        <v xml:space="preserve">  شهرداري سرخون</v>
      </c>
      <c r="Q2043" s="1">
        <v>20</v>
      </c>
      <c r="R2043" s="1" t="str">
        <f>"فروش داخلي - سازمان شهرداري ها و دهياري هاي كشور"</f>
        <v>فروش داخلي - سازمان شهرداري ها و دهياري هاي كشور</v>
      </c>
      <c r="S2043" s="1" t="str">
        <f t="shared" si="532"/>
        <v>قرارداد فروش</v>
      </c>
      <c r="T2043" s="1" t="str">
        <f t="shared" si="533"/>
        <v>ندارد</v>
      </c>
      <c r="U2043" s="1" t="str">
        <f>"تاج سعيد هوشنگ (1031ج 89)"</f>
        <v>تاج سعيد هوشنگ (1031ج 89)</v>
      </c>
      <c r="V2043" s="1">
        <v>952000005</v>
      </c>
      <c r="W2043" s="1">
        <v>952000005</v>
      </c>
      <c r="X2043" s="1" t="str">
        <f>"1395423680"</f>
        <v>1395423680</v>
      </c>
      <c r="Y2043" s="1" t="str">
        <f>"95/05/24"</f>
        <v>95/05/24</v>
      </c>
      <c r="Z2043" s="1" t="str">
        <f>"18290"</f>
        <v>18290</v>
      </c>
      <c r="AA2043" s="1" t="str">
        <f>"شهرداريها"</f>
        <v>شهرداريها</v>
      </c>
      <c r="AB2043" s="1" t="str">
        <f>"95/04/30"</f>
        <v>95/04/30</v>
      </c>
      <c r="AC2043" s="1" t="str">
        <f>"استان چهارمحال بختياري"</f>
        <v>استان چهارمحال بختياري</v>
      </c>
      <c r="AD2043" s="1" t="str">
        <f>"95/05/24"</f>
        <v>95/05/24</v>
      </c>
      <c r="AE2043" s="1" t="str">
        <f t="shared" si="542"/>
        <v>اختتام</v>
      </c>
      <c r="AF2043" s="1" t="str">
        <f>""</f>
        <v/>
      </c>
      <c r="AG2043" s="1" t="str">
        <f>""</f>
        <v/>
      </c>
      <c r="AH2043" s="1" t="str">
        <f>""</f>
        <v/>
      </c>
      <c r="AI2043" s="1" t="str">
        <f>""</f>
        <v/>
      </c>
      <c r="AJ2043" s="1" t="str">
        <f>""</f>
        <v/>
      </c>
      <c r="AK2043" s="1" t="str">
        <f>""</f>
        <v/>
      </c>
    </row>
    <row r="2044" spans="1:37" x14ac:dyDescent="0.2">
      <c r="A2044" s="1">
        <v>280000</v>
      </c>
      <c r="B2044" s="1">
        <v>956200070</v>
      </c>
      <c r="C2044" s="1" t="str">
        <f>"تخليه - ايلام- جاده قديم صالح آباد بالاتر از شهرک سرطاف-کارخانه آسفالت  ايلام قيرپاش"</f>
        <v>تخليه - ايلام- جاده قديم صالح آباد بالاتر از شهرک سرطاف-کارخانه آسفالت  ايلام قيرپاش</v>
      </c>
      <c r="D2044" s="1">
        <v>6876</v>
      </c>
      <c r="E2044" s="1">
        <v>279440</v>
      </c>
      <c r="F2044" s="1">
        <v>95</v>
      </c>
      <c r="G2044" s="1">
        <v>560</v>
      </c>
      <c r="H2044" s="1" t="str">
        <f>"95/06/03"</f>
        <v>95/06/03</v>
      </c>
      <c r="I2044" s="1" t="str">
        <f t="shared" si="531"/>
        <v>كيلوگرم</v>
      </c>
      <c r="J2044" s="1" t="str">
        <f t="shared" si="540"/>
        <v>0000000076</v>
      </c>
      <c r="K2044" s="1" t="str">
        <f t="shared" si="541"/>
        <v>قير 60/70 - فله</v>
      </c>
      <c r="L2044" s="1">
        <v>100</v>
      </c>
      <c r="M2044" s="1" t="str">
        <f t="shared" si="534"/>
        <v>مخازن قير اصفهان</v>
      </c>
      <c r="N2044" s="1">
        <v>11161</v>
      </c>
      <c r="O2044" s="1">
        <v>50031619</v>
      </c>
      <c r="P2044" s="1" t="str">
        <f>"  آب کاوش گستر غرب"</f>
        <v xml:space="preserve">  آب کاوش گستر غرب</v>
      </c>
      <c r="Q2044" s="1">
        <v>62</v>
      </c>
      <c r="R2044" s="1" t="str">
        <f>"فروش داخلي - سازمان بنيادمسكن انقلاب اسلامي"</f>
        <v>فروش داخلي - سازمان بنيادمسكن انقلاب اسلامي</v>
      </c>
      <c r="S2044" s="1" t="str">
        <f t="shared" si="532"/>
        <v>قرارداد فروش</v>
      </c>
      <c r="T2044" s="1" t="str">
        <f t="shared" si="533"/>
        <v>ندارد</v>
      </c>
      <c r="U2044" s="1" t="str">
        <f>"عظيمي محمد(2842015)"</f>
        <v>عظيمي محمد(2842015)</v>
      </c>
      <c r="V2044" s="1">
        <v>956200070</v>
      </c>
      <c r="W2044" s="1">
        <v>956200070</v>
      </c>
      <c r="X2044" s="1" t="str">
        <f>"1395426720"</f>
        <v>1395426720</v>
      </c>
      <c r="Y2044" s="1" t="str">
        <f>"95/06/03"</f>
        <v>95/06/03</v>
      </c>
      <c r="Z2044" s="1" t="str">
        <f>"22543/د"</f>
        <v>22543/د</v>
      </c>
      <c r="AA2044" s="1" t="str">
        <f>"بنيادمسكن انقلاب اسلامي"</f>
        <v>بنيادمسكن انقلاب اسلامي</v>
      </c>
      <c r="AB2044" s="1" t="str">
        <f>"95/06/01"</f>
        <v>95/06/01</v>
      </c>
      <c r="AC2044" s="1" t="str">
        <f>"استان ايلام"</f>
        <v>استان ايلام</v>
      </c>
      <c r="AD2044" s="1" t="str">
        <f>"95/06/03"</f>
        <v>95/06/03</v>
      </c>
      <c r="AE2044" s="1" t="str">
        <f t="shared" si="542"/>
        <v>اختتام</v>
      </c>
      <c r="AF2044" s="1" t="str">
        <f>""</f>
        <v/>
      </c>
      <c r="AG2044" s="1" t="str">
        <f>""</f>
        <v/>
      </c>
      <c r="AH2044" s="1" t="str">
        <f>""</f>
        <v/>
      </c>
      <c r="AI2044" s="1" t="str">
        <f>""</f>
        <v/>
      </c>
      <c r="AJ2044" s="1" t="str">
        <f>""</f>
        <v/>
      </c>
      <c r="AK2044" s="1" t="str">
        <f>""</f>
        <v/>
      </c>
    </row>
    <row r="2045" spans="1:37" x14ac:dyDescent="0.2">
      <c r="A2045" s="1">
        <v>80000</v>
      </c>
      <c r="B2045" s="1">
        <v>952000310</v>
      </c>
      <c r="C2045" s="1" t="str">
        <f>"تخليه اصفهان جاده سيمان سپاهان شهرك صنعتي اشترجان انتهاي خيابان 11شركت راه آژند"</f>
        <v>تخليه اصفهان جاده سيمان سپاهان شهرك صنعتي اشترجان انتهاي خيابان 11شركت راه آژند</v>
      </c>
      <c r="D2045" s="1">
        <v>9361</v>
      </c>
      <c r="E2045" s="1">
        <v>79440</v>
      </c>
      <c r="F2045" s="1">
        <v>95</v>
      </c>
      <c r="G2045" s="1">
        <v>560</v>
      </c>
      <c r="H2045" s="1" t="str">
        <f>"95/11/23"</f>
        <v>95/11/23</v>
      </c>
      <c r="I2045" s="1" t="str">
        <f t="shared" si="531"/>
        <v>كيلوگرم</v>
      </c>
      <c r="J2045" s="1" t="str">
        <f t="shared" si="540"/>
        <v>0000000076</v>
      </c>
      <c r="K2045" s="1" t="str">
        <f t="shared" si="541"/>
        <v>قير 60/70 - فله</v>
      </c>
      <c r="L2045" s="1">
        <v>100</v>
      </c>
      <c r="M2045" s="1" t="str">
        <f t="shared" si="534"/>
        <v>مخازن قير اصفهان</v>
      </c>
      <c r="N2045" s="1">
        <v>11167</v>
      </c>
      <c r="O2045" s="1">
        <v>50033667</v>
      </c>
      <c r="P2045" s="1" t="str">
        <f>"  شهرداري مجلسي"</f>
        <v xml:space="preserve">  شهرداري مجلسي</v>
      </c>
      <c r="Q2045" s="1">
        <v>20</v>
      </c>
      <c r="R2045" s="1" t="str">
        <f t="shared" ref="R2045:R2050" si="543">"فروش داخلي - سازمان شهرداري ها و دهياري هاي كشور"</f>
        <v>فروش داخلي - سازمان شهرداري ها و دهياري هاي كشور</v>
      </c>
      <c r="S2045" s="1" t="str">
        <f t="shared" si="532"/>
        <v>قرارداد فروش</v>
      </c>
      <c r="T2045" s="1" t="str">
        <f t="shared" si="533"/>
        <v>ندارد</v>
      </c>
      <c r="U2045" s="1" t="str">
        <f>"شهبازي محمدرضا(1029ج89)"</f>
        <v>شهبازي محمدرضا(1029ج89)</v>
      </c>
      <c r="V2045" s="1">
        <v>952000310</v>
      </c>
      <c r="W2045" s="1">
        <v>952000310</v>
      </c>
      <c r="X2045" s="1" t="str">
        <f>"1395464401"</f>
        <v>1395464401</v>
      </c>
      <c r="Y2045" s="1" t="str">
        <f>"95/11/23"</f>
        <v>95/11/23</v>
      </c>
      <c r="Z2045" s="1" t="str">
        <f>"43478"</f>
        <v>43478</v>
      </c>
      <c r="AA2045" s="1" t="str">
        <f t="shared" ref="AA2045:AA2050" si="544">"شهرداريها"</f>
        <v>شهرداريها</v>
      </c>
      <c r="AB2045" s="1" t="str">
        <f>"95/09/02"</f>
        <v>95/09/02</v>
      </c>
      <c r="AC2045" s="1" t="str">
        <f>"استان اصفهان"</f>
        <v>استان اصفهان</v>
      </c>
      <c r="AD2045" s="1" t="str">
        <f>"95/11/23"</f>
        <v>95/11/23</v>
      </c>
      <c r="AE2045" s="1" t="str">
        <f t="shared" si="542"/>
        <v>اختتام</v>
      </c>
      <c r="AF2045" s="1" t="str">
        <f>""</f>
        <v/>
      </c>
      <c r="AG2045" s="1" t="str">
        <f>""</f>
        <v/>
      </c>
      <c r="AH2045" s="1" t="str">
        <f>""</f>
        <v/>
      </c>
      <c r="AI2045" s="1" t="str">
        <f>""</f>
        <v/>
      </c>
      <c r="AJ2045" s="1" t="str">
        <f>""</f>
        <v/>
      </c>
      <c r="AK2045" s="1" t="str">
        <f>""</f>
        <v/>
      </c>
    </row>
    <row r="2046" spans="1:37" x14ac:dyDescent="0.2">
      <c r="A2046" s="1">
        <v>67000</v>
      </c>
      <c r="B2046" s="1">
        <v>952000192</v>
      </c>
      <c r="C2046" s="1" t="str">
        <f>"تخليه - لرستان -روستاي شهري کله دار سازمان همياري شهرداريها"</f>
        <v>تخليه - لرستان -روستاي شهري کله دار سازمان همياري شهرداريها</v>
      </c>
      <c r="D2046" s="1">
        <v>8023</v>
      </c>
      <c r="E2046" s="1">
        <v>66500</v>
      </c>
      <c r="F2046" s="1">
        <v>95</v>
      </c>
      <c r="G2046" s="1">
        <v>500</v>
      </c>
      <c r="H2046" s="1" t="str">
        <f>"95/08/15"</f>
        <v>95/08/15</v>
      </c>
      <c r="I2046" s="1" t="str">
        <f t="shared" si="531"/>
        <v>كيلوگرم</v>
      </c>
      <c r="J2046" s="1" t="str">
        <f t="shared" si="540"/>
        <v>0000000076</v>
      </c>
      <c r="K2046" s="1" t="str">
        <f t="shared" si="541"/>
        <v>قير 60/70 - فله</v>
      </c>
      <c r="L2046" s="1">
        <v>100</v>
      </c>
      <c r="M2046" s="1" t="str">
        <f t="shared" si="534"/>
        <v>مخازن قير اصفهان</v>
      </c>
      <c r="N2046" s="1">
        <v>11180</v>
      </c>
      <c r="O2046" s="1">
        <v>50032487</v>
      </c>
      <c r="P2046" s="1" t="str">
        <f>"  شهرداري بيران شهر"</f>
        <v xml:space="preserve">  شهرداري بيران شهر</v>
      </c>
      <c r="Q2046" s="1">
        <v>20</v>
      </c>
      <c r="R2046" s="1" t="str">
        <f t="shared" si="543"/>
        <v>فروش داخلي - سازمان شهرداري ها و دهياري هاي كشور</v>
      </c>
      <c r="S2046" s="1" t="str">
        <f t="shared" si="532"/>
        <v>قرارداد فروش</v>
      </c>
      <c r="T2046" s="1" t="str">
        <f t="shared" si="533"/>
        <v>ندارد</v>
      </c>
      <c r="U2046" s="1" t="str">
        <f>"رضائي كلهر حسن (1901099)"</f>
        <v>رضائي كلهر حسن (1901099)</v>
      </c>
      <c r="V2046" s="1">
        <v>952000192</v>
      </c>
      <c r="W2046" s="1">
        <v>952000192</v>
      </c>
      <c r="X2046" s="1" t="str">
        <f>"1395443199"</f>
        <v>1395443199</v>
      </c>
      <c r="Y2046" s="1" t="str">
        <f>"95/08/15"</f>
        <v>95/08/15</v>
      </c>
      <c r="Z2046" s="1" t="str">
        <f>"39481"</f>
        <v>39481</v>
      </c>
      <c r="AA2046" s="1" t="str">
        <f t="shared" si="544"/>
        <v>شهرداريها</v>
      </c>
      <c r="AB2046" s="1" t="str">
        <f>"95/08/11"</f>
        <v>95/08/11</v>
      </c>
      <c r="AC2046" s="1" t="str">
        <f>"لرستان"</f>
        <v>لرستان</v>
      </c>
      <c r="AD2046" s="1" t="str">
        <f>"95/08/15"</f>
        <v>95/08/15</v>
      </c>
      <c r="AE2046" s="1" t="str">
        <f t="shared" si="542"/>
        <v>اختتام</v>
      </c>
      <c r="AF2046" s="1" t="str">
        <f>""</f>
        <v/>
      </c>
      <c r="AG2046" s="1" t="str">
        <f>""</f>
        <v/>
      </c>
      <c r="AH2046" s="1" t="str">
        <f>""</f>
        <v/>
      </c>
      <c r="AI2046" s="1" t="str">
        <f>""</f>
        <v/>
      </c>
      <c r="AJ2046" s="1" t="str">
        <f>""</f>
        <v/>
      </c>
      <c r="AK2046" s="1" t="str">
        <f>""</f>
        <v/>
      </c>
    </row>
    <row r="2047" spans="1:37" x14ac:dyDescent="0.2">
      <c r="A2047" s="1">
        <v>71000</v>
      </c>
      <c r="B2047" s="1">
        <v>952000094</v>
      </c>
      <c r="C2047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2047" s="1">
        <v>6876</v>
      </c>
      <c r="E2047" s="1">
        <v>68500</v>
      </c>
      <c r="F2047" s="1">
        <v>95</v>
      </c>
      <c r="G2047" s="1">
        <v>2500</v>
      </c>
      <c r="H2047" s="1" t="str">
        <f>"95/06/24"</f>
        <v>95/06/24</v>
      </c>
      <c r="I2047" s="1" t="str">
        <f t="shared" si="531"/>
        <v>كيلوگرم</v>
      </c>
      <c r="J2047" s="1" t="str">
        <f t="shared" si="540"/>
        <v>0000000076</v>
      </c>
      <c r="K2047" s="1" t="str">
        <f t="shared" si="541"/>
        <v>قير 60/70 - فله</v>
      </c>
      <c r="L2047" s="1">
        <v>100</v>
      </c>
      <c r="M2047" s="1" t="str">
        <f t="shared" si="534"/>
        <v>مخازن قير اصفهان</v>
      </c>
      <c r="N2047" s="1">
        <v>11183</v>
      </c>
      <c r="O2047" s="1">
        <v>50031870</v>
      </c>
      <c r="P2047" s="1" t="str">
        <f>"  شهرداري طرق رود"</f>
        <v xml:space="preserve">  شهرداري طرق رود</v>
      </c>
      <c r="Q2047" s="1">
        <v>20</v>
      </c>
      <c r="R2047" s="1" t="str">
        <f t="shared" si="543"/>
        <v>فروش داخلي - سازمان شهرداري ها و دهياري هاي كشور</v>
      </c>
      <c r="S2047" s="1" t="str">
        <f t="shared" si="532"/>
        <v>قرارداد فروش</v>
      </c>
      <c r="T2047" s="1" t="str">
        <f t="shared" si="533"/>
        <v>ندارد</v>
      </c>
      <c r="U2047" s="1" t="str">
        <f>"عزيزي صفر(1006ج 89)"</f>
        <v>عزيزي صفر(1006ج 89)</v>
      </c>
      <c r="V2047" s="1">
        <v>952000094</v>
      </c>
      <c r="W2047" s="1">
        <v>952000094</v>
      </c>
      <c r="X2047" s="1" t="str">
        <f>"1395431908"</f>
        <v>1395431908</v>
      </c>
      <c r="Y2047" s="1" t="str">
        <f>"95/06/24"</f>
        <v>95/06/24</v>
      </c>
      <c r="Z2047" s="1" t="str">
        <f>"27852"</f>
        <v>27852</v>
      </c>
      <c r="AA2047" s="1" t="str">
        <f t="shared" si="544"/>
        <v>شهرداريها</v>
      </c>
      <c r="AB2047" s="1" t="str">
        <f>"95/06/10"</f>
        <v>95/06/10</v>
      </c>
      <c r="AC2047" s="1" t="str">
        <f>"استان اصفهان"</f>
        <v>استان اصفهان</v>
      </c>
      <c r="AD2047" s="1" t="str">
        <f>"95/06/24"</f>
        <v>95/06/24</v>
      </c>
      <c r="AE2047" s="1" t="str">
        <f t="shared" si="542"/>
        <v>اختتام</v>
      </c>
      <c r="AF2047" s="1" t="str">
        <f>""</f>
        <v/>
      </c>
      <c r="AG2047" s="1" t="str">
        <f>""</f>
        <v/>
      </c>
      <c r="AH2047" s="1" t="str">
        <f>""</f>
        <v/>
      </c>
      <c r="AI2047" s="1" t="str">
        <f>""</f>
        <v/>
      </c>
      <c r="AJ2047" s="1" t="str">
        <f>""</f>
        <v/>
      </c>
      <c r="AK2047" s="1" t="str">
        <f>""</f>
        <v/>
      </c>
    </row>
    <row r="2048" spans="1:37" x14ac:dyDescent="0.2">
      <c r="A2048" s="1">
        <v>73000</v>
      </c>
      <c r="B2048" s="1">
        <v>952000272</v>
      </c>
      <c r="C2048" s="1" t="str">
        <f>"تخليه - فريدن - شهردامنه-کارخانه آسفالت دامنه"</f>
        <v>تخليه - فريدن - شهردامنه-کارخانه آسفالت دامنه</v>
      </c>
      <c r="D2048" s="1">
        <v>7026</v>
      </c>
      <c r="E2048" s="1">
        <v>72340</v>
      </c>
      <c r="F2048" s="1">
        <v>95</v>
      </c>
      <c r="G2048" s="1">
        <v>660</v>
      </c>
      <c r="H2048" s="1" t="str">
        <f>"95/09/09"</f>
        <v>95/09/09</v>
      </c>
      <c r="I2048" s="1" t="str">
        <f t="shared" si="531"/>
        <v>كيلوگرم</v>
      </c>
      <c r="J2048" s="1" t="str">
        <f t="shared" si="540"/>
        <v>0000000076</v>
      </c>
      <c r="K2048" s="1" t="str">
        <f t="shared" si="541"/>
        <v>قير 60/70 - فله</v>
      </c>
      <c r="L2048" s="1">
        <v>100</v>
      </c>
      <c r="M2048" s="1" t="str">
        <f t="shared" si="534"/>
        <v>مخازن قير اصفهان</v>
      </c>
      <c r="N2048" s="1">
        <v>11188</v>
      </c>
      <c r="O2048" s="1">
        <v>50032747</v>
      </c>
      <c r="P2048" s="1" t="str">
        <f>"  شهرداري رزوه"</f>
        <v xml:space="preserve">  شهرداري رزوه</v>
      </c>
      <c r="Q2048" s="1">
        <v>20</v>
      </c>
      <c r="R2048" s="1" t="str">
        <f t="shared" si="543"/>
        <v>فروش داخلي - سازمان شهرداري ها و دهياري هاي كشور</v>
      </c>
      <c r="S2048" s="1" t="str">
        <f t="shared" si="532"/>
        <v>قرارداد فروش</v>
      </c>
      <c r="T2048" s="1" t="str">
        <f t="shared" si="533"/>
        <v>ندارد</v>
      </c>
      <c r="U2048" s="1" t="str">
        <f>"سيفي پور گودرز(1019ج89)"</f>
        <v>سيفي پور گودرز(1019ج89)</v>
      </c>
      <c r="V2048" s="1">
        <v>952000272</v>
      </c>
      <c r="W2048" s="1">
        <v>952000272</v>
      </c>
      <c r="X2048" s="1" t="str">
        <f>"1395447768"</f>
        <v>1395447768</v>
      </c>
      <c r="Y2048" s="1" t="str">
        <f>"95/09/09"</f>
        <v>95/09/09</v>
      </c>
      <c r="Z2048" s="1" t="str">
        <f>"43224"</f>
        <v>43224</v>
      </c>
      <c r="AA2048" s="1" t="str">
        <f t="shared" si="544"/>
        <v>شهرداريها</v>
      </c>
      <c r="AB2048" s="1" t="str">
        <f>"95/09/01"</f>
        <v>95/09/01</v>
      </c>
      <c r="AC2048" s="1" t="str">
        <f>"استان اصفهان"</f>
        <v>استان اصفهان</v>
      </c>
      <c r="AD2048" s="1" t="str">
        <f>"95/09/07"</f>
        <v>95/09/07</v>
      </c>
      <c r="AE2048" s="1" t="str">
        <f t="shared" si="542"/>
        <v>اختتام</v>
      </c>
      <c r="AF2048" s="1" t="str">
        <f>""</f>
        <v/>
      </c>
      <c r="AG2048" s="1" t="str">
        <f>""</f>
        <v/>
      </c>
      <c r="AH2048" s="1" t="str">
        <f>""</f>
        <v/>
      </c>
      <c r="AI2048" s="1" t="str">
        <f>""</f>
        <v/>
      </c>
      <c r="AJ2048" s="1" t="str">
        <f>""</f>
        <v/>
      </c>
      <c r="AK2048" s="1" t="str">
        <f>""</f>
        <v/>
      </c>
    </row>
    <row r="2049" spans="1:37" x14ac:dyDescent="0.2">
      <c r="A2049" s="1">
        <v>104000</v>
      </c>
      <c r="B2049" s="1">
        <v>952000172</v>
      </c>
      <c r="C2049" s="1" t="str">
        <f>"تخليه كهگيلويه وبويراحمد-ياسوج شهرداري مادوان"</f>
        <v>تخليه كهگيلويه وبويراحمد-ياسوج شهرداري مادوان</v>
      </c>
      <c r="D2049" s="1">
        <v>8023</v>
      </c>
      <c r="E2049" s="1">
        <v>102880</v>
      </c>
      <c r="F2049" s="1">
        <v>95</v>
      </c>
      <c r="G2049" s="1">
        <v>1120</v>
      </c>
      <c r="H2049" s="1" t="str">
        <f>"95/08/10"</f>
        <v>95/08/10</v>
      </c>
      <c r="I2049" s="1" t="str">
        <f t="shared" si="531"/>
        <v>كيلوگرم</v>
      </c>
      <c r="J2049" s="1" t="str">
        <f t="shared" si="540"/>
        <v>0000000076</v>
      </c>
      <c r="K2049" s="1" t="str">
        <f t="shared" si="541"/>
        <v>قير 60/70 - فله</v>
      </c>
      <c r="L2049" s="1">
        <v>100</v>
      </c>
      <c r="M2049" s="1" t="str">
        <f t="shared" si="534"/>
        <v>مخازن قير اصفهان</v>
      </c>
      <c r="N2049" s="1">
        <v>11207</v>
      </c>
      <c r="O2049" s="1">
        <v>50032440</v>
      </c>
      <c r="P2049" s="1" t="str">
        <f>"  شهرداري مادوان"</f>
        <v xml:space="preserve">  شهرداري مادوان</v>
      </c>
      <c r="Q2049" s="1">
        <v>20</v>
      </c>
      <c r="R2049" s="1" t="str">
        <f t="shared" si="543"/>
        <v>فروش داخلي - سازمان شهرداري ها و دهياري هاي كشور</v>
      </c>
      <c r="S2049" s="1" t="str">
        <f t="shared" si="532"/>
        <v>قرارداد فروش</v>
      </c>
      <c r="T2049" s="1" t="str">
        <f t="shared" si="533"/>
        <v>ندارد</v>
      </c>
      <c r="U2049" s="1" t="str">
        <f>"عظيمي محمد(2842015)"</f>
        <v>عظيمي محمد(2842015)</v>
      </c>
      <c r="V2049" s="1">
        <v>952000172</v>
      </c>
      <c r="W2049" s="1">
        <v>952000172</v>
      </c>
      <c r="X2049" s="1" t="str">
        <f>"1395441430"</f>
        <v>1395441430</v>
      </c>
      <c r="Y2049" s="1" t="str">
        <f>"95/08/10"</f>
        <v>95/08/10</v>
      </c>
      <c r="Z2049" s="1" t="str">
        <f>"35410"</f>
        <v>35410</v>
      </c>
      <c r="AA2049" s="1" t="str">
        <f t="shared" si="544"/>
        <v>شهرداريها</v>
      </c>
      <c r="AB2049" s="1" t="str">
        <f>"95/07/24"</f>
        <v>95/07/24</v>
      </c>
      <c r="AC2049" s="1" t="str">
        <f>"كهكيلويه و بوير احمد"</f>
        <v>كهكيلويه و بوير احمد</v>
      </c>
      <c r="AD2049" s="1" t="str">
        <f>"95/08/09"</f>
        <v>95/08/09</v>
      </c>
      <c r="AE2049" s="1" t="str">
        <f t="shared" si="542"/>
        <v>اختتام</v>
      </c>
      <c r="AF2049" s="1" t="str">
        <f>""</f>
        <v/>
      </c>
      <c r="AG2049" s="1" t="str">
        <f>""</f>
        <v/>
      </c>
      <c r="AH2049" s="1" t="str">
        <f>""</f>
        <v/>
      </c>
      <c r="AI2049" s="1" t="str">
        <f>""</f>
        <v/>
      </c>
      <c r="AJ2049" s="1" t="str">
        <f>""</f>
        <v/>
      </c>
      <c r="AK2049" s="1" t="str">
        <f>""</f>
        <v/>
      </c>
    </row>
    <row r="2050" spans="1:37" x14ac:dyDescent="0.2">
      <c r="A2050" s="1">
        <v>106000</v>
      </c>
      <c r="B2050" s="1">
        <v>952000347</v>
      </c>
      <c r="C2050" s="1" t="str">
        <f>"تخليه كهگيلويه وبويراحمد-ياسوج شهرداري مادوان"</f>
        <v>تخليه كهگيلويه وبويراحمد-ياسوج شهرداري مادوان</v>
      </c>
      <c r="D2050" s="1">
        <v>9361</v>
      </c>
      <c r="E2050" s="1">
        <v>105100</v>
      </c>
      <c r="F2050" s="1">
        <v>95</v>
      </c>
      <c r="G2050" s="1">
        <v>900</v>
      </c>
      <c r="H2050" s="1" t="str">
        <f>"95/11/24"</f>
        <v>95/11/24</v>
      </c>
      <c r="I2050" s="1" t="str">
        <f t="shared" ref="I2050:I2113" si="545">"كيلوگرم"</f>
        <v>كيلوگرم</v>
      </c>
      <c r="J2050" s="1" t="str">
        <f t="shared" si="540"/>
        <v>0000000076</v>
      </c>
      <c r="K2050" s="1" t="str">
        <f t="shared" si="541"/>
        <v>قير 60/70 - فله</v>
      </c>
      <c r="L2050" s="1">
        <v>100</v>
      </c>
      <c r="M2050" s="1" t="str">
        <f t="shared" si="534"/>
        <v>مخازن قير اصفهان</v>
      </c>
      <c r="N2050" s="1">
        <v>11207</v>
      </c>
      <c r="O2050" s="1">
        <v>50033717</v>
      </c>
      <c r="P2050" s="1" t="str">
        <f>"  شهرداري مادوان"</f>
        <v xml:space="preserve">  شهرداري مادوان</v>
      </c>
      <c r="Q2050" s="1">
        <v>20</v>
      </c>
      <c r="R2050" s="1" t="str">
        <f t="shared" si="543"/>
        <v>فروش داخلي - سازمان شهرداري ها و دهياري هاي كشور</v>
      </c>
      <c r="S2050" s="1" t="str">
        <f t="shared" ref="S2050:S2113" si="546">"قرارداد فروش"</f>
        <v>قرارداد فروش</v>
      </c>
      <c r="T2050" s="1" t="str">
        <f t="shared" ref="T2050:T2113" si="547">"ندارد"</f>
        <v>ندارد</v>
      </c>
      <c r="U2050" s="1" t="str">
        <f>"عظيمي محمد(2842015)"</f>
        <v>عظيمي محمد(2842015)</v>
      </c>
      <c r="V2050" s="1">
        <v>952000347</v>
      </c>
      <c r="W2050" s="1">
        <v>952000347</v>
      </c>
      <c r="X2050" s="1" t="str">
        <f>"1395464562"</f>
        <v>1395464562</v>
      </c>
      <c r="Y2050" s="1" t="str">
        <f>"95/11/24"</f>
        <v>95/11/24</v>
      </c>
      <c r="Z2050" s="1" t="str">
        <f>"47940"</f>
        <v>47940</v>
      </c>
      <c r="AA2050" s="1" t="str">
        <f t="shared" si="544"/>
        <v>شهرداريها</v>
      </c>
      <c r="AB2050" s="1" t="str">
        <f>"95/09/29"</f>
        <v>95/09/29</v>
      </c>
      <c r="AC2050" s="1" t="str">
        <f>"كهكيلويه و بوير احمد"</f>
        <v>كهكيلويه و بوير احمد</v>
      </c>
      <c r="AD2050" s="1" t="str">
        <f>"95/11/24"</f>
        <v>95/11/24</v>
      </c>
      <c r="AE2050" s="1" t="str">
        <f t="shared" si="542"/>
        <v>اختتام</v>
      </c>
      <c r="AF2050" s="1" t="str">
        <f>""</f>
        <v/>
      </c>
      <c r="AG2050" s="1" t="str">
        <f>""</f>
        <v/>
      </c>
      <c r="AH2050" s="1" t="str">
        <f>""</f>
        <v/>
      </c>
      <c r="AI2050" s="1" t="str">
        <f>""</f>
        <v/>
      </c>
      <c r="AJ2050" s="1" t="str">
        <f>""</f>
        <v/>
      </c>
      <c r="AK2050" s="1" t="str">
        <f>""</f>
        <v/>
      </c>
    </row>
    <row r="2051" spans="1:37" x14ac:dyDescent="0.2">
      <c r="A2051" s="1">
        <v>134000</v>
      </c>
      <c r="B2051" s="1">
        <v>956200263</v>
      </c>
      <c r="C2051" s="1" t="str">
        <f>"تخليه - خراسان رضوي-مشهد-کيلومتر 21 جاده کلات-جاده کنار جهد بتن"</f>
        <v>تخليه - خراسان رضوي-مشهد-کيلومتر 21 جاده کلات-جاده کنار جهد بتن</v>
      </c>
      <c r="D2051" s="1">
        <v>8848</v>
      </c>
      <c r="E2051" s="1">
        <v>130960</v>
      </c>
      <c r="F2051" s="1">
        <v>95</v>
      </c>
      <c r="G2051" s="1">
        <v>3040</v>
      </c>
      <c r="H2051" s="1" t="str">
        <f>"95/12/03"</f>
        <v>95/12/03</v>
      </c>
      <c r="I2051" s="1" t="str">
        <f t="shared" si="545"/>
        <v>كيلوگرم</v>
      </c>
      <c r="J2051" s="1" t="str">
        <f t="shared" si="540"/>
        <v>0000000076</v>
      </c>
      <c r="K2051" s="1" t="str">
        <f t="shared" si="541"/>
        <v>قير 60/70 - فله</v>
      </c>
      <c r="L2051" s="1">
        <v>100</v>
      </c>
      <c r="M2051" s="1" t="str">
        <f t="shared" si="534"/>
        <v>مخازن قير اصفهان</v>
      </c>
      <c r="N2051" s="1">
        <v>11222</v>
      </c>
      <c r="O2051" s="1">
        <v>50033826</v>
      </c>
      <c r="P2051" s="1" t="str">
        <f>"  مشکين راه توس"</f>
        <v xml:space="preserve">  مشکين راه توس</v>
      </c>
      <c r="Q2051" s="1">
        <v>62</v>
      </c>
      <c r="R2051" s="1" t="str">
        <f t="shared" ref="R2051:R2064" si="548">"فروش داخلي - سازمان بنيادمسكن انقلاب اسلامي"</f>
        <v>فروش داخلي - سازمان بنيادمسكن انقلاب اسلامي</v>
      </c>
      <c r="S2051" s="1" t="str">
        <f t="shared" si="546"/>
        <v>قرارداد فروش</v>
      </c>
      <c r="T2051" s="1" t="str">
        <f t="shared" si="547"/>
        <v>ندارد</v>
      </c>
      <c r="U2051" s="1" t="str">
        <f>"حسيني سيدجواد(1841076)"</f>
        <v>حسيني سيدجواد(1841076)</v>
      </c>
      <c r="V2051" s="1">
        <v>956200263</v>
      </c>
      <c r="W2051" s="1">
        <v>956200263</v>
      </c>
      <c r="X2051" s="1" t="str">
        <f>"1395466581"</f>
        <v>1395466581</v>
      </c>
      <c r="Y2051" s="1" t="str">
        <f>"95/12/03"</f>
        <v>95/12/03</v>
      </c>
      <c r="Z2051" s="1" t="str">
        <f>"52065/د"</f>
        <v>52065/د</v>
      </c>
      <c r="AA2051" s="1" t="str">
        <f t="shared" ref="AA2051:AA2064" si="549">"بنيادمسكن انقلاب اسلامي"</f>
        <v>بنيادمسكن انقلاب اسلامي</v>
      </c>
      <c r="AB2051" s="1" t="str">
        <f>"95/11/30"</f>
        <v>95/11/30</v>
      </c>
      <c r="AC2051" s="1" t="str">
        <f>"خراسان رضوي"</f>
        <v>خراسان رضوي</v>
      </c>
      <c r="AD2051" s="1" t="str">
        <f>"95/12/03"</f>
        <v>95/12/03</v>
      </c>
      <c r="AE2051" s="1" t="str">
        <f t="shared" si="542"/>
        <v>اختتام</v>
      </c>
      <c r="AF2051" s="1" t="str">
        <f>""</f>
        <v/>
      </c>
      <c r="AG2051" s="1" t="str">
        <f>""</f>
        <v/>
      </c>
      <c r="AH2051" s="1" t="str">
        <f>""</f>
        <v/>
      </c>
      <c r="AI2051" s="1" t="str">
        <f>""</f>
        <v/>
      </c>
      <c r="AJ2051" s="1" t="str">
        <f>""</f>
        <v/>
      </c>
      <c r="AK2051" s="1" t="str">
        <f>""</f>
        <v/>
      </c>
    </row>
    <row r="2052" spans="1:37" x14ac:dyDescent="0.2">
      <c r="A2052" s="1">
        <v>104000</v>
      </c>
      <c r="B2052" s="1">
        <v>956200172</v>
      </c>
      <c r="C2052" s="1" t="str">
        <f>"تخليه - اصفهان-جاده ميمه - دليجان - سه راه قرقچي - 3کيلومتري جاده ورکان-کارخانه آسفالت  شرکت ساختمان راه سپاهان"</f>
        <v>تخليه - اصفهان-جاده ميمه - دليجان - سه راه قرقچي - 3کيلومتري جاده ورکان-کارخانه آسفالت  شرکت ساختمان راه سپاهان</v>
      </c>
      <c r="D2052" s="1">
        <v>9361</v>
      </c>
      <c r="E2052" s="1">
        <v>103080</v>
      </c>
      <c r="F2052" s="1">
        <v>95</v>
      </c>
      <c r="G2052" s="1">
        <v>920</v>
      </c>
      <c r="H2052" s="1" t="str">
        <f>"95/11/04"</f>
        <v>95/11/04</v>
      </c>
      <c r="I2052" s="1" t="str">
        <f t="shared" si="545"/>
        <v>كيلوگرم</v>
      </c>
      <c r="J2052" s="1" t="str">
        <f t="shared" si="540"/>
        <v>0000000076</v>
      </c>
      <c r="K2052" s="1" t="str">
        <f t="shared" si="541"/>
        <v>قير 60/70 - فله</v>
      </c>
      <c r="L2052" s="1">
        <v>100</v>
      </c>
      <c r="M2052" s="1" t="str">
        <f t="shared" si="534"/>
        <v>مخازن قير اصفهان</v>
      </c>
      <c r="N2052" s="1">
        <v>11238</v>
      </c>
      <c r="O2052" s="1">
        <v>50033503</v>
      </c>
      <c r="P2052" s="1" t="str">
        <f>"  رهوار گسترلردگان"</f>
        <v xml:space="preserve">  رهوار گسترلردگان</v>
      </c>
      <c r="Q2052" s="1">
        <v>62</v>
      </c>
      <c r="R2052" s="1" t="str">
        <f t="shared" si="548"/>
        <v>فروش داخلي - سازمان بنيادمسكن انقلاب اسلامي</v>
      </c>
      <c r="S2052" s="1" t="str">
        <f t="shared" si="546"/>
        <v>قرارداد فروش</v>
      </c>
      <c r="T2052" s="1" t="str">
        <f t="shared" si="547"/>
        <v>ندارد</v>
      </c>
      <c r="U2052" s="1" t="str">
        <f>"شهبازي محمدرضا(1029ج89)"</f>
        <v>شهبازي محمدرضا(1029ج89)</v>
      </c>
      <c r="V2052" s="1">
        <v>956200172</v>
      </c>
      <c r="W2052" s="1">
        <v>956200172</v>
      </c>
      <c r="X2052" s="1" t="str">
        <f>"1395460248"</f>
        <v>1395460248</v>
      </c>
      <c r="Y2052" s="1" t="str">
        <f>"95/11/04"</f>
        <v>95/11/04</v>
      </c>
      <c r="Z2052" s="1" t="str">
        <f>"46356/د"</f>
        <v>46356/د</v>
      </c>
      <c r="AA2052" s="1" t="str">
        <f t="shared" si="549"/>
        <v>بنيادمسكن انقلاب اسلامي</v>
      </c>
      <c r="AB2052" s="1" t="str">
        <f>"95/10/29"</f>
        <v>95/10/29</v>
      </c>
      <c r="AC2052" s="1" t="str">
        <f>"استان اصفهان"</f>
        <v>استان اصفهان</v>
      </c>
      <c r="AD2052" s="1" t="str">
        <f>"95/11/04"</f>
        <v>95/11/04</v>
      </c>
      <c r="AE2052" s="1" t="str">
        <f t="shared" si="542"/>
        <v>اختتام</v>
      </c>
      <c r="AF2052" s="1" t="str">
        <f>""</f>
        <v/>
      </c>
      <c r="AG2052" s="1" t="str">
        <f>""</f>
        <v/>
      </c>
      <c r="AH2052" s="1" t="str">
        <f>""</f>
        <v/>
      </c>
      <c r="AI2052" s="1" t="str">
        <f>""</f>
        <v/>
      </c>
      <c r="AJ2052" s="1" t="str">
        <f>""</f>
        <v/>
      </c>
      <c r="AK2052" s="1" t="str">
        <f>""</f>
        <v/>
      </c>
    </row>
    <row r="2053" spans="1:37" x14ac:dyDescent="0.2">
      <c r="A2053" s="1">
        <v>183000</v>
      </c>
      <c r="B2053" s="1">
        <v>956200210</v>
      </c>
      <c r="C2053" s="1" t="str">
        <f>"تخليه تهران پاكدشت جاده موزاييك كارخانه شن گستران پاكدشت"</f>
        <v>تخليه تهران پاكدشت جاده موزاييك كارخانه شن گستران پاكدشت</v>
      </c>
      <c r="D2053" s="1">
        <v>9361</v>
      </c>
      <c r="E2053" s="1">
        <v>183000</v>
      </c>
      <c r="F2053" s="1">
        <v>95</v>
      </c>
      <c r="G2053" s="1">
        <v>0</v>
      </c>
      <c r="H2053" s="1" t="str">
        <f>"95/11/20"</f>
        <v>95/11/20</v>
      </c>
      <c r="I2053" s="1" t="str">
        <f t="shared" si="545"/>
        <v>كيلوگرم</v>
      </c>
      <c r="J2053" s="1" t="str">
        <f t="shared" si="540"/>
        <v>0000000076</v>
      </c>
      <c r="K2053" s="1" t="str">
        <f t="shared" si="541"/>
        <v>قير 60/70 - فله</v>
      </c>
      <c r="L2053" s="1">
        <v>100</v>
      </c>
      <c r="M2053" s="1" t="str">
        <f t="shared" si="534"/>
        <v>مخازن قير اصفهان</v>
      </c>
      <c r="N2053" s="1">
        <v>11248</v>
      </c>
      <c r="O2053" s="1">
        <v>50033645</v>
      </c>
      <c r="P2053" s="1" t="str">
        <f>"  فيدار راه ماهان"</f>
        <v xml:space="preserve">  فيدار راه ماهان</v>
      </c>
      <c r="Q2053" s="1">
        <v>62</v>
      </c>
      <c r="R2053" s="1" t="str">
        <f t="shared" si="548"/>
        <v>فروش داخلي - سازمان بنيادمسكن انقلاب اسلامي</v>
      </c>
      <c r="S2053" s="1" t="str">
        <f t="shared" si="546"/>
        <v>قرارداد فروش</v>
      </c>
      <c r="T2053" s="1" t="str">
        <f t="shared" si="547"/>
        <v>ندارد</v>
      </c>
      <c r="U2053" s="1" t="str">
        <f>"شيخي خيراله (1841012)"</f>
        <v>شيخي خيراله (1841012)</v>
      </c>
      <c r="V2053" s="1">
        <v>956200210</v>
      </c>
      <c r="W2053" s="1">
        <v>956200210</v>
      </c>
      <c r="X2053" s="1" t="str">
        <f>"1395464204"</f>
        <v>1395464204</v>
      </c>
      <c r="Y2053" s="1" t="str">
        <f>"95/11/20"</f>
        <v>95/11/20</v>
      </c>
      <c r="Z2053" s="1" t="str">
        <f>"50216/د"</f>
        <v>50216/د</v>
      </c>
      <c r="AA2053" s="1" t="str">
        <f t="shared" si="549"/>
        <v>بنيادمسكن انقلاب اسلامي</v>
      </c>
      <c r="AB2053" s="1" t="str">
        <f>"95/11/19"</f>
        <v>95/11/19</v>
      </c>
      <c r="AC2053" s="1" t="str">
        <f>"استان تهران"</f>
        <v>استان تهران</v>
      </c>
      <c r="AD2053" s="1" t="str">
        <f>"95/11/20"</f>
        <v>95/11/20</v>
      </c>
      <c r="AE2053" s="1" t="str">
        <f t="shared" si="542"/>
        <v>اختتام</v>
      </c>
      <c r="AF2053" s="1" t="str">
        <f>""</f>
        <v/>
      </c>
      <c r="AG2053" s="1" t="str">
        <f>""</f>
        <v/>
      </c>
      <c r="AH2053" s="1" t="str">
        <f>""</f>
        <v/>
      </c>
      <c r="AI2053" s="1" t="str">
        <f>""</f>
        <v/>
      </c>
      <c r="AJ2053" s="1" t="str">
        <f>""</f>
        <v/>
      </c>
      <c r="AK2053" s="1" t="str">
        <f>""</f>
        <v/>
      </c>
    </row>
    <row r="2054" spans="1:37" x14ac:dyDescent="0.2">
      <c r="A2054" s="1">
        <v>53000</v>
      </c>
      <c r="B2054" s="1">
        <v>956200211</v>
      </c>
      <c r="C2054" s="1" t="str">
        <f>"تخليه تهران پاكدشت جاده موزاييك كارخانه شن گستران پاكدشت"</f>
        <v>تخليه تهران پاكدشت جاده موزاييك كارخانه شن گستران پاكدشت</v>
      </c>
      <c r="D2054" s="1">
        <v>9361</v>
      </c>
      <c r="E2054" s="1">
        <v>53000</v>
      </c>
      <c r="F2054" s="1">
        <v>95</v>
      </c>
      <c r="G2054" s="1">
        <v>0</v>
      </c>
      <c r="H2054" s="1" t="str">
        <f>"95/11/20"</f>
        <v>95/11/20</v>
      </c>
      <c r="I2054" s="1" t="str">
        <f t="shared" si="545"/>
        <v>كيلوگرم</v>
      </c>
      <c r="J2054" s="1" t="str">
        <f t="shared" si="540"/>
        <v>0000000076</v>
      </c>
      <c r="K2054" s="1" t="str">
        <f t="shared" si="541"/>
        <v>قير 60/70 - فله</v>
      </c>
      <c r="L2054" s="1">
        <v>100</v>
      </c>
      <c r="M2054" s="1" t="str">
        <f t="shared" si="534"/>
        <v>مخازن قير اصفهان</v>
      </c>
      <c r="N2054" s="1">
        <v>11248</v>
      </c>
      <c r="O2054" s="1">
        <v>50033646</v>
      </c>
      <c r="P2054" s="1" t="str">
        <f>"  فيدار راه ماهان"</f>
        <v xml:space="preserve">  فيدار راه ماهان</v>
      </c>
      <c r="Q2054" s="1">
        <v>62</v>
      </c>
      <c r="R2054" s="1" t="str">
        <f t="shared" si="548"/>
        <v>فروش داخلي - سازمان بنيادمسكن انقلاب اسلامي</v>
      </c>
      <c r="S2054" s="1" t="str">
        <f t="shared" si="546"/>
        <v>قرارداد فروش</v>
      </c>
      <c r="T2054" s="1" t="str">
        <f t="shared" si="547"/>
        <v>ندارد</v>
      </c>
      <c r="U2054" s="1" t="str">
        <f>"شيخي خيراله (1841012)"</f>
        <v>شيخي خيراله (1841012)</v>
      </c>
      <c r="V2054" s="1">
        <v>956200211</v>
      </c>
      <c r="W2054" s="1">
        <v>956200211</v>
      </c>
      <c r="X2054" s="1" t="str">
        <f>"1395464204"</f>
        <v>1395464204</v>
      </c>
      <c r="Y2054" s="1" t="str">
        <f>"95/11/20"</f>
        <v>95/11/20</v>
      </c>
      <c r="Z2054" s="1" t="str">
        <f>"50217/د"</f>
        <v>50217/د</v>
      </c>
      <c r="AA2054" s="1" t="str">
        <f t="shared" si="549"/>
        <v>بنيادمسكن انقلاب اسلامي</v>
      </c>
      <c r="AB2054" s="1" t="str">
        <f>"95/11/19"</f>
        <v>95/11/19</v>
      </c>
      <c r="AC2054" s="1" t="str">
        <f>"استان تهران"</f>
        <v>استان تهران</v>
      </c>
      <c r="AD2054" s="1" t="str">
        <f>"95/11/20"</f>
        <v>95/11/20</v>
      </c>
      <c r="AE2054" s="1" t="str">
        <f t="shared" si="542"/>
        <v>اختتام</v>
      </c>
      <c r="AF2054" s="1" t="str">
        <f>""</f>
        <v/>
      </c>
      <c r="AG2054" s="1" t="str">
        <f>""</f>
        <v/>
      </c>
      <c r="AH2054" s="1" t="str">
        <f>""</f>
        <v/>
      </c>
      <c r="AI2054" s="1" t="str">
        <f>""</f>
        <v/>
      </c>
      <c r="AJ2054" s="1" t="str">
        <f>""</f>
        <v/>
      </c>
      <c r="AK2054" s="1" t="str">
        <f>""</f>
        <v/>
      </c>
    </row>
    <row r="2055" spans="1:37" x14ac:dyDescent="0.2">
      <c r="A2055" s="1">
        <v>51000</v>
      </c>
      <c r="B2055" s="1">
        <v>956200246</v>
      </c>
      <c r="C2055" s="1" t="str">
        <f>"تخليه تهران كهريزك درسون آبادخيابان جانبزرگي ظلع شرقي پادگان جانبزرگي كارخانه تكين راه آسيا"</f>
        <v>تخليه تهران كهريزك درسون آبادخيابان جانبزرگي ظلع شرقي پادگان جانبزرگي كارخانه تكين راه آسيا</v>
      </c>
      <c r="D2055" s="1">
        <v>9361</v>
      </c>
      <c r="E2055" s="1">
        <v>50220</v>
      </c>
      <c r="F2055" s="1">
        <v>95</v>
      </c>
      <c r="G2055" s="1">
        <v>780</v>
      </c>
      <c r="H2055" s="1" t="str">
        <f>"95/11/27"</f>
        <v>95/11/27</v>
      </c>
      <c r="I2055" s="1" t="str">
        <f t="shared" si="545"/>
        <v>كيلوگرم</v>
      </c>
      <c r="J2055" s="1" t="str">
        <f t="shared" si="540"/>
        <v>0000000076</v>
      </c>
      <c r="K2055" s="1" t="str">
        <f t="shared" si="541"/>
        <v>قير 60/70 - فله</v>
      </c>
      <c r="L2055" s="1">
        <v>100</v>
      </c>
      <c r="M2055" s="1" t="str">
        <f t="shared" si="534"/>
        <v>مخازن قير اصفهان</v>
      </c>
      <c r="N2055" s="1">
        <v>11249</v>
      </c>
      <c r="O2055" s="1">
        <v>50033779</v>
      </c>
      <c r="P2055" s="1" t="str">
        <f>"  آرياسازه نگاراطلس"</f>
        <v xml:space="preserve">  آرياسازه نگاراطلس</v>
      </c>
      <c r="Q2055" s="1">
        <v>62</v>
      </c>
      <c r="R2055" s="1" t="str">
        <f t="shared" si="548"/>
        <v>فروش داخلي - سازمان بنيادمسكن انقلاب اسلامي</v>
      </c>
      <c r="S2055" s="1" t="str">
        <f t="shared" si="546"/>
        <v>قرارداد فروش</v>
      </c>
      <c r="T2055" s="1" t="str">
        <f t="shared" si="547"/>
        <v>ندارد</v>
      </c>
      <c r="U2055" s="1" t="str">
        <f>"ولي اصلاني صداقت (1841054)"</f>
        <v>ولي اصلاني صداقت (1841054)</v>
      </c>
      <c r="V2055" s="1">
        <v>956200246</v>
      </c>
      <c r="W2055" s="1">
        <v>956200246</v>
      </c>
      <c r="X2055" s="1" t="str">
        <f>"1395465843"</f>
        <v>1395465843</v>
      </c>
      <c r="Y2055" s="1" t="str">
        <f>"95/11/27"</f>
        <v>95/11/27</v>
      </c>
      <c r="Z2055" s="1" t="str">
        <f>"51495/د"</f>
        <v>51495/د</v>
      </c>
      <c r="AA2055" s="1" t="str">
        <f t="shared" si="549"/>
        <v>بنيادمسكن انقلاب اسلامي</v>
      </c>
      <c r="AB2055" s="1" t="str">
        <f>"95/11/26"</f>
        <v>95/11/26</v>
      </c>
      <c r="AC2055" s="1" t="str">
        <f>"استان تهران"</f>
        <v>استان تهران</v>
      </c>
      <c r="AD2055" s="1" t="str">
        <f>"95/11/27"</f>
        <v>95/11/27</v>
      </c>
      <c r="AE2055" s="1" t="str">
        <f t="shared" si="542"/>
        <v>اختتام</v>
      </c>
      <c r="AF2055" s="1" t="str">
        <f>""</f>
        <v/>
      </c>
      <c r="AG2055" s="1" t="str">
        <f>""</f>
        <v/>
      </c>
      <c r="AH2055" s="1" t="str">
        <f>""</f>
        <v/>
      </c>
      <c r="AI2055" s="1" t="str">
        <f>""</f>
        <v/>
      </c>
      <c r="AJ2055" s="1" t="str">
        <f>""</f>
        <v/>
      </c>
      <c r="AK2055" s="1" t="str">
        <f>""</f>
        <v/>
      </c>
    </row>
    <row r="2056" spans="1:37" x14ac:dyDescent="0.2">
      <c r="A2056" s="1">
        <v>39000</v>
      </c>
      <c r="B2056" s="1">
        <v>956200241</v>
      </c>
      <c r="C2056" s="1" t="str">
        <f>"تخليه - تهران-جاده شهريار-ميدان معادن-خيابان روشن صنعت-کارخانه ابرراه گلستان"</f>
        <v>تخليه - تهران-جاده شهريار-ميدان معادن-خيابان روشن صنعت-کارخانه ابرراه گلستان</v>
      </c>
      <c r="D2056" s="1">
        <v>9361</v>
      </c>
      <c r="E2056" s="1">
        <v>39000</v>
      </c>
      <c r="F2056" s="1">
        <v>95</v>
      </c>
      <c r="G2056" s="1">
        <v>0</v>
      </c>
      <c r="H2056" s="1" t="str">
        <f>"95/11/26"</f>
        <v>95/11/26</v>
      </c>
      <c r="I2056" s="1" t="str">
        <f t="shared" si="545"/>
        <v>كيلوگرم</v>
      </c>
      <c r="J2056" s="1" t="str">
        <f t="shared" si="540"/>
        <v>0000000076</v>
      </c>
      <c r="K2056" s="1" t="str">
        <f t="shared" si="541"/>
        <v>قير 60/70 - فله</v>
      </c>
      <c r="L2056" s="1">
        <v>100</v>
      </c>
      <c r="M2056" s="1" t="str">
        <f t="shared" ref="M2056:M2119" si="550">"مخازن قير اصفهان"</f>
        <v>مخازن قير اصفهان</v>
      </c>
      <c r="N2056" s="1">
        <v>11258</v>
      </c>
      <c r="O2056" s="1">
        <v>50033756</v>
      </c>
      <c r="P2056" s="1" t="str">
        <f>"  زرين سازان مستحکم"</f>
        <v xml:space="preserve">  زرين سازان مستحکم</v>
      </c>
      <c r="Q2056" s="1">
        <v>62</v>
      </c>
      <c r="R2056" s="1" t="str">
        <f t="shared" si="548"/>
        <v>فروش داخلي - سازمان بنيادمسكن انقلاب اسلامي</v>
      </c>
      <c r="S2056" s="1" t="str">
        <f t="shared" si="546"/>
        <v>قرارداد فروش</v>
      </c>
      <c r="T2056" s="1" t="str">
        <f t="shared" si="547"/>
        <v>ندارد</v>
      </c>
      <c r="U2056" s="1" t="str">
        <f>"قراباغي علي اشرف(1901091)"</f>
        <v>قراباغي علي اشرف(1901091)</v>
      </c>
      <c r="V2056" s="1">
        <v>956200241</v>
      </c>
      <c r="W2056" s="1">
        <v>956200241</v>
      </c>
      <c r="X2056" s="1" t="str">
        <f>"1395465045"</f>
        <v>1395465045</v>
      </c>
      <c r="Y2056" s="1" t="str">
        <f>"95/11/26"</f>
        <v>95/11/26</v>
      </c>
      <c r="Z2056" s="1" t="str">
        <f>"51092/د"</f>
        <v>51092/د</v>
      </c>
      <c r="AA2056" s="1" t="str">
        <f t="shared" si="549"/>
        <v>بنيادمسكن انقلاب اسلامي</v>
      </c>
      <c r="AB2056" s="1" t="str">
        <f>"95/11/25"</f>
        <v>95/11/25</v>
      </c>
      <c r="AC2056" s="1" t="str">
        <f>"استان تهران"</f>
        <v>استان تهران</v>
      </c>
      <c r="AD2056" s="1" t="str">
        <f>"95/11/26"</f>
        <v>95/11/26</v>
      </c>
      <c r="AE2056" s="1" t="str">
        <f t="shared" si="542"/>
        <v>اختتام</v>
      </c>
      <c r="AF2056" s="1" t="str">
        <f>""</f>
        <v/>
      </c>
      <c r="AG2056" s="1" t="str">
        <f>""</f>
        <v/>
      </c>
      <c r="AH2056" s="1" t="str">
        <f>""</f>
        <v/>
      </c>
      <c r="AI2056" s="1" t="str">
        <f>""</f>
        <v/>
      </c>
      <c r="AJ2056" s="1" t="str">
        <f>""</f>
        <v/>
      </c>
      <c r="AK2056" s="1" t="str">
        <f>""</f>
        <v/>
      </c>
    </row>
    <row r="2057" spans="1:37" x14ac:dyDescent="0.2">
      <c r="A2057" s="1">
        <v>89000</v>
      </c>
      <c r="B2057" s="1">
        <v>956200323</v>
      </c>
      <c r="C2057" s="1" t="str">
        <f>"تخليه - تهران -پاکدشت-جمال آباد -کارخانه آبادراهان بهنام"</f>
        <v>تخليه - تهران -پاکدشت-جمال آباد -کارخانه آبادراهان بهنام</v>
      </c>
      <c r="D2057" s="1">
        <v>8848</v>
      </c>
      <c r="E2057" s="1">
        <v>89000</v>
      </c>
      <c r="F2057" s="1">
        <v>95</v>
      </c>
      <c r="G2057" s="1">
        <v>0</v>
      </c>
      <c r="H2057" s="1" t="str">
        <f>"95/12/14"</f>
        <v>95/12/14</v>
      </c>
      <c r="I2057" s="1" t="str">
        <f t="shared" si="545"/>
        <v>كيلوگرم</v>
      </c>
      <c r="J2057" s="1" t="str">
        <f t="shared" si="540"/>
        <v>0000000076</v>
      </c>
      <c r="K2057" s="1" t="str">
        <f t="shared" si="541"/>
        <v>قير 60/70 - فله</v>
      </c>
      <c r="L2057" s="1">
        <v>100</v>
      </c>
      <c r="M2057" s="1" t="str">
        <f t="shared" si="550"/>
        <v>مخازن قير اصفهان</v>
      </c>
      <c r="N2057" s="1">
        <v>11262</v>
      </c>
      <c r="O2057" s="1">
        <v>50033991</v>
      </c>
      <c r="P2057" s="1" t="str">
        <f>"  تدبير سازه پرگاس"</f>
        <v xml:space="preserve">  تدبير سازه پرگاس</v>
      </c>
      <c r="Q2057" s="1">
        <v>62</v>
      </c>
      <c r="R2057" s="1" t="str">
        <f t="shared" si="548"/>
        <v>فروش داخلي - سازمان بنيادمسكن انقلاب اسلامي</v>
      </c>
      <c r="S2057" s="1" t="str">
        <f t="shared" si="546"/>
        <v>قرارداد فروش</v>
      </c>
      <c r="T2057" s="1" t="str">
        <f t="shared" si="547"/>
        <v>ندارد</v>
      </c>
      <c r="U2057" s="1" t="str">
        <f>"حاج صادقي باقر(1841027)"</f>
        <v>حاج صادقي باقر(1841027)</v>
      </c>
      <c r="V2057" s="1">
        <v>956200323</v>
      </c>
      <c r="W2057" s="1">
        <v>956200323</v>
      </c>
      <c r="X2057" s="1" t="str">
        <f>"1395468928"</f>
        <v>1395468928</v>
      </c>
      <c r="Y2057" s="1" t="str">
        <f>"95/12/14"</f>
        <v>95/12/14</v>
      </c>
      <c r="Z2057" s="1" t="str">
        <f>"54953/د"</f>
        <v>54953/د</v>
      </c>
      <c r="AA2057" s="1" t="str">
        <f t="shared" si="549"/>
        <v>بنيادمسكن انقلاب اسلامي</v>
      </c>
      <c r="AB2057" s="1" t="str">
        <f>"95/12/14"</f>
        <v>95/12/14</v>
      </c>
      <c r="AC2057" s="1" t="str">
        <f>"استان تهران"</f>
        <v>استان تهران</v>
      </c>
      <c r="AD2057" s="1" t="str">
        <f>"95/12/14"</f>
        <v>95/12/14</v>
      </c>
      <c r="AE2057" s="1" t="str">
        <f t="shared" si="542"/>
        <v>اختتام</v>
      </c>
      <c r="AF2057" s="1" t="str">
        <f>""</f>
        <v/>
      </c>
      <c r="AG2057" s="1" t="str">
        <f>""</f>
        <v/>
      </c>
      <c r="AH2057" s="1" t="str">
        <f>""</f>
        <v/>
      </c>
      <c r="AI2057" s="1" t="str">
        <f>""</f>
        <v/>
      </c>
      <c r="AJ2057" s="1" t="str">
        <f>""</f>
        <v/>
      </c>
      <c r="AK2057" s="1" t="str">
        <f>""</f>
        <v/>
      </c>
    </row>
    <row r="2058" spans="1:37" x14ac:dyDescent="0.2">
      <c r="A2058" s="1">
        <v>100000</v>
      </c>
      <c r="B2058" s="1">
        <v>956200264</v>
      </c>
      <c r="C2058" s="1" t="str">
        <f>"تخليه - کرمان - کيلومتر 15 جاده زرند -کارخانه آسفالت نژاد حسيني"</f>
        <v>تخليه - کرمان - کيلومتر 15 جاده زرند -کارخانه آسفالت نژاد حسيني</v>
      </c>
      <c r="D2058" s="1">
        <v>8848</v>
      </c>
      <c r="E2058" s="1">
        <v>99960</v>
      </c>
      <c r="F2058" s="1">
        <v>95</v>
      </c>
      <c r="G2058" s="1">
        <v>40</v>
      </c>
      <c r="H2058" s="1" t="str">
        <f>"95/12/03"</f>
        <v>95/12/03</v>
      </c>
      <c r="I2058" s="1" t="str">
        <f t="shared" si="545"/>
        <v>كيلوگرم</v>
      </c>
      <c r="J2058" s="1" t="str">
        <f t="shared" si="540"/>
        <v>0000000076</v>
      </c>
      <c r="K2058" s="1" t="str">
        <f t="shared" si="541"/>
        <v>قير 60/70 - فله</v>
      </c>
      <c r="L2058" s="1">
        <v>100</v>
      </c>
      <c r="M2058" s="1" t="str">
        <f t="shared" si="550"/>
        <v>مخازن قير اصفهان</v>
      </c>
      <c r="N2058" s="1">
        <v>11269</v>
      </c>
      <c r="O2058" s="1">
        <v>50033828</v>
      </c>
      <c r="P2058" s="1" t="str">
        <f>"  نيارش سازه هيرمند"</f>
        <v xml:space="preserve">  نيارش سازه هيرمند</v>
      </c>
      <c r="Q2058" s="1">
        <v>62</v>
      </c>
      <c r="R2058" s="1" t="str">
        <f t="shared" si="548"/>
        <v>فروش داخلي - سازمان بنيادمسكن انقلاب اسلامي</v>
      </c>
      <c r="S2058" s="1" t="str">
        <f t="shared" si="546"/>
        <v>قرارداد فروش</v>
      </c>
      <c r="T2058" s="1" t="str">
        <f t="shared" si="547"/>
        <v>ندارد</v>
      </c>
      <c r="U2058" s="1" t="str">
        <f>"دهقانيان بيژن (4954038)"</f>
        <v>دهقانيان بيژن (4954038)</v>
      </c>
      <c r="V2058" s="1">
        <v>956200264</v>
      </c>
      <c r="W2058" s="1">
        <v>956200264</v>
      </c>
      <c r="X2058" s="1" t="str">
        <f>"1395466581"</f>
        <v>1395466581</v>
      </c>
      <c r="Y2058" s="1" t="str">
        <f>"95/12/03"</f>
        <v>95/12/03</v>
      </c>
      <c r="Z2058" s="1" t="str">
        <f>"52064/د"</f>
        <v>52064/د</v>
      </c>
      <c r="AA2058" s="1" t="str">
        <f t="shared" si="549"/>
        <v>بنيادمسكن انقلاب اسلامي</v>
      </c>
      <c r="AB2058" s="1" t="str">
        <f>"95/11/30"</f>
        <v>95/11/30</v>
      </c>
      <c r="AC2058" s="1" t="str">
        <f>"استان كرمان"</f>
        <v>استان كرمان</v>
      </c>
      <c r="AD2058" s="1" t="str">
        <f>"95/12/03"</f>
        <v>95/12/03</v>
      </c>
      <c r="AE2058" s="1" t="str">
        <f t="shared" si="542"/>
        <v>اختتام</v>
      </c>
      <c r="AF2058" s="1" t="str">
        <f>""</f>
        <v/>
      </c>
      <c r="AG2058" s="1" t="str">
        <f>""</f>
        <v/>
      </c>
      <c r="AH2058" s="1" t="str">
        <f>""</f>
        <v/>
      </c>
      <c r="AI2058" s="1" t="str">
        <f>""</f>
        <v/>
      </c>
      <c r="AJ2058" s="1" t="str">
        <f>""</f>
        <v/>
      </c>
      <c r="AK2058" s="1" t="str">
        <f>""</f>
        <v/>
      </c>
    </row>
    <row r="2059" spans="1:37" x14ac:dyDescent="0.2">
      <c r="A2059" s="1">
        <v>50000</v>
      </c>
      <c r="B2059" s="1">
        <v>956200281</v>
      </c>
      <c r="C2059" s="1" t="str">
        <f>"تخليه - تهران-پاکدشت-بعداز ميدان پارچين -انتهاي پل شش چشمه -کارخانه آسفالت تعاوني 428"</f>
        <v>تخليه - تهران-پاکدشت-بعداز ميدان پارچين -انتهاي پل شش چشمه -کارخانه آسفالت تعاوني 428</v>
      </c>
      <c r="D2059" s="1">
        <v>8848</v>
      </c>
      <c r="E2059" s="1">
        <v>50000</v>
      </c>
      <c r="F2059" s="1">
        <v>95</v>
      </c>
      <c r="G2059" s="1">
        <v>0</v>
      </c>
      <c r="H2059" s="1" t="str">
        <f>"95/12/04"</f>
        <v>95/12/04</v>
      </c>
      <c r="I2059" s="1" t="str">
        <f t="shared" si="545"/>
        <v>كيلوگرم</v>
      </c>
      <c r="J2059" s="1" t="str">
        <f t="shared" si="540"/>
        <v>0000000076</v>
      </c>
      <c r="K2059" s="1" t="str">
        <f t="shared" si="541"/>
        <v>قير 60/70 - فله</v>
      </c>
      <c r="L2059" s="1">
        <v>100</v>
      </c>
      <c r="M2059" s="1" t="str">
        <f t="shared" si="550"/>
        <v>مخازن قير اصفهان</v>
      </c>
      <c r="N2059" s="1">
        <v>11274</v>
      </c>
      <c r="O2059" s="1">
        <v>50033852</v>
      </c>
      <c r="P2059" s="1" t="str">
        <f>"  عمران راگا پرشين"</f>
        <v xml:space="preserve">  عمران راگا پرشين</v>
      </c>
      <c r="Q2059" s="1">
        <v>62</v>
      </c>
      <c r="R2059" s="1" t="str">
        <f t="shared" si="548"/>
        <v>فروش داخلي - سازمان بنيادمسكن انقلاب اسلامي</v>
      </c>
      <c r="S2059" s="1" t="str">
        <f t="shared" si="546"/>
        <v>قرارداد فروش</v>
      </c>
      <c r="T2059" s="1" t="str">
        <f t="shared" si="547"/>
        <v>ندارد</v>
      </c>
      <c r="U2059" s="1" t="str">
        <f>"بهاري مرتضي (1881070)"</f>
        <v>بهاري مرتضي (1881070)</v>
      </c>
      <c r="V2059" s="1">
        <v>956200281</v>
      </c>
      <c r="W2059" s="1">
        <v>956200281</v>
      </c>
      <c r="X2059" s="1" t="str">
        <f>"1395466581"</f>
        <v>1395466581</v>
      </c>
      <c r="Y2059" s="1" t="str">
        <f>"95/12/04"</f>
        <v>95/12/04</v>
      </c>
      <c r="Z2059" s="1" t="str">
        <f>"52155/د"</f>
        <v>52155/د</v>
      </c>
      <c r="AA2059" s="1" t="str">
        <f t="shared" si="549"/>
        <v>بنيادمسكن انقلاب اسلامي</v>
      </c>
      <c r="AB2059" s="1" t="str">
        <f>"95/12/01"</f>
        <v>95/12/01</v>
      </c>
      <c r="AC2059" s="1" t="str">
        <f>"استان تهران"</f>
        <v>استان تهران</v>
      </c>
      <c r="AD2059" s="1" t="str">
        <f>"95/12/03"</f>
        <v>95/12/03</v>
      </c>
      <c r="AE2059" s="1" t="str">
        <f t="shared" si="542"/>
        <v>اختتام</v>
      </c>
      <c r="AF2059" s="1" t="str">
        <f>""</f>
        <v/>
      </c>
      <c r="AG2059" s="1" t="str">
        <f>""</f>
        <v/>
      </c>
      <c r="AH2059" s="1" t="str">
        <f>""</f>
        <v/>
      </c>
      <c r="AI2059" s="1" t="str">
        <f>""</f>
        <v/>
      </c>
      <c r="AJ2059" s="1" t="str">
        <f>""</f>
        <v/>
      </c>
      <c r="AK2059" s="1" t="str">
        <f>""</f>
        <v/>
      </c>
    </row>
    <row r="2060" spans="1:37" x14ac:dyDescent="0.2">
      <c r="A2060" s="1">
        <v>170000</v>
      </c>
      <c r="B2060" s="1">
        <v>956200332</v>
      </c>
      <c r="C2060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2060" s="1">
        <v>8848</v>
      </c>
      <c r="E2060" s="1">
        <v>168820</v>
      </c>
      <c r="F2060" s="1">
        <v>95</v>
      </c>
      <c r="G2060" s="1">
        <v>1180</v>
      </c>
      <c r="H2060" s="1" t="str">
        <f>"95/12/15"</f>
        <v>95/12/15</v>
      </c>
      <c r="I2060" s="1" t="str">
        <f t="shared" si="545"/>
        <v>كيلوگرم</v>
      </c>
      <c r="J2060" s="1" t="str">
        <f t="shared" si="540"/>
        <v>0000000076</v>
      </c>
      <c r="K2060" s="1" t="str">
        <f t="shared" si="541"/>
        <v>قير 60/70 - فله</v>
      </c>
      <c r="L2060" s="1">
        <v>100</v>
      </c>
      <c r="M2060" s="1" t="str">
        <f t="shared" si="550"/>
        <v>مخازن قير اصفهان</v>
      </c>
      <c r="N2060" s="1">
        <v>11288</v>
      </c>
      <c r="O2060" s="1">
        <v>50034004</v>
      </c>
      <c r="P2060" s="1" t="str">
        <f>"  آسفالت گستران زنگلان"</f>
        <v xml:space="preserve">  آسفالت گستران زنگلان</v>
      </c>
      <c r="Q2060" s="1">
        <v>62</v>
      </c>
      <c r="R2060" s="1" t="str">
        <f t="shared" si="548"/>
        <v>فروش داخلي - سازمان بنيادمسكن انقلاب اسلامي</v>
      </c>
      <c r="S2060" s="1" t="str">
        <f t="shared" si="546"/>
        <v>قرارداد فروش</v>
      </c>
      <c r="T2060" s="1" t="str">
        <f t="shared" si="547"/>
        <v>ندارد</v>
      </c>
      <c r="U2060" s="1" t="str">
        <f>"دهقانيان بيژن (4954038)"</f>
        <v>دهقانيان بيژن (4954038)</v>
      </c>
      <c r="V2060" s="1">
        <v>956200332</v>
      </c>
      <c r="W2060" s="1">
        <v>956200332</v>
      </c>
      <c r="X2060" s="1" t="str">
        <f>"1395468928"</f>
        <v>1395468928</v>
      </c>
      <c r="Y2060" s="1" t="str">
        <f>"95/12/15"</f>
        <v>95/12/15</v>
      </c>
      <c r="Z2060" s="1" t="str">
        <f>"54955/د"</f>
        <v>54955/د</v>
      </c>
      <c r="AA2060" s="1" t="str">
        <f t="shared" si="549"/>
        <v>بنيادمسكن انقلاب اسلامي</v>
      </c>
      <c r="AB2060" s="1" t="str">
        <f>"95/12/14"</f>
        <v>95/12/14</v>
      </c>
      <c r="AC2060" s="1" t="str">
        <f>"استان كرمان"</f>
        <v>استان كرمان</v>
      </c>
      <c r="AD2060" s="1" t="str">
        <f>"95/12/14"</f>
        <v>95/12/14</v>
      </c>
      <c r="AE2060" s="1" t="str">
        <f t="shared" si="542"/>
        <v>اختتام</v>
      </c>
      <c r="AF2060" s="1" t="str">
        <f>""</f>
        <v/>
      </c>
      <c r="AG2060" s="1" t="str">
        <f>""</f>
        <v/>
      </c>
      <c r="AH2060" s="1" t="str">
        <f>""</f>
        <v/>
      </c>
      <c r="AI2060" s="1" t="str">
        <f>""</f>
        <v/>
      </c>
      <c r="AJ2060" s="1" t="str">
        <f>""</f>
        <v/>
      </c>
      <c r="AK2060" s="1" t="str">
        <f>""</f>
        <v/>
      </c>
    </row>
    <row r="2061" spans="1:37" x14ac:dyDescent="0.2">
      <c r="A2061" s="1">
        <v>226000</v>
      </c>
      <c r="B2061" s="1">
        <v>956200362</v>
      </c>
      <c r="C2061" s="1" t="str">
        <f>"تخليه - کرج-تهراندشت خيابان گل شکر-کارخانه آسفالت کردان"</f>
        <v>تخليه - کرج-تهراندشت خيابان گل شکر-کارخانه آسفالت کردان</v>
      </c>
      <c r="D2061" s="1">
        <v>8848</v>
      </c>
      <c r="E2061" s="1">
        <v>224640</v>
      </c>
      <c r="F2061" s="1">
        <v>95</v>
      </c>
      <c r="G2061" s="1">
        <v>1360</v>
      </c>
      <c r="H2061" s="1" t="str">
        <f>"95/12/23"</f>
        <v>95/12/23</v>
      </c>
      <c r="I2061" s="1" t="str">
        <f t="shared" si="545"/>
        <v>كيلوگرم</v>
      </c>
      <c r="J2061" s="1" t="str">
        <f t="shared" si="540"/>
        <v>0000000076</v>
      </c>
      <c r="K2061" s="1" t="str">
        <f t="shared" si="541"/>
        <v>قير 60/70 - فله</v>
      </c>
      <c r="L2061" s="1">
        <v>100</v>
      </c>
      <c r="M2061" s="1" t="str">
        <f t="shared" si="550"/>
        <v>مخازن قير اصفهان</v>
      </c>
      <c r="N2061" s="1">
        <v>11298</v>
      </c>
      <c r="O2061" s="1">
        <v>50034149</v>
      </c>
      <c r="P2061" s="1" t="str">
        <f>"  اسکان بناي مشاهير"</f>
        <v xml:space="preserve">  اسکان بناي مشاهير</v>
      </c>
      <c r="Q2061" s="1">
        <v>62</v>
      </c>
      <c r="R2061" s="1" t="str">
        <f t="shared" si="548"/>
        <v>فروش داخلي - سازمان بنيادمسكن انقلاب اسلامي</v>
      </c>
      <c r="S2061" s="1" t="str">
        <f t="shared" si="546"/>
        <v>قرارداد فروش</v>
      </c>
      <c r="T2061" s="1" t="str">
        <f t="shared" si="547"/>
        <v>ندارد</v>
      </c>
      <c r="U2061" s="1" t="str">
        <f>"بهاري مرتضي (1881070)"</f>
        <v>بهاري مرتضي (1881070)</v>
      </c>
      <c r="V2061" s="1">
        <v>956200362</v>
      </c>
      <c r="W2061" s="1">
        <v>956200362</v>
      </c>
      <c r="X2061" s="1" t="str">
        <f>"1395470439"</f>
        <v>1395470439</v>
      </c>
      <c r="Y2061" s="1" t="str">
        <f>"95/12/23"</f>
        <v>95/12/23</v>
      </c>
      <c r="Z2061" s="1" t="str">
        <f>"56752/د"</f>
        <v>56752/د</v>
      </c>
      <c r="AA2061" s="1" t="str">
        <f t="shared" si="549"/>
        <v>بنيادمسكن انقلاب اسلامي</v>
      </c>
      <c r="AB2061" s="1" t="str">
        <f>"95/12/21"</f>
        <v>95/12/21</v>
      </c>
      <c r="AC2061" s="1" t="str">
        <f>"البرز"</f>
        <v>البرز</v>
      </c>
      <c r="AD2061" s="1" t="str">
        <f>"95/12/22"</f>
        <v>95/12/22</v>
      </c>
      <c r="AE2061" s="1" t="str">
        <f t="shared" si="542"/>
        <v>اختتام</v>
      </c>
      <c r="AF2061" s="1" t="str">
        <f>""</f>
        <v/>
      </c>
      <c r="AG2061" s="1" t="str">
        <f>""</f>
        <v/>
      </c>
      <c r="AH2061" s="1" t="str">
        <f>""</f>
        <v/>
      </c>
      <c r="AI2061" s="1" t="str">
        <f>""</f>
        <v/>
      </c>
      <c r="AJ2061" s="1" t="str">
        <f>""</f>
        <v/>
      </c>
      <c r="AK2061" s="1" t="str">
        <f>""</f>
        <v/>
      </c>
    </row>
    <row r="2062" spans="1:37" x14ac:dyDescent="0.2">
      <c r="A2062" s="1">
        <v>85000</v>
      </c>
      <c r="B2062" s="1">
        <v>956200383</v>
      </c>
      <c r="C2062" s="1" t="str">
        <f>"تخليه - کرمانشاه-کيلومتر 13 جاده کرمانشاه-سراب نيلوفر-کارخانه آسفالت شرکت سازه آفرين کردستان"</f>
        <v>تخليه - کرمانشاه-کيلومتر 13 جاده کرمانشاه-سراب نيلوفر-کارخانه آسفالت شرکت سازه آفرين کردستان</v>
      </c>
      <c r="D2062" s="1">
        <v>8848</v>
      </c>
      <c r="E2062" s="1">
        <v>85000</v>
      </c>
      <c r="F2062" s="1">
        <v>95</v>
      </c>
      <c r="G2062" s="1">
        <v>0</v>
      </c>
      <c r="H2062" s="1" t="str">
        <f>"95/12/24"</f>
        <v>95/12/24</v>
      </c>
      <c r="I2062" s="1" t="str">
        <f t="shared" si="545"/>
        <v>كيلوگرم</v>
      </c>
      <c r="J2062" s="1" t="str">
        <f t="shared" si="540"/>
        <v>0000000076</v>
      </c>
      <c r="K2062" s="1" t="str">
        <f t="shared" si="541"/>
        <v>قير 60/70 - فله</v>
      </c>
      <c r="L2062" s="1">
        <v>100</v>
      </c>
      <c r="M2062" s="1" t="str">
        <f t="shared" si="550"/>
        <v>مخازن قير اصفهان</v>
      </c>
      <c r="N2062" s="1">
        <v>11303</v>
      </c>
      <c r="O2062" s="1">
        <v>50034195</v>
      </c>
      <c r="P2062" s="1" t="str">
        <f>"  برج و پل کيميا"</f>
        <v xml:space="preserve">  برج و پل کيميا</v>
      </c>
      <c r="Q2062" s="1">
        <v>62</v>
      </c>
      <c r="R2062" s="1" t="str">
        <f t="shared" si="548"/>
        <v>فروش داخلي - سازمان بنيادمسكن انقلاب اسلامي</v>
      </c>
      <c r="S2062" s="1" t="str">
        <f t="shared" si="546"/>
        <v>قرارداد فروش</v>
      </c>
      <c r="T2062" s="1" t="str">
        <f t="shared" si="547"/>
        <v>ندارد</v>
      </c>
      <c r="U2062" s="1" t="str">
        <f>"ميهن دوست عبداله(2842010)"</f>
        <v>ميهن دوست عبداله(2842010)</v>
      </c>
      <c r="V2062" s="1">
        <v>956200383</v>
      </c>
      <c r="W2062" s="1">
        <v>956200383</v>
      </c>
      <c r="X2062" s="1" t="str">
        <f>"1395470885"</f>
        <v>1395470885</v>
      </c>
      <c r="Y2062" s="1" t="str">
        <f>"95/12/24"</f>
        <v>95/12/24</v>
      </c>
      <c r="Z2062" s="1" t="str">
        <f>"57046/د"</f>
        <v>57046/د</v>
      </c>
      <c r="AA2062" s="1" t="str">
        <f t="shared" si="549"/>
        <v>بنيادمسكن انقلاب اسلامي</v>
      </c>
      <c r="AB2062" s="1" t="str">
        <f>"95/12/22"</f>
        <v>95/12/22</v>
      </c>
      <c r="AC2062" s="1" t="str">
        <f>"استان كرمانشاه"</f>
        <v>استان كرمانشاه</v>
      </c>
      <c r="AD2062" s="1" t="str">
        <f>"95/12/23"</f>
        <v>95/12/23</v>
      </c>
      <c r="AE2062" s="1" t="str">
        <f t="shared" si="542"/>
        <v>اختتام</v>
      </c>
      <c r="AF2062" s="1" t="str">
        <f>""</f>
        <v/>
      </c>
      <c r="AG2062" s="1" t="str">
        <f>""</f>
        <v/>
      </c>
      <c r="AH2062" s="1" t="str">
        <f>""</f>
        <v/>
      </c>
      <c r="AI2062" s="1" t="str">
        <f>""</f>
        <v/>
      </c>
      <c r="AJ2062" s="1" t="str">
        <f>""</f>
        <v/>
      </c>
      <c r="AK2062" s="1" t="str">
        <f>""</f>
        <v/>
      </c>
    </row>
    <row r="2063" spans="1:37" x14ac:dyDescent="0.2">
      <c r="A2063" s="1">
        <v>339000</v>
      </c>
      <c r="B2063" s="1">
        <v>956200404</v>
      </c>
      <c r="C2063" s="1" t="str">
        <f>"تخليه - کرمان-کيلومتر 15 جاده کرمان زرند-روبروي پمپ بنزين جديد احداث-کارخانه آسفالت نژاد حسين"</f>
        <v>تخليه - کرمان-کيلومتر 15 جاده کرمان زرند-روبروي پمپ بنزين جديد احداث-کارخانه آسفالت نژاد حسين</v>
      </c>
      <c r="D2063" s="1">
        <v>8848</v>
      </c>
      <c r="E2063" s="1">
        <v>338000</v>
      </c>
      <c r="F2063" s="1">
        <v>95</v>
      </c>
      <c r="G2063" s="1">
        <v>1000</v>
      </c>
      <c r="H2063" s="1" t="str">
        <f>"95/12/25"</f>
        <v>95/12/25</v>
      </c>
      <c r="I2063" s="1" t="str">
        <f t="shared" si="545"/>
        <v>كيلوگرم</v>
      </c>
      <c r="J2063" s="1" t="str">
        <f t="shared" si="540"/>
        <v>0000000076</v>
      </c>
      <c r="K2063" s="1" t="str">
        <f t="shared" si="541"/>
        <v>قير 60/70 - فله</v>
      </c>
      <c r="L2063" s="1">
        <v>100</v>
      </c>
      <c r="M2063" s="1" t="str">
        <f t="shared" si="550"/>
        <v>مخازن قير اصفهان</v>
      </c>
      <c r="N2063" s="1">
        <v>11312</v>
      </c>
      <c r="O2063" s="1">
        <v>50034252</v>
      </c>
      <c r="P2063" s="1" t="str">
        <f>"  عمران راه سازه دژکاوه مشرق زمين"</f>
        <v xml:space="preserve">  عمران راه سازه دژکاوه مشرق زمين</v>
      </c>
      <c r="Q2063" s="1">
        <v>62</v>
      </c>
      <c r="R2063" s="1" t="str">
        <f t="shared" si="548"/>
        <v>فروش داخلي - سازمان بنيادمسكن انقلاب اسلامي</v>
      </c>
      <c r="S2063" s="1" t="str">
        <f t="shared" si="546"/>
        <v>قرارداد فروش</v>
      </c>
      <c r="T2063" s="1" t="str">
        <f t="shared" si="547"/>
        <v>ندارد</v>
      </c>
      <c r="U2063" s="1" t="str">
        <f>"دهقانيان بيژن (4954038)"</f>
        <v>دهقانيان بيژن (4954038)</v>
      </c>
      <c r="V2063" s="1">
        <v>956200404</v>
      </c>
      <c r="W2063" s="1">
        <v>956200404</v>
      </c>
      <c r="X2063" s="1" t="str">
        <f>"1395470894"</f>
        <v>1395470894</v>
      </c>
      <c r="Y2063" s="1" t="str">
        <f>"95/12/25"</f>
        <v>95/12/25</v>
      </c>
      <c r="Z2063" s="1" t="str">
        <f>"56967/د"</f>
        <v>56967/د</v>
      </c>
      <c r="AA2063" s="1" t="str">
        <f t="shared" si="549"/>
        <v>بنيادمسكن انقلاب اسلامي</v>
      </c>
      <c r="AB2063" s="1" t="str">
        <f>"95/12/22"</f>
        <v>95/12/22</v>
      </c>
      <c r="AC2063" s="1" t="str">
        <f>"استان كرمان"</f>
        <v>استان كرمان</v>
      </c>
      <c r="AD2063" s="1" t="str">
        <f>"95/12/23"</f>
        <v>95/12/23</v>
      </c>
      <c r="AE2063" s="1" t="str">
        <f t="shared" si="542"/>
        <v>اختتام</v>
      </c>
      <c r="AF2063" s="1" t="str">
        <f>""</f>
        <v/>
      </c>
      <c r="AG2063" s="1" t="str">
        <f>""</f>
        <v/>
      </c>
      <c r="AH2063" s="1" t="str">
        <f>""</f>
        <v/>
      </c>
      <c r="AI2063" s="1" t="str">
        <f>""</f>
        <v/>
      </c>
      <c r="AJ2063" s="1" t="str">
        <f>""</f>
        <v/>
      </c>
      <c r="AK2063" s="1" t="str">
        <f>""</f>
        <v/>
      </c>
    </row>
    <row r="2064" spans="1:37" x14ac:dyDescent="0.2">
      <c r="A2064" s="1">
        <v>124000</v>
      </c>
      <c r="B2064" s="1">
        <v>956200430</v>
      </c>
      <c r="C2064" s="1" t="str">
        <f>"تخليه - کرمان-جيرفت-کيلومتر 22 محور جيرفت به کهنوج-کارخانه آسفالت"</f>
        <v>تخليه - کرمان-جيرفت-کيلومتر 22 محور جيرفت به کهنوج-کارخانه آسفالت</v>
      </c>
      <c r="D2064" s="1">
        <v>8848</v>
      </c>
      <c r="E2064" s="1">
        <v>122720</v>
      </c>
      <c r="F2064" s="1">
        <v>95</v>
      </c>
      <c r="G2064" s="1">
        <v>1280</v>
      </c>
      <c r="H2064" s="1" t="str">
        <f>"95/12/28"</f>
        <v>95/12/28</v>
      </c>
      <c r="I2064" s="1" t="str">
        <f t="shared" si="545"/>
        <v>كيلوگرم</v>
      </c>
      <c r="J2064" s="1" t="str">
        <f t="shared" si="540"/>
        <v>0000000076</v>
      </c>
      <c r="K2064" s="1" t="str">
        <f t="shared" si="541"/>
        <v>قير 60/70 - فله</v>
      </c>
      <c r="L2064" s="1">
        <v>100</v>
      </c>
      <c r="M2064" s="1" t="str">
        <f t="shared" si="550"/>
        <v>مخازن قير اصفهان</v>
      </c>
      <c r="N2064" s="1">
        <v>11323</v>
      </c>
      <c r="O2064" s="1">
        <v>50034319</v>
      </c>
      <c r="P2064" s="1" t="str">
        <f>"  مهرنگ راه مسيل حصار"</f>
        <v xml:space="preserve">  مهرنگ راه مسيل حصار</v>
      </c>
      <c r="Q2064" s="1">
        <v>62</v>
      </c>
      <c r="R2064" s="1" t="str">
        <f t="shared" si="548"/>
        <v>فروش داخلي - سازمان بنيادمسكن انقلاب اسلامي</v>
      </c>
      <c r="S2064" s="1" t="str">
        <f t="shared" si="546"/>
        <v>قرارداد فروش</v>
      </c>
      <c r="T2064" s="1" t="str">
        <f t="shared" si="547"/>
        <v>ندارد</v>
      </c>
      <c r="U2064" s="1" t="str">
        <f>"حاصليان ترابرجنوب مرتضي حاصلي (4844006)"</f>
        <v>حاصليان ترابرجنوب مرتضي حاصلي (4844006)</v>
      </c>
      <c r="V2064" s="1">
        <v>956200430</v>
      </c>
      <c r="W2064" s="1">
        <v>956200430</v>
      </c>
      <c r="X2064" s="1" t="str">
        <f>"1395470952"</f>
        <v>1395470952</v>
      </c>
      <c r="Y2064" s="1" t="str">
        <f>"95/12/28"</f>
        <v>95/12/28</v>
      </c>
      <c r="Z2064" s="1" t="str">
        <f>"56981/د"</f>
        <v>56981/د</v>
      </c>
      <c r="AA2064" s="1" t="str">
        <f t="shared" si="549"/>
        <v>بنيادمسكن انقلاب اسلامي</v>
      </c>
      <c r="AB2064" s="1" t="str">
        <f>"95/12/22"</f>
        <v>95/12/22</v>
      </c>
      <c r="AC2064" s="1" t="str">
        <f>"استان كرمان"</f>
        <v>استان كرمان</v>
      </c>
      <c r="AD2064" s="1" t="str">
        <f>"95/12/24"</f>
        <v>95/12/24</v>
      </c>
      <c r="AE2064" s="1" t="str">
        <f t="shared" si="542"/>
        <v>اختتام</v>
      </c>
      <c r="AF2064" s="1" t="str">
        <f>""</f>
        <v/>
      </c>
      <c r="AG2064" s="1" t="str">
        <f>""</f>
        <v/>
      </c>
      <c r="AH2064" s="1" t="str">
        <f>""</f>
        <v/>
      </c>
      <c r="AI2064" s="1" t="str">
        <f>""</f>
        <v/>
      </c>
      <c r="AJ2064" s="1" t="str">
        <f>""</f>
        <v/>
      </c>
      <c r="AK2064" s="1" t="str">
        <f>""</f>
        <v/>
      </c>
    </row>
    <row r="2065" spans="1:37" x14ac:dyDescent="0.2">
      <c r="A2065" s="1">
        <v>1000000</v>
      </c>
      <c r="B2065" s="1">
        <v>951800062</v>
      </c>
      <c r="C2065" s="1" t="str">
        <f>"تخليه -زرين شهر-تنگ بيدگان كارخانه آسفالت زرين استحكام"</f>
        <v>تخليه -زرين شهر-تنگ بيدگان كارخانه آسفالت زرين استحكام</v>
      </c>
      <c r="D2065" s="1">
        <v>7176</v>
      </c>
      <c r="E2065" s="1">
        <v>823260</v>
      </c>
      <c r="F2065" s="1">
        <v>95</v>
      </c>
      <c r="G2065" s="1">
        <v>176740</v>
      </c>
      <c r="H2065" s="1" t="str">
        <f>"95/06/08"</f>
        <v>95/06/08</v>
      </c>
      <c r="I2065" s="1" t="str">
        <f t="shared" si="545"/>
        <v>كيلوگرم</v>
      </c>
      <c r="J2065" s="1" t="str">
        <f t="shared" ref="J2065:J2081" si="551">"0000000088"</f>
        <v>0000000088</v>
      </c>
      <c r="K2065" s="1" t="str">
        <f t="shared" ref="K2065:K2081" si="552">"قير  PG58-22"</f>
        <v>قير  PG58-22</v>
      </c>
      <c r="L2065" s="1">
        <v>100</v>
      </c>
      <c r="M2065" s="1" t="str">
        <f t="shared" si="550"/>
        <v>مخازن قير اصفهان</v>
      </c>
      <c r="N2065" s="1">
        <v>1351</v>
      </c>
      <c r="O2065" s="1">
        <v>50031706</v>
      </c>
      <c r="P2065" s="1" t="str">
        <f>"  زرين استحكام"</f>
        <v xml:space="preserve">  زرين استحكام</v>
      </c>
      <c r="Q2065" s="1">
        <v>18</v>
      </c>
      <c r="R2065" s="1" t="str">
        <f>"فروش داخلي تهران - وزارت راه - شرکت ساخت و توسعه راهها"</f>
        <v>فروش داخلي تهران - وزارت راه - شرکت ساخت و توسعه راهها</v>
      </c>
      <c r="S2065" s="1" t="str">
        <f t="shared" si="546"/>
        <v>قرارداد فروش</v>
      </c>
      <c r="T2065" s="1" t="str">
        <f t="shared" si="547"/>
        <v>ندارد</v>
      </c>
      <c r="U2065" s="1" t="str">
        <f>"مظلوم فريبرز(1008ج89)"</f>
        <v>مظلوم فريبرز(1008ج89)</v>
      </c>
      <c r="V2065" s="1">
        <v>951800062</v>
      </c>
      <c r="W2065" s="1">
        <v>951800062</v>
      </c>
      <c r="X2065" s="1" t="str">
        <f>"1395427142"</f>
        <v>1395427142</v>
      </c>
      <c r="Y2065" s="1" t="str">
        <f>"95/06/08"</f>
        <v>95/06/08</v>
      </c>
      <c r="Z2065" s="1" t="str">
        <f>"25628/510"</f>
        <v>25628/510</v>
      </c>
      <c r="AA2065" s="1" t="str">
        <f>"شركت  ساخت وتوسعه راهها"</f>
        <v>شركت  ساخت وتوسعه راهها</v>
      </c>
      <c r="AB2065" s="1" t="str">
        <f>"95/06/02"</f>
        <v>95/06/02</v>
      </c>
      <c r="AC2065" s="1" t="str">
        <f t="shared" ref="AC2065:AC2073" si="553">"استان چهارمحال بختياري"</f>
        <v>استان چهارمحال بختياري</v>
      </c>
      <c r="AD2065" s="1" t="str">
        <f>"95/06/07"</f>
        <v>95/06/07</v>
      </c>
      <c r="AE2065" s="1" t="str">
        <f t="shared" si="542"/>
        <v>اختتام</v>
      </c>
      <c r="AF2065" s="1" t="str">
        <f>""</f>
        <v/>
      </c>
      <c r="AG2065" s="1" t="str">
        <f>""</f>
        <v/>
      </c>
      <c r="AH2065" s="1" t="str">
        <f>""</f>
        <v/>
      </c>
      <c r="AI2065" s="1" t="str">
        <f>""</f>
        <v/>
      </c>
      <c r="AJ2065" s="1" t="str">
        <f>""</f>
        <v/>
      </c>
      <c r="AK2065" s="1" t="str">
        <f>""</f>
        <v/>
      </c>
    </row>
    <row r="2066" spans="1:37" x14ac:dyDescent="0.2">
      <c r="A2066" s="1">
        <v>176740</v>
      </c>
      <c r="B2066" s="1">
        <v>951800087</v>
      </c>
      <c r="C2066" s="1" t="str">
        <f>"تخليه -زرين شهر-تنگ بيدگان كارخانه آسفالت زرين استحكام"</f>
        <v>تخليه -زرين شهر-تنگ بيدگان كارخانه آسفالت زرين استحكام</v>
      </c>
      <c r="D2066" s="1">
        <v>8323</v>
      </c>
      <c r="E2066" s="1">
        <v>175960</v>
      </c>
      <c r="F2066" s="1">
        <v>95</v>
      </c>
      <c r="G2066" s="1">
        <v>780</v>
      </c>
      <c r="H2066" s="1" t="str">
        <f>"95/08/08"</f>
        <v>95/08/08</v>
      </c>
      <c r="I2066" s="1" t="str">
        <f t="shared" si="545"/>
        <v>كيلوگرم</v>
      </c>
      <c r="J2066" s="1" t="str">
        <f t="shared" si="551"/>
        <v>0000000088</v>
      </c>
      <c r="K2066" s="1" t="str">
        <f t="shared" si="552"/>
        <v>قير  PG58-22</v>
      </c>
      <c r="L2066" s="1">
        <v>100</v>
      </c>
      <c r="M2066" s="1" t="str">
        <f t="shared" si="550"/>
        <v>مخازن قير اصفهان</v>
      </c>
      <c r="N2066" s="1">
        <v>1351</v>
      </c>
      <c r="O2066" s="1">
        <v>50032331</v>
      </c>
      <c r="P2066" s="1" t="str">
        <f>"  زرين استحكام"</f>
        <v xml:space="preserve">  زرين استحكام</v>
      </c>
      <c r="Q2066" s="1">
        <v>18</v>
      </c>
      <c r="R2066" s="1" t="str">
        <f>"فروش داخلي تهران - وزارت راه - شرکت ساخت و توسعه راهها"</f>
        <v>فروش داخلي تهران - وزارت راه - شرکت ساخت و توسعه راهها</v>
      </c>
      <c r="S2066" s="1" t="str">
        <f t="shared" si="546"/>
        <v>قرارداد فروش</v>
      </c>
      <c r="T2066" s="1" t="str">
        <f t="shared" si="547"/>
        <v>ندارد</v>
      </c>
      <c r="U2066" s="1" t="str">
        <f>"مظلوم فريبرز(1008ج89)"</f>
        <v>مظلوم فريبرز(1008ج89)</v>
      </c>
      <c r="V2066" s="1">
        <v>951800087</v>
      </c>
      <c r="W2066" s="1">
        <v>951800087</v>
      </c>
      <c r="X2066" s="1" t="str">
        <f>"1395427142"</f>
        <v>1395427142</v>
      </c>
      <c r="Y2066" s="1" t="str">
        <f>"95/08/08"</f>
        <v>95/08/08</v>
      </c>
      <c r="Z2066" s="1" t="str">
        <f>"25628/510"</f>
        <v>25628/510</v>
      </c>
      <c r="AA2066" s="1" t="str">
        <f>"شركت  ساخت وتوسعه راهها"</f>
        <v>شركت  ساخت وتوسعه راهها</v>
      </c>
      <c r="AB2066" s="1" t="str">
        <f>"95/06/02"</f>
        <v>95/06/02</v>
      </c>
      <c r="AC2066" s="1" t="str">
        <f t="shared" si="553"/>
        <v>استان چهارمحال بختياري</v>
      </c>
      <c r="AD2066" s="1" t="str">
        <f>"95/06/07"</f>
        <v>95/06/07</v>
      </c>
      <c r="AE2066" s="1" t="str">
        <f t="shared" si="542"/>
        <v>اختتام</v>
      </c>
      <c r="AF2066" s="1" t="str">
        <f>""</f>
        <v/>
      </c>
      <c r="AG2066" s="1" t="str">
        <f>""</f>
        <v/>
      </c>
      <c r="AH2066" s="1" t="str">
        <f>""</f>
        <v/>
      </c>
      <c r="AI2066" s="1" t="str">
        <f>""</f>
        <v/>
      </c>
      <c r="AJ2066" s="1" t="str">
        <f>""</f>
        <v/>
      </c>
      <c r="AK2066" s="1" t="str">
        <f>""</f>
        <v/>
      </c>
    </row>
    <row r="2067" spans="1:37" x14ac:dyDescent="0.2">
      <c r="A2067" s="1">
        <v>500000</v>
      </c>
      <c r="B2067" s="1">
        <v>951100143</v>
      </c>
      <c r="C2067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2067" s="1">
        <v>9273</v>
      </c>
      <c r="E2067" s="1">
        <v>499600</v>
      </c>
      <c r="F2067" s="1">
        <v>95</v>
      </c>
      <c r="G2067" s="1">
        <v>400</v>
      </c>
      <c r="H2067" s="1" t="str">
        <f>"95/08/22"</f>
        <v>95/08/22</v>
      </c>
      <c r="I2067" s="1" t="str">
        <f t="shared" si="545"/>
        <v>كيلوگرم</v>
      </c>
      <c r="J2067" s="1" t="str">
        <f t="shared" si="551"/>
        <v>0000000088</v>
      </c>
      <c r="K2067" s="1" t="str">
        <f t="shared" si="552"/>
        <v>قير  PG58-22</v>
      </c>
      <c r="L2067" s="1">
        <v>100</v>
      </c>
      <c r="M2067" s="1" t="str">
        <f t="shared" si="550"/>
        <v>مخازن قير اصفهان</v>
      </c>
      <c r="N2067" s="1">
        <v>7047</v>
      </c>
      <c r="O2067" s="1">
        <v>50032584</v>
      </c>
      <c r="P2067" s="1" t="str">
        <f>"  شهرداري شهركرد"</f>
        <v xml:space="preserve">  شهرداري شهركرد</v>
      </c>
      <c r="Q2067" s="1">
        <v>11</v>
      </c>
      <c r="R2067" s="1" t="str">
        <f>"فروش داخلي تهران - بورس"</f>
        <v>فروش داخلي تهران - بورس</v>
      </c>
      <c r="S2067" s="1" t="str">
        <f t="shared" si="546"/>
        <v>قرارداد فروش</v>
      </c>
      <c r="T2067" s="1" t="str">
        <f t="shared" si="547"/>
        <v>ندارد</v>
      </c>
      <c r="U2067" s="1" t="str">
        <f>"مظلوم فريبرز(1008ج89)"</f>
        <v>مظلوم فريبرز(1008ج89)</v>
      </c>
      <c r="V2067" s="1">
        <v>951100143</v>
      </c>
      <c r="W2067" s="1">
        <v>951100143</v>
      </c>
      <c r="X2067" s="1" t="str">
        <f>"1395443316"</f>
        <v>1395443316</v>
      </c>
      <c r="Y2067" s="1" t="str">
        <f>"95/08/19"</f>
        <v>95/08/19</v>
      </c>
      <c r="Z2067" s="1" t="str">
        <f>"95-34800"</f>
        <v>95-34800</v>
      </c>
      <c r="AA2067" s="1" t="str">
        <f>"شهرداريها"</f>
        <v>شهرداريها</v>
      </c>
      <c r="AB2067" s="1" t="str">
        <f>"95/08/19"</f>
        <v>95/08/19</v>
      </c>
      <c r="AC2067" s="1" t="str">
        <f t="shared" si="553"/>
        <v>استان چهارمحال بختياري</v>
      </c>
      <c r="AD2067" s="1" t="str">
        <f>"95/08/16"</f>
        <v>95/08/16</v>
      </c>
      <c r="AE2067" s="1" t="str">
        <f t="shared" si="542"/>
        <v>اختتام</v>
      </c>
      <c r="AF2067" s="1" t="str">
        <f>""</f>
        <v/>
      </c>
      <c r="AG2067" s="1" t="str">
        <f>""</f>
        <v/>
      </c>
      <c r="AH2067" s="1" t="str">
        <f>""</f>
        <v/>
      </c>
      <c r="AI2067" s="1" t="str">
        <f>""</f>
        <v/>
      </c>
      <c r="AJ2067" s="1" t="str">
        <f>""</f>
        <v/>
      </c>
      <c r="AK2067" s="1" t="str">
        <f>""</f>
        <v/>
      </c>
    </row>
    <row r="2068" spans="1:37" x14ac:dyDescent="0.2">
      <c r="A2068" s="1">
        <v>300000</v>
      </c>
      <c r="B2068" s="1">
        <v>951900196</v>
      </c>
      <c r="C2068" s="1" t="str">
        <f>"تخليه -چهارمحال وبختياري -جاده مباركه -بروجن بعدازشهرمجلسي -معدن قميشلو-شركت تك شن"</f>
        <v>تخليه -چهارمحال وبختياري -جاده مباركه -بروجن بعدازشهرمجلسي -معدن قميشلو-شركت تك شن</v>
      </c>
      <c r="D2068" s="1">
        <v>8323</v>
      </c>
      <c r="E2068" s="1">
        <v>298800</v>
      </c>
      <c r="F2068" s="1">
        <v>95</v>
      </c>
      <c r="G2068" s="1">
        <v>1200</v>
      </c>
      <c r="H2068" s="1" t="str">
        <f>"95/08/26"</f>
        <v>95/08/26</v>
      </c>
      <c r="I2068" s="1" t="str">
        <f t="shared" si="545"/>
        <v>كيلوگرم</v>
      </c>
      <c r="J2068" s="1" t="str">
        <f t="shared" si="551"/>
        <v>0000000088</v>
      </c>
      <c r="K2068" s="1" t="str">
        <f t="shared" si="552"/>
        <v>قير  PG58-22</v>
      </c>
      <c r="L2068" s="1">
        <v>100</v>
      </c>
      <c r="M2068" s="1" t="str">
        <f t="shared" si="550"/>
        <v>مخازن قير اصفهان</v>
      </c>
      <c r="N2068" s="1">
        <v>7072</v>
      </c>
      <c r="O2068" s="1">
        <v>50032620</v>
      </c>
      <c r="P2068" s="1" t="str">
        <f>"  آسفالت تك شن"</f>
        <v xml:space="preserve">  آسفالت تك شن</v>
      </c>
      <c r="Q2068" s="1">
        <v>19</v>
      </c>
      <c r="R206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68" s="1" t="str">
        <f t="shared" si="546"/>
        <v>قرارداد فروش</v>
      </c>
      <c r="T2068" s="1" t="str">
        <f t="shared" si="547"/>
        <v>ندارد</v>
      </c>
      <c r="U2068" s="1" t="str">
        <f t="shared" ref="U2068:U2073" si="554">"قره باغي مجيد(1871065)"</f>
        <v>قره باغي مجيد(1871065)</v>
      </c>
      <c r="V2068" s="1">
        <v>951900196</v>
      </c>
      <c r="W2068" s="1">
        <v>951900196</v>
      </c>
      <c r="X2068" s="1" t="str">
        <f>"1395446082"</f>
        <v>1395446082</v>
      </c>
      <c r="Y2068" s="1" t="str">
        <f>"95/08/26"</f>
        <v>95/08/26</v>
      </c>
      <c r="Z2068" s="1" t="str">
        <f>"39758/710"</f>
        <v>39758/710</v>
      </c>
      <c r="AA2068" s="1" t="str">
        <f>"سازمان راهداري وحمل نقل جاده اي"</f>
        <v>سازمان راهداري وحمل نقل جاده اي</v>
      </c>
      <c r="AB2068" s="1" t="str">
        <f>"95/08/15"</f>
        <v>95/08/15</v>
      </c>
      <c r="AC2068" s="1" t="str">
        <f t="shared" si="553"/>
        <v>استان چهارمحال بختياري</v>
      </c>
      <c r="AD2068" s="1" t="str">
        <f>"95/08/26"</f>
        <v>95/08/26</v>
      </c>
      <c r="AE2068" s="1" t="str">
        <f t="shared" ref="AE2068:AE2099" si="555">"اختتام"</f>
        <v>اختتام</v>
      </c>
      <c r="AF2068" s="1" t="str">
        <f>""</f>
        <v/>
      </c>
      <c r="AG2068" s="1" t="str">
        <f>""</f>
        <v/>
      </c>
      <c r="AH2068" s="1" t="str">
        <f>""</f>
        <v/>
      </c>
      <c r="AI2068" s="1" t="str">
        <f>""</f>
        <v/>
      </c>
      <c r="AJ2068" s="1" t="str">
        <f>""</f>
        <v/>
      </c>
      <c r="AK2068" s="1" t="str">
        <f>""</f>
        <v/>
      </c>
    </row>
    <row r="2069" spans="1:37" x14ac:dyDescent="0.2">
      <c r="A2069" s="1">
        <v>24000</v>
      </c>
      <c r="B2069" s="1">
        <v>951700059</v>
      </c>
      <c r="C2069" s="1" t="str">
        <f>"لردگان محورلردگان -خانميرزاروستاي سلح چين -كارخانه آسفالت كوثر"</f>
        <v>لردگان محورلردگان -خانميرزاروستاي سلح چين -كارخانه آسفالت كوثر</v>
      </c>
      <c r="D2069" s="1">
        <v>6250</v>
      </c>
      <c r="E2069" s="1">
        <v>24000</v>
      </c>
      <c r="F2069" s="1">
        <v>95</v>
      </c>
      <c r="G2069" s="1">
        <v>0</v>
      </c>
      <c r="H2069" s="1" t="str">
        <f>"95/04/06"</f>
        <v>95/04/06</v>
      </c>
      <c r="I2069" s="1" t="str">
        <f t="shared" si="545"/>
        <v>كيلوگرم</v>
      </c>
      <c r="J2069" s="1" t="str">
        <f t="shared" si="551"/>
        <v>0000000088</v>
      </c>
      <c r="K2069" s="1" t="str">
        <f t="shared" si="552"/>
        <v>قير  PG58-22</v>
      </c>
      <c r="L2069" s="1">
        <v>100</v>
      </c>
      <c r="M2069" s="1" t="str">
        <f t="shared" si="550"/>
        <v>مخازن قير اصفهان</v>
      </c>
      <c r="N2069" s="1">
        <v>7190</v>
      </c>
      <c r="O2069" s="1">
        <v>50031125</v>
      </c>
      <c r="P2069" s="1" t="str">
        <f>"  اداره كل راه و شهرسازي چهارمحال وبختياري"</f>
        <v xml:space="preserve">  اداره كل راه و شهرسازي چهارمحال وبختياري</v>
      </c>
      <c r="Q2069" s="1">
        <v>17</v>
      </c>
      <c r="R2069" s="1" t="str">
        <f>"فروش داخلي تهران - وزارت راه - راه روستايي - روکش"</f>
        <v>فروش داخلي تهران - وزارت راه - راه روستايي - روکش</v>
      </c>
      <c r="S2069" s="1" t="str">
        <f t="shared" si="546"/>
        <v>قرارداد فروش</v>
      </c>
      <c r="T2069" s="1" t="str">
        <f t="shared" si="547"/>
        <v>ندارد</v>
      </c>
      <c r="U2069" s="1" t="str">
        <f t="shared" si="554"/>
        <v>قره باغي مجيد(1871065)</v>
      </c>
      <c r="V2069" s="1">
        <v>951700059</v>
      </c>
      <c r="W2069" s="1">
        <v>951700059</v>
      </c>
      <c r="X2069" s="1" t="str">
        <f>"1395411204"</f>
        <v>1395411204</v>
      </c>
      <c r="Y2069" s="1" t="str">
        <f>"95/04/06"</f>
        <v>95/04/06</v>
      </c>
      <c r="Z2069" s="1" t="str">
        <f>"13376/510"</f>
        <v>13376/510</v>
      </c>
      <c r="AA2069" s="1" t="str">
        <f>"راه روستائي -روكش"</f>
        <v>راه روستائي -روكش</v>
      </c>
      <c r="AB2069" s="1" t="str">
        <f>"95/03/31"</f>
        <v>95/03/31</v>
      </c>
      <c r="AC2069" s="1" t="str">
        <f t="shared" si="553"/>
        <v>استان چهارمحال بختياري</v>
      </c>
      <c r="AD2069" s="1" t="str">
        <f>"95/04/05"</f>
        <v>95/04/05</v>
      </c>
      <c r="AE2069" s="1" t="str">
        <f t="shared" si="555"/>
        <v>اختتام</v>
      </c>
      <c r="AF2069" s="1" t="str">
        <f>""</f>
        <v/>
      </c>
      <c r="AG2069" s="1" t="str">
        <f>""</f>
        <v/>
      </c>
      <c r="AH2069" s="1" t="str">
        <f>""</f>
        <v/>
      </c>
      <c r="AI2069" s="1" t="str">
        <f>""</f>
        <v/>
      </c>
      <c r="AJ2069" s="1" t="str">
        <f>""</f>
        <v/>
      </c>
      <c r="AK2069" s="1" t="str">
        <f>""</f>
        <v/>
      </c>
    </row>
    <row r="2070" spans="1:37" x14ac:dyDescent="0.2">
      <c r="A2070" s="1">
        <v>96000</v>
      </c>
      <c r="B2070" s="1">
        <v>951700321</v>
      </c>
      <c r="C2070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2070" s="1">
        <v>8998</v>
      </c>
      <c r="E2070" s="1">
        <v>96000</v>
      </c>
      <c r="F2070" s="1">
        <v>95</v>
      </c>
      <c r="G2070" s="1">
        <v>0</v>
      </c>
      <c r="H2070" s="1" t="str">
        <f>"95/11/05"</f>
        <v>95/11/05</v>
      </c>
      <c r="I2070" s="1" t="str">
        <f t="shared" si="545"/>
        <v>كيلوگرم</v>
      </c>
      <c r="J2070" s="1" t="str">
        <f t="shared" si="551"/>
        <v>0000000088</v>
      </c>
      <c r="K2070" s="1" t="str">
        <f t="shared" si="552"/>
        <v>قير  PG58-22</v>
      </c>
      <c r="L2070" s="1">
        <v>100</v>
      </c>
      <c r="M2070" s="1" t="str">
        <f t="shared" si="550"/>
        <v>مخازن قير اصفهان</v>
      </c>
      <c r="N2070" s="1">
        <v>7190</v>
      </c>
      <c r="O2070" s="1">
        <v>50033519</v>
      </c>
      <c r="P2070" s="1" t="str">
        <f>"  اداره كل راه و شهرسازي چهارمحال وبختياري"</f>
        <v xml:space="preserve">  اداره كل راه و شهرسازي چهارمحال وبختياري</v>
      </c>
      <c r="Q2070" s="1">
        <v>17</v>
      </c>
      <c r="R2070" s="1" t="str">
        <f>"فروش داخلي تهران - وزارت راه - راه روستايي - روکش"</f>
        <v>فروش داخلي تهران - وزارت راه - راه روستايي - روکش</v>
      </c>
      <c r="S2070" s="1" t="str">
        <f t="shared" si="546"/>
        <v>قرارداد فروش</v>
      </c>
      <c r="T2070" s="1" t="str">
        <f t="shared" si="547"/>
        <v>ندارد</v>
      </c>
      <c r="U2070" s="1" t="str">
        <f t="shared" si="554"/>
        <v>قره باغي مجيد(1871065)</v>
      </c>
      <c r="V2070" s="1">
        <v>951700321</v>
      </c>
      <c r="W2070" s="1">
        <v>951700321</v>
      </c>
      <c r="X2070" s="1" t="str">
        <f>"1395460247"</f>
        <v>1395460247</v>
      </c>
      <c r="Y2070" s="1" t="str">
        <f>"95/11/04"</f>
        <v>95/11/04</v>
      </c>
      <c r="Z2070" s="1" t="str">
        <f>"52197/710"</f>
        <v>52197/710</v>
      </c>
      <c r="AA2070" s="1" t="str">
        <f>"راه روستائي -روكش"</f>
        <v>راه روستائي -روكش</v>
      </c>
      <c r="AB2070" s="1" t="str">
        <f>"95/10/22"</f>
        <v>95/10/22</v>
      </c>
      <c r="AC2070" s="1" t="str">
        <f t="shared" si="553"/>
        <v>استان چهارمحال بختياري</v>
      </c>
      <c r="AD2070" s="1" t="str">
        <f>"95/11/04"</f>
        <v>95/11/04</v>
      </c>
      <c r="AE2070" s="1" t="str">
        <f t="shared" si="555"/>
        <v>اختتام</v>
      </c>
      <c r="AF2070" s="1" t="str">
        <f>""</f>
        <v/>
      </c>
      <c r="AG2070" s="1" t="str">
        <f>""</f>
        <v/>
      </c>
      <c r="AH2070" s="1" t="str">
        <f>""</f>
        <v/>
      </c>
      <c r="AI2070" s="1" t="str">
        <f>""</f>
        <v/>
      </c>
      <c r="AJ2070" s="1" t="str">
        <f>""</f>
        <v/>
      </c>
      <c r="AK2070" s="1" t="str">
        <f>""</f>
        <v/>
      </c>
    </row>
    <row r="2071" spans="1:37" x14ac:dyDescent="0.2">
      <c r="A2071" s="1">
        <v>500000</v>
      </c>
      <c r="B2071" s="1">
        <v>951600047</v>
      </c>
      <c r="C2071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2071" s="1">
        <v>8323</v>
      </c>
      <c r="E2071" s="1">
        <v>499340</v>
      </c>
      <c r="F2071" s="1">
        <v>95</v>
      </c>
      <c r="G2071" s="1">
        <v>660</v>
      </c>
      <c r="H2071" s="1" t="str">
        <f>"95/08/11"</f>
        <v>95/08/11</v>
      </c>
      <c r="I2071" s="1" t="str">
        <f t="shared" si="545"/>
        <v>كيلوگرم</v>
      </c>
      <c r="J2071" s="1" t="str">
        <f t="shared" si="551"/>
        <v>0000000088</v>
      </c>
      <c r="K2071" s="1" t="str">
        <f t="shared" si="552"/>
        <v>قير  PG58-22</v>
      </c>
      <c r="L2071" s="1">
        <v>100</v>
      </c>
      <c r="M2071" s="1" t="str">
        <f t="shared" si="550"/>
        <v>مخازن قير اصفهان</v>
      </c>
      <c r="N2071" s="1">
        <v>9777</v>
      </c>
      <c r="O2071" s="1">
        <v>50032467</v>
      </c>
      <c r="P2071" s="1" t="str">
        <f>"  كاويان سازان كوهستان"</f>
        <v xml:space="preserve">  كاويان سازان كوهستان</v>
      </c>
      <c r="Q2071" s="1">
        <v>16</v>
      </c>
      <c r="R2071" s="1" t="str">
        <f>"فروش داخلي تهران - وزارت راه - معاونت اقتصاد"</f>
        <v>فروش داخلي تهران - وزارت راه - معاونت اقتصاد</v>
      </c>
      <c r="S2071" s="1" t="str">
        <f t="shared" si="546"/>
        <v>قرارداد فروش</v>
      </c>
      <c r="T2071" s="1" t="str">
        <f t="shared" si="547"/>
        <v>ندارد</v>
      </c>
      <c r="U2071" s="1" t="str">
        <f t="shared" si="554"/>
        <v>قره باغي مجيد(1871065)</v>
      </c>
      <c r="V2071" s="1">
        <v>951600047</v>
      </c>
      <c r="W2071" s="1">
        <v>951600047</v>
      </c>
      <c r="X2071" s="1" t="str">
        <f>"1395441875"</f>
        <v>1395441875</v>
      </c>
      <c r="Y2071" s="1" t="str">
        <f>"95/08/11"</f>
        <v>95/08/11</v>
      </c>
      <c r="Z2071" s="1" t="str">
        <f>"38469/710"</f>
        <v>38469/710</v>
      </c>
      <c r="AA2071" s="1" t="str">
        <f>"معاونت اقتصادوزارت راه وشهرسازي"</f>
        <v>معاونت اقتصادوزارت راه وشهرسازي</v>
      </c>
      <c r="AB2071" s="1" t="str">
        <f>"95/08/10"</f>
        <v>95/08/10</v>
      </c>
      <c r="AC2071" s="1" t="str">
        <f t="shared" si="553"/>
        <v>استان چهارمحال بختياري</v>
      </c>
      <c r="AD2071" s="1" t="str">
        <f>"95/08/11"</f>
        <v>95/08/11</v>
      </c>
      <c r="AE2071" s="1" t="str">
        <f t="shared" si="555"/>
        <v>اختتام</v>
      </c>
      <c r="AF2071" s="1" t="str">
        <f>""</f>
        <v/>
      </c>
      <c r="AG2071" s="1" t="str">
        <f>""</f>
        <v/>
      </c>
      <c r="AH2071" s="1" t="str">
        <f>""</f>
        <v/>
      </c>
      <c r="AI2071" s="1" t="str">
        <f>""</f>
        <v/>
      </c>
      <c r="AJ2071" s="1" t="str">
        <f>""</f>
        <v/>
      </c>
      <c r="AK2071" s="1" t="str">
        <f>""</f>
        <v/>
      </c>
    </row>
    <row r="2072" spans="1:37" x14ac:dyDescent="0.2">
      <c r="A2072" s="1">
        <v>430000</v>
      </c>
      <c r="B2072" s="1">
        <v>951000005</v>
      </c>
      <c r="C2072" s="1" t="str">
        <f>"تخليه -اصفهان -اشترجان -شركت زيباساخت زاگرس"</f>
        <v>تخليه -اصفهان -اشترجان -شركت زيباساخت زاگرس</v>
      </c>
      <c r="D2072" s="1">
        <v>6050</v>
      </c>
      <c r="E2072" s="1">
        <v>430000</v>
      </c>
      <c r="F2072" s="1">
        <v>95</v>
      </c>
      <c r="G2072" s="1">
        <v>0</v>
      </c>
      <c r="H2072" s="1" t="str">
        <f>"95/03/19"</f>
        <v>95/03/19</v>
      </c>
      <c r="I2072" s="1" t="str">
        <f t="shared" si="545"/>
        <v>كيلوگرم</v>
      </c>
      <c r="J2072" s="1" t="str">
        <f t="shared" si="551"/>
        <v>0000000088</v>
      </c>
      <c r="K2072" s="1" t="str">
        <f t="shared" si="552"/>
        <v>قير  PG58-22</v>
      </c>
      <c r="L2072" s="1">
        <v>100</v>
      </c>
      <c r="M2072" s="1" t="str">
        <f t="shared" si="550"/>
        <v>مخازن قير اصفهان</v>
      </c>
      <c r="N2072" s="1">
        <v>9898</v>
      </c>
      <c r="O2072" s="1">
        <v>50030985</v>
      </c>
      <c r="P2072" s="1" t="str">
        <f>"  اداره كل نوسازي توسعه وتجهيز مدارس استان چهارمحال بختياري"</f>
        <v xml:space="preserve">  اداره كل نوسازي توسعه وتجهيز مدارس استان چهارمحال بختياري</v>
      </c>
      <c r="Q2072" s="1">
        <v>10</v>
      </c>
      <c r="R2072" s="1" t="str">
        <f>"فروش داخلي - وزارت راه - متفرقه"</f>
        <v>فروش داخلي - وزارت راه - متفرقه</v>
      </c>
      <c r="S2072" s="1" t="str">
        <f t="shared" si="546"/>
        <v>قرارداد فروش</v>
      </c>
      <c r="T2072" s="1" t="str">
        <f t="shared" si="547"/>
        <v>ندارد</v>
      </c>
      <c r="U2072" s="1" t="str">
        <f t="shared" si="554"/>
        <v>قره باغي مجيد(1871065)</v>
      </c>
      <c r="V2072" s="1">
        <v>951000005</v>
      </c>
      <c r="W2072" s="1">
        <v>951000005</v>
      </c>
      <c r="X2072" s="1" t="str">
        <f>"1395408513"</f>
        <v>1395408513</v>
      </c>
      <c r="Y2072" s="1" t="str">
        <f>"95/03/19"</f>
        <v>95/03/19</v>
      </c>
      <c r="Z2072" s="1" t="str">
        <f>"69681/510"</f>
        <v>69681/510</v>
      </c>
      <c r="AA2072" s="1" t="str">
        <f>"متفرقه"</f>
        <v>متفرقه</v>
      </c>
      <c r="AB2072" s="1" t="str">
        <f>"94/12/19"</f>
        <v>94/12/19</v>
      </c>
      <c r="AC2072" s="1" t="str">
        <f t="shared" si="553"/>
        <v>استان چهارمحال بختياري</v>
      </c>
      <c r="AD2072" s="1" t="str">
        <f>"95/03/19"</f>
        <v>95/03/19</v>
      </c>
      <c r="AE2072" s="1" t="str">
        <f t="shared" si="555"/>
        <v>اختتام</v>
      </c>
      <c r="AF2072" s="1" t="str">
        <f>""</f>
        <v/>
      </c>
      <c r="AG2072" s="1" t="str">
        <f>""</f>
        <v/>
      </c>
      <c r="AH2072" s="1" t="str">
        <f>""</f>
        <v/>
      </c>
      <c r="AI2072" s="1" t="str">
        <f>""</f>
        <v/>
      </c>
      <c r="AJ2072" s="1" t="str">
        <f>""</f>
        <v/>
      </c>
      <c r="AK2072" s="1" t="str">
        <f>""</f>
        <v/>
      </c>
    </row>
    <row r="2073" spans="1:37" x14ac:dyDescent="0.2">
      <c r="A2073" s="1">
        <v>250000</v>
      </c>
      <c r="B2073" s="1">
        <v>951900065</v>
      </c>
      <c r="C2073" s="1" t="str">
        <f>"تخليه -چهارمحال وبختياري -شهرستان كيارجاده ايذه -جنب تونل ناغان -كارخانه آسفالت اتحادناغان"</f>
        <v>تخليه -چهارمحال وبختياري -شهرستان كيارجاده ايذه -جنب تونل ناغان -كارخانه آسفالت اتحادناغان</v>
      </c>
      <c r="D2073" s="1">
        <v>6726</v>
      </c>
      <c r="E2073" s="1">
        <v>249900</v>
      </c>
      <c r="F2073" s="1">
        <v>95</v>
      </c>
      <c r="G2073" s="1">
        <v>100</v>
      </c>
      <c r="H2073" s="1" t="str">
        <f>"95/05/04"</f>
        <v>95/05/04</v>
      </c>
      <c r="I2073" s="1" t="str">
        <f t="shared" si="545"/>
        <v>كيلوگرم</v>
      </c>
      <c r="J2073" s="1" t="str">
        <f t="shared" si="551"/>
        <v>0000000088</v>
      </c>
      <c r="K2073" s="1" t="str">
        <f t="shared" si="552"/>
        <v>قير  PG58-22</v>
      </c>
      <c r="L2073" s="1">
        <v>100</v>
      </c>
      <c r="M2073" s="1" t="str">
        <f t="shared" si="550"/>
        <v>مخازن قير اصفهان</v>
      </c>
      <c r="N2073" s="1">
        <v>10203</v>
      </c>
      <c r="O2073" s="1">
        <v>50031346</v>
      </c>
      <c r="P2073" s="1" t="str">
        <f>"  پارساکوشان زاگرس"</f>
        <v xml:space="preserve">  پارساکوشان زاگرس</v>
      </c>
      <c r="Q2073" s="1">
        <v>19</v>
      </c>
      <c r="R207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73" s="1" t="str">
        <f t="shared" si="546"/>
        <v>قرارداد فروش</v>
      </c>
      <c r="T2073" s="1" t="str">
        <f t="shared" si="547"/>
        <v>ندارد</v>
      </c>
      <c r="U2073" s="1" t="str">
        <f t="shared" si="554"/>
        <v>قره باغي مجيد(1871065)</v>
      </c>
      <c r="V2073" s="1">
        <v>951900065</v>
      </c>
      <c r="W2073" s="1">
        <v>951900065</v>
      </c>
      <c r="X2073" s="1" t="str">
        <f>"1395417775"</f>
        <v>1395417775</v>
      </c>
      <c r="Y2073" s="1" t="str">
        <f>"95/05/04"</f>
        <v>95/05/04</v>
      </c>
      <c r="Z2073" s="1" t="str">
        <f>"18390/510"</f>
        <v>18390/510</v>
      </c>
      <c r="AA2073" s="1" t="str">
        <f>"سازمان راهداري وحمل نقل جاده اي"</f>
        <v>سازمان راهداري وحمل نقل جاده اي</v>
      </c>
      <c r="AB2073" s="1" t="str">
        <f>"95/04/28"</f>
        <v>95/04/28</v>
      </c>
      <c r="AC2073" s="1" t="str">
        <f t="shared" si="553"/>
        <v>استان چهارمحال بختياري</v>
      </c>
      <c r="AD2073" s="1" t="str">
        <f>"95/05/04"</f>
        <v>95/05/04</v>
      </c>
      <c r="AE2073" s="1" t="str">
        <f t="shared" si="555"/>
        <v>اختتام</v>
      </c>
      <c r="AF2073" s="1" t="str">
        <f>""</f>
        <v/>
      </c>
      <c r="AG2073" s="1" t="str">
        <f>""</f>
        <v/>
      </c>
      <c r="AH2073" s="1" t="str">
        <f>""</f>
        <v/>
      </c>
      <c r="AI2073" s="1" t="str">
        <f>""</f>
        <v/>
      </c>
      <c r="AJ2073" s="1" t="str">
        <f>""</f>
        <v/>
      </c>
      <c r="AK2073" s="1" t="str">
        <f>""</f>
        <v/>
      </c>
    </row>
    <row r="2074" spans="1:37" x14ac:dyDescent="0.2">
      <c r="A2074" s="1">
        <v>340000</v>
      </c>
      <c r="B2074" s="1">
        <v>956100018</v>
      </c>
      <c r="C2074" s="1" t="str">
        <f>"تخليه كردستان كيلومتر12جاده سقزديواندره كارخانه شهرداري سقز"</f>
        <v>تخليه كردستان كيلومتر12جاده سقزديواندره كارخانه شهرداري سقز</v>
      </c>
      <c r="D2074" s="1">
        <v>7276</v>
      </c>
      <c r="E2074" s="1">
        <v>324320</v>
      </c>
      <c r="F2074" s="1">
        <v>95</v>
      </c>
      <c r="G2074" s="1">
        <v>15680</v>
      </c>
      <c r="H2074" s="1" t="str">
        <f>"95/07/04"</f>
        <v>95/07/04</v>
      </c>
      <c r="I2074" s="1" t="str">
        <f t="shared" si="545"/>
        <v>كيلوگرم</v>
      </c>
      <c r="J2074" s="1" t="str">
        <f t="shared" si="551"/>
        <v>0000000088</v>
      </c>
      <c r="K2074" s="1" t="str">
        <f t="shared" si="552"/>
        <v>قير  PG58-22</v>
      </c>
      <c r="L2074" s="1">
        <v>100</v>
      </c>
      <c r="M2074" s="1" t="str">
        <f t="shared" si="550"/>
        <v>مخازن قير اصفهان</v>
      </c>
      <c r="N2074" s="1">
        <v>10406</v>
      </c>
      <c r="O2074" s="1">
        <v>50031931</v>
      </c>
      <c r="P2074" s="1" t="str">
        <f>"  اداره كل راه وشهرسازي كردستان"</f>
        <v xml:space="preserve">  اداره كل راه وشهرسازي كردستان</v>
      </c>
      <c r="Q2074" s="1">
        <v>61</v>
      </c>
      <c r="R2074" s="1" t="str">
        <f>"فروش داخلي - وزارت راه - مسكن مهر"</f>
        <v>فروش داخلي - وزارت راه - مسكن مهر</v>
      </c>
      <c r="S2074" s="1" t="str">
        <f t="shared" si="546"/>
        <v>قرارداد فروش</v>
      </c>
      <c r="T2074" s="1" t="str">
        <f t="shared" si="547"/>
        <v>ندارد</v>
      </c>
      <c r="U2074" s="1" t="str">
        <f>"ميهن دوست عبداله(2842010)"</f>
        <v>ميهن دوست عبداله(2842010)</v>
      </c>
      <c r="V2074" s="1">
        <v>956100018</v>
      </c>
      <c r="W2074" s="1">
        <v>956100018</v>
      </c>
      <c r="X2074" s="1" t="str">
        <f>"1395433649"</f>
        <v>1395433649</v>
      </c>
      <c r="Y2074" s="1" t="str">
        <f>"95/07/04"</f>
        <v>95/07/04</v>
      </c>
      <c r="Z2074" s="1" t="str">
        <f>"31188/510"</f>
        <v>31188/510</v>
      </c>
      <c r="AA2074" s="1" t="str">
        <f>"مسكن مهر-وزارت راه"</f>
        <v>مسكن مهر-وزارت راه</v>
      </c>
      <c r="AB2074" s="1" t="str">
        <f>"95/06/31"</f>
        <v>95/06/31</v>
      </c>
      <c r="AC2074" s="1" t="str">
        <f>"استان كردستان"</f>
        <v>استان كردستان</v>
      </c>
      <c r="AD2074" s="1" t="str">
        <f>"95/07/04"</f>
        <v>95/07/04</v>
      </c>
      <c r="AE2074" s="1" t="str">
        <f t="shared" si="555"/>
        <v>اختتام</v>
      </c>
      <c r="AF2074" s="1" t="str">
        <f>""</f>
        <v/>
      </c>
      <c r="AG2074" s="1" t="str">
        <f>""</f>
        <v/>
      </c>
      <c r="AH2074" s="1" t="str">
        <f>""</f>
        <v/>
      </c>
      <c r="AI2074" s="1" t="str">
        <f>""</f>
        <v/>
      </c>
      <c r="AJ2074" s="1" t="str">
        <f>""</f>
        <v/>
      </c>
      <c r="AK2074" s="1" t="str">
        <f>""</f>
        <v/>
      </c>
    </row>
    <row r="2075" spans="1:37" x14ac:dyDescent="0.2">
      <c r="A2075" s="1">
        <v>900000</v>
      </c>
      <c r="B2075" s="1">
        <v>951700300</v>
      </c>
      <c r="C2075" s="1" t="str">
        <f>"تخليه -كردستان مريوان كيلومتر10جاده مريوان سقزكارخانه آسفالت شهرداري مريوان"</f>
        <v>تخليه -كردستان مريوان كيلومتر10جاده مريوان سقزكارخانه آسفالت شهرداري مريوان</v>
      </c>
      <c r="D2075" s="1">
        <v>9061</v>
      </c>
      <c r="E2075" s="1">
        <v>94700</v>
      </c>
      <c r="F2075" s="1">
        <v>95</v>
      </c>
      <c r="G2075" s="1">
        <v>805300</v>
      </c>
      <c r="H2075" s="1" t="str">
        <f>"95/10/22"</f>
        <v>95/10/22</v>
      </c>
      <c r="I2075" s="1" t="str">
        <f t="shared" si="545"/>
        <v>كيلوگرم</v>
      </c>
      <c r="J2075" s="1" t="str">
        <f t="shared" si="551"/>
        <v>0000000088</v>
      </c>
      <c r="K2075" s="1" t="str">
        <f t="shared" si="552"/>
        <v>قير  PG58-22</v>
      </c>
      <c r="L2075" s="1">
        <v>100</v>
      </c>
      <c r="M2075" s="1" t="str">
        <f t="shared" si="550"/>
        <v>مخازن قير اصفهان</v>
      </c>
      <c r="N2075" s="1">
        <v>10406</v>
      </c>
      <c r="O2075" s="1">
        <v>50033355</v>
      </c>
      <c r="P2075" s="1" t="str">
        <f>"  اداره كل راه وشهرسازي كردستان"</f>
        <v xml:space="preserve">  اداره كل راه وشهرسازي كردستان</v>
      </c>
      <c r="Q2075" s="1">
        <v>17</v>
      </c>
      <c r="R2075" s="1" t="str">
        <f>"فروش داخلي تهران - وزارت راه - راه روستايي - روکش"</f>
        <v>فروش داخلي تهران - وزارت راه - راه روستايي - روکش</v>
      </c>
      <c r="S2075" s="1" t="str">
        <f t="shared" si="546"/>
        <v>قرارداد فروش</v>
      </c>
      <c r="T2075" s="1" t="str">
        <f t="shared" si="547"/>
        <v>ندارد</v>
      </c>
      <c r="U2075" s="1" t="str">
        <f>"فلاحان سعيد(2842025)"</f>
        <v>فلاحان سعيد(2842025)</v>
      </c>
      <c r="V2075" s="1">
        <v>951700300</v>
      </c>
      <c r="W2075" s="1">
        <v>951700300</v>
      </c>
      <c r="X2075" s="1" t="str">
        <f>"1395457940"</f>
        <v>1395457940</v>
      </c>
      <c r="Y2075" s="1" t="str">
        <f>"95/10/22"</f>
        <v>95/10/22</v>
      </c>
      <c r="Z2075" s="1" t="str">
        <f>"51875/710"</f>
        <v>51875/710</v>
      </c>
      <c r="AA2075" s="1" t="str">
        <f>"راه روستائي -روكش"</f>
        <v>راه روستائي -روكش</v>
      </c>
      <c r="AB2075" s="1" t="str">
        <f>"95/10/20"</f>
        <v>95/10/20</v>
      </c>
      <c r="AC2075" s="1" t="str">
        <f>"استان كردستان"</f>
        <v>استان كردستان</v>
      </c>
      <c r="AD2075" s="1" t="str">
        <f>"95/10/22"</f>
        <v>95/10/22</v>
      </c>
      <c r="AE2075" s="1" t="str">
        <f t="shared" si="555"/>
        <v>اختتام</v>
      </c>
      <c r="AF2075" s="1" t="str">
        <f>""</f>
        <v/>
      </c>
      <c r="AG2075" s="1" t="str">
        <f>""</f>
        <v/>
      </c>
      <c r="AH2075" s="1" t="str">
        <f>""</f>
        <v/>
      </c>
      <c r="AI2075" s="1" t="str">
        <f>""</f>
        <v/>
      </c>
      <c r="AJ2075" s="1" t="str">
        <f>""</f>
        <v/>
      </c>
      <c r="AK2075" s="1" t="str">
        <f>""</f>
        <v/>
      </c>
    </row>
    <row r="2076" spans="1:37" x14ac:dyDescent="0.2">
      <c r="A2076" s="1">
        <v>100000</v>
      </c>
      <c r="B2076" s="1">
        <v>951400024</v>
      </c>
      <c r="C2076" s="1" t="str">
        <f>"محل تخليه -كردستان -كيلومتر15محورسنندج به كامياران -كارخانه آسفالت تعاوني 163"</f>
        <v>محل تخليه -كردستان -كيلومتر15محورسنندج به كامياران -كارخانه آسفالت تعاوني 163</v>
      </c>
      <c r="D2076" s="1">
        <v>6250</v>
      </c>
      <c r="E2076" s="1">
        <v>92740</v>
      </c>
      <c r="F2076" s="1">
        <v>95</v>
      </c>
      <c r="G2076" s="1">
        <v>7260</v>
      </c>
      <c r="H2076" s="1" t="str">
        <f>"95/04/05"</f>
        <v>95/04/05</v>
      </c>
      <c r="I2076" s="1" t="str">
        <f t="shared" si="545"/>
        <v>كيلوگرم</v>
      </c>
      <c r="J2076" s="1" t="str">
        <f t="shared" si="551"/>
        <v>0000000088</v>
      </c>
      <c r="K2076" s="1" t="str">
        <f t="shared" si="552"/>
        <v>قير  PG58-22</v>
      </c>
      <c r="L2076" s="1">
        <v>100</v>
      </c>
      <c r="M2076" s="1" t="str">
        <f t="shared" si="550"/>
        <v>مخازن قير اصفهان</v>
      </c>
      <c r="N2076" s="1">
        <v>10917</v>
      </c>
      <c r="O2076" s="1">
        <v>50031099</v>
      </c>
      <c r="P2076" s="1" t="str">
        <f>"  فني مهندسي عمران تك مريوان"</f>
        <v xml:space="preserve">  فني مهندسي عمران تك مريوان</v>
      </c>
      <c r="Q2076" s="1">
        <v>14</v>
      </c>
      <c r="R2076" s="1" t="str">
        <f>"فروش داخلي - وزارت راه - حوزه راه روستايي ساخت"</f>
        <v>فروش داخلي - وزارت راه - حوزه راه روستايي ساخت</v>
      </c>
      <c r="S2076" s="1" t="str">
        <f t="shared" si="546"/>
        <v>قرارداد فروش</v>
      </c>
      <c r="T2076" s="1" t="str">
        <f t="shared" si="547"/>
        <v>ندارد</v>
      </c>
      <c r="U2076" s="1" t="str">
        <f>"ميهن دوست عبداله(2842010)"</f>
        <v>ميهن دوست عبداله(2842010)</v>
      </c>
      <c r="V2076" s="1">
        <v>951400024</v>
      </c>
      <c r="W2076" s="1">
        <v>951400024</v>
      </c>
      <c r="X2076" s="1" t="str">
        <f>"1395411203"</f>
        <v>1395411203</v>
      </c>
      <c r="Y2076" s="1" t="str">
        <f>"95/04/05"</f>
        <v>95/04/05</v>
      </c>
      <c r="Z2076" s="1" t="str">
        <f>"13144/510"</f>
        <v>13144/510</v>
      </c>
      <c r="AA2076" s="1" t="str">
        <f>"راه وروستايي -ساخت"</f>
        <v>راه وروستايي -ساخت</v>
      </c>
      <c r="AB2076" s="1" t="str">
        <f>"95/03/30"</f>
        <v>95/03/30</v>
      </c>
      <c r="AC2076" s="1" t="str">
        <f>"استان كردستان"</f>
        <v>استان كردستان</v>
      </c>
      <c r="AD2076" s="1" t="str">
        <f>"95/04/05"</f>
        <v>95/04/05</v>
      </c>
      <c r="AE2076" s="1" t="str">
        <f t="shared" si="555"/>
        <v>اختتام</v>
      </c>
      <c r="AF2076" s="1" t="str">
        <f>""</f>
        <v/>
      </c>
      <c r="AG2076" s="1" t="str">
        <f>""</f>
        <v/>
      </c>
      <c r="AH2076" s="1" t="str">
        <f>""</f>
        <v/>
      </c>
      <c r="AI2076" s="1" t="str">
        <f>""</f>
        <v/>
      </c>
      <c r="AJ2076" s="1" t="str">
        <f>""</f>
        <v/>
      </c>
      <c r="AK2076" s="1" t="str">
        <f>""</f>
        <v/>
      </c>
    </row>
    <row r="2077" spans="1:37" x14ac:dyDescent="0.2">
      <c r="A2077" s="1">
        <v>661940</v>
      </c>
      <c r="B2077" s="1">
        <v>951800121</v>
      </c>
      <c r="C2077" s="1" t="str">
        <f>"تخليه چهارمحال وبختياري -سفيددشت كارگاه بهارديمه"</f>
        <v>تخليه چهارمحال وبختياري -سفيددشت كارگاه بهارديمه</v>
      </c>
      <c r="D2077" s="1">
        <v>9354</v>
      </c>
      <c r="E2077" s="1">
        <v>653840</v>
      </c>
      <c r="F2077" s="1">
        <v>95</v>
      </c>
      <c r="G2077" s="1">
        <v>8100</v>
      </c>
      <c r="H2077" s="1" t="str">
        <f>"95/11/03"</f>
        <v>95/11/03</v>
      </c>
      <c r="I2077" s="1" t="str">
        <f t="shared" si="545"/>
        <v>كيلوگرم</v>
      </c>
      <c r="J2077" s="1" t="str">
        <f t="shared" si="551"/>
        <v>0000000088</v>
      </c>
      <c r="K2077" s="1" t="str">
        <f t="shared" si="552"/>
        <v>قير  PG58-22</v>
      </c>
      <c r="L2077" s="1">
        <v>100</v>
      </c>
      <c r="M2077" s="1" t="str">
        <f t="shared" si="550"/>
        <v>مخازن قير اصفهان</v>
      </c>
      <c r="N2077" s="1">
        <v>11110</v>
      </c>
      <c r="O2077" s="1">
        <v>50033435</v>
      </c>
      <c r="P2077" s="1" t="str">
        <f>"  بهارديمه"</f>
        <v xml:space="preserve">  بهارديمه</v>
      </c>
      <c r="Q2077" s="1">
        <v>18</v>
      </c>
      <c r="R2077" s="1" t="str">
        <f>"فروش داخلي تهران - وزارت راه - شرکت ساخت و توسعه راهها"</f>
        <v>فروش داخلي تهران - وزارت راه - شرکت ساخت و توسعه راهها</v>
      </c>
      <c r="S2077" s="1" t="str">
        <f t="shared" si="546"/>
        <v>قرارداد فروش</v>
      </c>
      <c r="T2077" s="1" t="str">
        <f t="shared" si="547"/>
        <v>ندارد</v>
      </c>
      <c r="U2077" s="1" t="str">
        <f>"غلام نجفي سيامك‌‌‌‌‌‌(1881082)"</f>
        <v>غلام نجفي سيامك‌‌‌‌‌‌(1881082)</v>
      </c>
      <c r="V2077" s="1">
        <v>951800121</v>
      </c>
      <c r="W2077" s="1">
        <v>951800121</v>
      </c>
      <c r="X2077" s="1" t="str">
        <f>"1395451390"</f>
        <v>1395451390</v>
      </c>
      <c r="Y2077" s="1" t="str">
        <f>"95/11/03"</f>
        <v>95/11/03</v>
      </c>
      <c r="Z2077" s="1" t="str">
        <f>"42042/710"</f>
        <v>42042/710</v>
      </c>
      <c r="AA2077" s="1" t="str">
        <f>"شركت  ساخت وتوسعه راهها"</f>
        <v>شركت  ساخت وتوسعه راهها</v>
      </c>
      <c r="AB2077" s="1" t="str">
        <f>"95/08/29"</f>
        <v>95/08/29</v>
      </c>
      <c r="AC2077" s="1" t="str">
        <f>"استان چهارمحال بختياري"</f>
        <v>استان چهارمحال بختياري</v>
      </c>
      <c r="AD2077" s="1" t="str">
        <f>"95/09/22"</f>
        <v>95/09/22</v>
      </c>
      <c r="AE2077" s="1" t="str">
        <f t="shared" si="555"/>
        <v>اختتام</v>
      </c>
      <c r="AF2077" s="1" t="str">
        <f>""</f>
        <v/>
      </c>
      <c r="AG2077" s="1" t="str">
        <f>""</f>
        <v/>
      </c>
      <c r="AH2077" s="1" t="str">
        <f>""</f>
        <v/>
      </c>
      <c r="AI2077" s="1" t="str">
        <f>""</f>
        <v/>
      </c>
      <c r="AJ2077" s="1" t="str">
        <f>""</f>
        <v/>
      </c>
      <c r="AK2077" s="1" t="str">
        <f>""</f>
        <v/>
      </c>
    </row>
    <row r="2078" spans="1:37" x14ac:dyDescent="0.2">
      <c r="A2078" s="1">
        <v>300000</v>
      </c>
      <c r="B2078" s="1">
        <v>951900239</v>
      </c>
      <c r="C2078" s="1" t="str">
        <f>"تخليه -چهارمحال وبختياري بخش مالخليفه جنب لوله گازسراسري كارخانه آسفالت ياسين گنج فلارد"</f>
        <v>تخليه -چهارمحال وبختياري بخش مالخليفه جنب لوله گازسراسري كارخانه آسفالت ياسين گنج فلارد</v>
      </c>
      <c r="D2078" s="1">
        <v>9061</v>
      </c>
      <c r="E2078" s="1">
        <v>299980</v>
      </c>
      <c r="F2078" s="1">
        <v>95</v>
      </c>
      <c r="G2078" s="1">
        <v>20</v>
      </c>
      <c r="H2078" s="1" t="str">
        <f>"95/10/15"</f>
        <v>95/10/15</v>
      </c>
      <c r="I2078" s="1" t="str">
        <f t="shared" si="545"/>
        <v>كيلوگرم</v>
      </c>
      <c r="J2078" s="1" t="str">
        <f t="shared" si="551"/>
        <v>0000000088</v>
      </c>
      <c r="K2078" s="1" t="str">
        <f t="shared" si="552"/>
        <v>قير  PG58-22</v>
      </c>
      <c r="L2078" s="1">
        <v>100</v>
      </c>
      <c r="M2078" s="1" t="str">
        <f t="shared" si="550"/>
        <v>مخازن قير اصفهان</v>
      </c>
      <c r="N2078" s="1">
        <v>11140</v>
      </c>
      <c r="O2078" s="1">
        <v>50033293</v>
      </c>
      <c r="P2078" s="1" t="str">
        <f>"  ياسين گنج چهارمحال"</f>
        <v xml:space="preserve">  ياسين گنج چهارمحال</v>
      </c>
      <c r="Q2078" s="1">
        <v>19</v>
      </c>
      <c r="R20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78" s="1" t="str">
        <f t="shared" si="546"/>
        <v>قرارداد فروش</v>
      </c>
      <c r="T2078" s="1" t="str">
        <f t="shared" si="547"/>
        <v>ندارد</v>
      </c>
      <c r="U2078" s="1" t="str">
        <f>"قره باغي مجيد(1871065)"</f>
        <v>قره باغي مجيد(1871065)</v>
      </c>
      <c r="V2078" s="1">
        <v>951900239</v>
      </c>
      <c r="W2078" s="1">
        <v>951900239</v>
      </c>
      <c r="X2078" s="1" t="str">
        <f>"1395457280"</f>
        <v>1395457280</v>
      </c>
      <c r="Y2078" s="1" t="str">
        <f>"95/10/15"</f>
        <v>95/10/15</v>
      </c>
      <c r="Z2078" s="1" t="str">
        <f>"49730/710"</f>
        <v>49730/710</v>
      </c>
      <c r="AA2078" s="1" t="str">
        <f>"سازمان راهداري وحمل نقل جاده اي"</f>
        <v>سازمان راهداري وحمل نقل جاده اي</v>
      </c>
      <c r="AB2078" s="1" t="str">
        <f>"95/10/11"</f>
        <v>95/10/11</v>
      </c>
      <c r="AC2078" s="1" t="str">
        <f>"استان چهارمحال بختياري"</f>
        <v>استان چهارمحال بختياري</v>
      </c>
      <c r="AD2078" s="1" t="str">
        <f>"95/10/15"</f>
        <v>95/10/15</v>
      </c>
      <c r="AE2078" s="1" t="str">
        <f t="shared" si="555"/>
        <v>اختتام</v>
      </c>
      <c r="AF2078" s="1" t="str">
        <f>""</f>
        <v/>
      </c>
      <c r="AG2078" s="1" t="str">
        <f>""</f>
        <v/>
      </c>
      <c r="AH2078" s="1" t="str">
        <f>""</f>
        <v/>
      </c>
      <c r="AI2078" s="1" t="str">
        <f>""</f>
        <v/>
      </c>
      <c r="AJ2078" s="1" t="str">
        <f>""</f>
        <v/>
      </c>
      <c r="AK2078" s="1" t="str">
        <f>""</f>
        <v/>
      </c>
    </row>
    <row r="2079" spans="1:37" x14ac:dyDescent="0.2">
      <c r="A2079" s="1">
        <v>135000</v>
      </c>
      <c r="B2079" s="1">
        <v>951800134</v>
      </c>
      <c r="C2079" s="1" t="str">
        <f>"تخليه كردستان كيلومتر15جاده بيجارديواندره قزل اوزن"</f>
        <v>تخليه كردستان كيلومتر15جاده بيجارديواندره قزل اوزن</v>
      </c>
      <c r="D2079" s="1">
        <v>9511</v>
      </c>
      <c r="E2079" s="1">
        <v>134220</v>
      </c>
      <c r="F2079" s="1">
        <v>95</v>
      </c>
      <c r="G2079" s="1">
        <v>780</v>
      </c>
      <c r="H2079" s="1" t="str">
        <f>"95/11/06"</f>
        <v>95/11/06</v>
      </c>
      <c r="I2079" s="1" t="str">
        <f t="shared" si="545"/>
        <v>كيلوگرم</v>
      </c>
      <c r="J2079" s="1" t="str">
        <f t="shared" si="551"/>
        <v>0000000088</v>
      </c>
      <c r="K2079" s="1" t="str">
        <f t="shared" si="552"/>
        <v>قير  PG58-22</v>
      </c>
      <c r="L2079" s="1">
        <v>100</v>
      </c>
      <c r="M2079" s="1" t="str">
        <f t="shared" si="550"/>
        <v>مخازن قير اصفهان</v>
      </c>
      <c r="N2079" s="1">
        <v>11239</v>
      </c>
      <c r="O2079" s="1">
        <v>50033546</v>
      </c>
      <c r="P2079" s="1" t="str">
        <f>"  محراب تجارت پارسيان"</f>
        <v xml:space="preserve">  محراب تجارت پارسيان</v>
      </c>
      <c r="Q2079" s="1">
        <v>18</v>
      </c>
      <c r="R2079" s="1" t="str">
        <f>"فروش داخلي تهران - وزارت راه - شرکت ساخت و توسعه راهها"</f>
        <v>فروش داخلي تهران - وزارت راه - شرکت ساخت و توسعه راهها</v>
      </c>
      <c r="S2079" s="1" t="str">
        <f t="shared" si="546"/>
        <v>قرارداد فروش</v>
      </c>
      <c r="T2079" s="1" t="str">
        <f t="shared" si="547"/>
        <v>ندارد</v>
      </c>
      <c r="U2079" s="1" t="str">
        <f>"قنبري امين(2872037)"</f>
        <v>قنبري امين(2872037)</v>
      </c>
      <c r="V2079" s="1">
        <v>951800134</v>
      </c>
      <c r="W2079" s="1">
        <v>951800134</v>
      </c>
      <c r="X2079" s="1" t="str">
        <f>"1395461168"</f>
        <v>1395461168</v>
      </c>
      <c r="Y2079" s="1" t="str">
        <f>"95/11/06"</f>
        <v>95/11/06</v>
      </c>
      <c r="Z2079" s="1" t="str">
        <f>"52688/710"</f>
        <v>52688/710</v>
      </c>
      <c r="AA2079" s="1" t="str">
        <f>"شركت  ساخت وتوسعه راهها"</f>
        <v>شركت  ساخت وتوسعه راهها</v>
      </c>
      <c r="AB2079" s="1" t="str">
        <f>"95/10/25"</f>
        <v>95/10/25</v>
      </c>
      <c r="AC2079" s="1" t="str">
        <f>"استان كردستان"</f>
        <v>استان كردستان</v>
      </c>
      <c r="AD2079" s="1" t="str">
        <f>"95/11/06"</f>
        <v>95/11/06</v>
      </c>
      <c r="AE2079" s="1" t="str">
        <f t="shared" si="555"/>
        <v>اختتام</v>
      </c>
      <c r="AF2079" s="1" t="str">
        <f>""</f>
        <v/>
      </c>
      <c r="AG2079" s="1" t="str">
        <f>""</f>
        <v/>
      </c>
      <c r="AH2079" s="1" t="str">
        <f>""</f>
        <v/>
      </c>
      <c r="AI2079" s="1" t="str">
        <f>""</f>
        <v/>
      </c>
      <c r="AJ2079" s="1" t="str">
        <f>""</f>
        <v/>
      </c>
      <c r="AK2079" s="1" t="str">
        <f>""</f>
        <v/>
      </c>
    </row>
    <row r="2080" spans="1:37" x14ac:dyDescent="0.2">
      <c r="A2080" s="1">
        <v>327000</v>
      </c>
      <c r="B2080" s="1">
        <v>956200235</v>
      </c>
      <c r="C2080" s="1" t="str">
        <f>"تخليه - آذربايجان غربي - چايپاره - کيلومتر 2 جاده ترانزيتي ماکو-کارخانه آسفالت گلواني"</f>
        <v>تخليه - آذربايجان غربي - چايپاره - کيلومتر 2 جاده ترانزيتي ماکو-کارخانه آسفالت گلواني</v>
      </c>
      <c r="D2080" s="1">
        <v>9511</v>
      </c>
      <c r="E2080" s="1">
        <v>325640</v>
      </c>
      <c r="F2080" s="1">
        <v>95</v>
      </c>
      <c r="G2080" s="1">
        <v>1360</v>
      </c>
      <c r="H2080" s="1" t="str">
        <f>"95/11/25"</f>
        <v>95/11/25</v>
      </c>
      <c r="I2080" s="1" t="str">
        <f t="shared" si="545"/>
        <v>كيلوگرم</v>
      </c>
      <c r="J2080" s="1" t="str">
        <f t="shared" si="551"/>
        <v>0000000088</v>
      </c>
      <c r="K2080" s="1" t="str">
        <f t="shared" si="552"/>
        <v>قير  PG58-22</v>
      </c>
      <c r="L2080" s="1">
        <v>100</v>
      </c>
      <c r="M2080" s="1" t="str">
        <f t="shared" si="550"/>
        <v>مخازن قير اصفهان</v>
      </c>
      <c r="N2080" s="1">
        <v>11256</v>
      </c>
      <c r="O2080" s="1">
        <v>50033745</v>
      </c>
      <c r="P2080" s="1" t="str">
        <f>"  آذر سقف چايپاره"</f>
        <v xml:space="preserve">  آذر سقف چايپاره</v>
      </c>
      <c r="Q2080" s="1">
        <v>62</v>
      </c>
      <c r="R2080" s="1" t="str">
        <f>"فروش داخلي - سازمان بنيادمسكن انقلاب اسلامي"</f>
        <v>فروش داخلي - سازمان بنيادمسكن انقلاب اسلامي</v>
      </c>
      <c r="S2080" s="1" t="str">
        <f t="shared" si="546"/>
        <v>قرارداد فروش</v>
      </c>
      <c r="T2080" s="1" t="str">
        <f t="shared" si="547"/>
        <v>ندارد</v>
      </c>
      <c r="U2080" s="1" t="str">
        <f>"عزيزي صفر(1006ج 89)"</f>
        <v>عزيزي صفر(1006ج 89)</v>
      </c>
      <c r="V2080" s="1">
        <v>956200235</v>
      </c>
      <c r="W2080" s="1">
        <v>956200235</v>
      </c>
      <c r="X2080" s="1" t="str">
        <f>"1395464673"</f>
        <v>1395464673</v>
      </c>
      <c r="Y2080" s="1" t="str">
        <f>"95/11/25"</f>
        <v>95/11/25</v>
      </c>
      <c r="Z2080" s="1" t="str">
        <f>"51016/د"</f>
        <v>51016/د</v>
      </c>
      <c r="AA2080" s="1" t="str">
        <f>"بنيادمسكن انقلاب اسلامي"</f>
        <v>بنيادمسكن انقلاب اسلامي</v>
      </c>
      <c r="AB2080" s="1" t="str">
        <f>"95/11/24"</f>
        <v>95/11/24</v>
      </c>
      <c r="AC2080" s="1" t="str">
        <f>"استان آذربايجان غربي"</f>
        <v>استان آذربايجان غربي</v>
      </c>
      <c r="AD2080" s="1" t="str">
        <f>"95/11/25"</f>
        <v>95/11/25</v>
      </c>
      <c r="AE2080" s="1" t="str">
        <f t="shared" si="555"/>
        <v>اختتام</v>
      </c>
      <c r="AF2080" s="1" t="str">
        <f>""</f>
        <v/>
      </c>
      <c r="AG2080" s="1" t="str">
        <f>""</f>
        <v/>
      </c>
      <c r="AH2080" s="1" t="str">
        <f>""</f>
        <v/>
      </c>
      <c r="AI2080" s="1" t="str">
        <f>""</f>
        <v/>
      </c>
      <c r="AJ2080" s="1" t="str">
        <f>""</f>
        <v/>
      </c>
      <c r="AK2080" s="1" t="str">
        <f>""</f>
        <v/>
      </c>
    </row>
    <row r="2081" spans="1:37" x14ac:dyDescent="0.2">
      <c r="A2081" s="1">
        <v>260000</v>
      </c>
      <c r="B2081" s="1">
        <v>956200297</v>
      </c>
      <c r="C2081" s="1" t="str">
        <f>"تخليه - آذربايجان غربي - کيلومتر 15 جاده بوکان - سقز-بالاتر از روستاي سرا -کارخانه آسفالت ماردين گستر"</f>
        <v>تخليه - آذربايجان غربي - کيلومتر 15 جاده بوکان - سقز-بالاتر از روستاي سرا -کارخانه آسفالت ماردين گستر</v>
      </c>
      <c r="D2081" s="1">
        <v>8998</v>
      </c>
      <c r="E2081" s="1">
        <v>259560</v>
      </c>
      <c r="F2081" s="1">
        <v>95</v>
      </c>
      <c r="G2081" s="1">
        <v>440</v>
      </c>
      <c r="H2081" s="1" t="str">
        <f>"95/12/07"</f>
        <v>95/12/07</v>
      </c>
      <c r="I2081" s="1" t="str">
        <f t="shared" si="545"/>
        <v>كيلوگرم</v>
      </c>
      <c r="J2081" s="1" t="str">
        <f t="shared" si="551"/>
        <v>0000000088</v>
      </c>
      <c r="K2081" s="1" t="str">
        <f t="shared" si="552"/>
        <v>قير  PG58-22</v>
      </c>
      <c r="L2081" s="1">
        <v>100</v>
      </c>
      <c r="M2081" s="1" t="str">
        <f t="shared" si="550"/>
        <v>مخازن قير اصفهان</v>
      </c>
      <c r="N2081" s="1">
        <v>11276</v>
      </c>
      <c r="O2081" s="1">
        <v>50033892</v>
      </c>
      <c r="P2081" s="1" t="str">
        <f>"  فني و مهندسي ايده تفکر عمران"</f>
        <v xml:space="preserve">  فني و مهندسي ايده تفکر عمران</v>
      </c>
      <c r="Q2081" s="1">
        <v>62</v>
      </c>
      <c r="R2081" s="1" t="str">
        <f>"فروش داخلي - سازمان بنيادمسكن انقلاب اسلامي"</f>
        <v>فروش داخلي - سازمان بنيادمسكن انقلاب اسلامي</v>
      </c>
      <c r="S2081" s="1" t="str">
        <f t="shared" si="546"/>
        <v>قرارداد فروش</v>
      </c>
      <c r="T2081" s="1" t="str">
        <f t="shared" si="547"/>
        <v>ندارد</v>
      </c>
      <c r="U2081" s="1" t="str">
        <f>"ميهن دوست عبداله(2842010)"</f>
        <v>ميهن دوست عبداله(2842010)</v>
      </c>
      <c r="V2081" s="1">
        <v>956200297</v>
      </c>
      <c r="W2081" s="1">
        <v>956200297</v>
      </c>
      <c r="X2081" s="1" t="str">
        <f>"1395467573"</f>
        <v>1395467573</v>
      </c>
      <c r="Y2081" s="1" t="str">
        <f>"95/12/07"</f>
        <v>95/12/07</v>
      </c>
      <c r="Z2081" s="1" t="str">
        <f>"53573/د"</f>
        <v>53573/د</v>
      </c>
      <c r="AA2081" s="1" t="str">
        <f>"بنيادمسكن انقلاب اسلامي"</f>
        <v>بنيادمسكن انقلاب اسلامي</v>
      </c>
      <c r="AB2081" s="1" t="str">
        <f>"95/12/07"</f>
        <v>95/12/07</v>
      </c>
      <c r="AC2081" s="1" t="str">
        <f>"استان آذربايجان غربي"</f>
        <v>استان آذربايجان غربي</v>
      </c>
      <c r="AD2081" s="1" t="str">
        <f>"95/12/07"</f>
        <v>95/12/07</v>
      </c>
      <c r="AE2081" s="1" t="str">
        <f t="shared" si="555"/>
        <v>اختتام</v>
      </c>
      <c r="AF2081" s="1" t="str">
        <f>""</f>
        <v/>
      </c>
      <c r="AG2081" s="1" t="str">
        <f>""</f>
        <v/>
      </c>
      <c r="AH2081" s="1" t="str">
        <f>""</f>
        <v/>
      </c>
      <c r="AI2081" s="1" t="str">
        <f>""</f>
        <v/>
      </c>
      <c r="AJ2081" s="1" t="str">
        <f>""</f>
        <v/>
      </c>
      <c r="AK2081" s="1" t="str">
        <f>""</f>
        <v/>
      </c>
    </row>
    <row r="2082" spans="1:37" x14ac:dyDescent="0.2">
      <c r="A2082" s="1">
        <v>15120</v>
      </c>
      <c r="B2082" s="1">
        <v>951700244</v>
      </c>
      <c r="C2082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2082" s="1">
        <v>8323</v>
      </c>
      <c r="E2082" s="1">
        <v>14600</v>
      </c>
      <c r="F2082" s="1">
        <v>95</v>
      </c>
      <c r="G2082" s="1">
        <v>520</v>
      </c>
      <c r="H2082" s="1" t="str">
        <f>"95/08/05"</f>
        <v>95/08/05</v>
      </c>
      <c r="I2082" s="1" t="str">
        <f t="shared" si="545"/>
        <v>كيلوگرم</v>
      </c>
      <c r="J2082" s="1" t="str">
        <f t="shared" ref="J2082:J2113" si="556">"0000000091"</f>
        <v>0000000091</v>
      </c>
      <c r="K2082" s="1" t="str">
        <f t="shared" ref="K2082:K2113" si="557">"قير  PG64-22"</f>
        <v>قير  PG64-22</v>
      </c>
      <c r="L2082" s="1">
        <v>100</v>
      </c>
      <c r="M2082" s="1" t="str">
        <f t="shared" si="550"/>
        <v>مخازن قير اصفهان</v>
      </c>
      <c r="N2082" s="1">
        <v>1602</v>
      </c>
      <c r="O2082" s="1">
        <v>50032260</v>
      </c>
      <c r="P2082" s="1" t="str">
        <f>"  اداره كل راه و شهرسازي يزد"</f>
        <v xml:space="preserve">  اداره كل راه و شهرسازي يزد</v>
      </c>
      <c r="Q2082" s="1">
        <v>17</v>
      </c>
      <c r="R2082" s="1" t="str">
        <f>"فروش داخلي تهران - وزارت راه - راه روستايي - روکش"</f>
        <v>فروش داخلي تهران - وزارت راه - راه روستايي - روکش</v>
      </c>
      <c r="S2082" s="1" t="str">
        <f t="shared" si="546"/>
        <v>قرارداد فروش</v>
      </c>
      <c r="T2082" s="1" t="str">
        <f t="shared" si="547"/>
        <v>ندارد</v>
      </c>
      <c r="U2082" s="1" t="str">
        <f>"قانعي محمدرضا(1011ج89)"</f>
        <v>قانعي محمدرضا(1011ج89)</v>
      </c>
      <c r="V2082" s="1">
        <v>951700244</v>
      </c>
      <c r="W2082" s="1">
        <v>951700244</v>
      </c>
      <c r="X2082" s="1" t="str">
        <f>"1395414108"</f>
        <v>1395414108</v>
      </c>
      <c r="Y2082" s="1" t="str">
        <f>"95/08/05"</f>
        <v>95/08/05</v>
      </c>
      <c r="Z2082" s="1" t="str">
        <f>"16247/510"</f>
        <v>16247/510</v>
      </c>
      <c r="AA2082" s="1" t="str">
        <f>"راه روستائي -روكش"</f>
        <v>راه روستائي -روكش</v>
      </c>
      <c r="AB2082" s="1" t="str">
        <f>"95/04/15"</f>
        <v>95/04/15</v>
      </c>
      <c r="AC2082" s="1" t="str">
        <f>"استان يزد"</f>
        <v>استان يزد</v>
      </c>
      <c r="AD2082" s="1" t="str">
        <f>"95/04/19"</f>
        <v>95/04/19</v>
      </c>
      <c r="AE2082" s="1" t="str">
        <f t="shared" si="555"/>
        <v>اختتام</v>
      </c>
      <c r="AF2082" s="1" t="str">
        <f>""</f>
        <v/>
      </c>
      <c r="AG2082" s="1" t="str">
        <f>""</f>
        <v/>
      </c>
      <c r="AH2082" s="1" t="str">
        <f>""</f>
        <v/>
      </c>
      <c r="AI2082" s="1" t="str">
        <f>""</f>
        <v/>
      </c>
      <c r="AJ2082" s="1" t="str">
        <f>""</f>
        <v/>
      </c>
      <c r="AK2082" s="1" t="str">
        <f>""</f>
        <v/>
      </c>
    </row>
    <row r="2083" spans="1:37" x14ac:dyDescent="0.2">
      <c r="A2083" s="1">
        <v>293640</v>
      </c>
      <c r="B2083" s="1">
        <v>951700310</v>
      </c>
      <c r="C2083" s="1" t="str">
        <f>"تخليه- مخازن قير مستقر در ادارات راه و شهرسازي شهرستانهاي تابعه و شرکتهاي طرف قرارداد با اين اداره کل"</f>
        <v>تخليه- مخازن قير مستقر در ادارات راه و شهرسازي شهرستانهاي تابعه و شرکتهاي طرف قرارداد با اين اداره کل</v>
      </c>
      <c r="D2083" s="1">
        <v>9068</v>
      </c>
      <c r="E2083" s="1">
        <v>293280</v>
      </c>
      <c r="F2083" s="1">
        <v>95</v>
      </c>
      <c r="G2083" s="1">
        <v>360</v>
      </c>
      <c r="H2083" s="1" t="str">
        <f>"95/11/03"</f>
        <v>95/11/03</v>
      </c>
      <c r="I2083" s="1" t="str">
        <f t="shared" si="545"/>
        <v>كيلوگرم</v>
      </c>
      <c r="J2083" s="1" t="str">
        <f t="shared" si="556"/>
        <v>0000000091</v>
      </c>
      <c r="K2083" s="1" t="str">
        <f t="shared" si="557"/>
        <v>قير  PG64-22</v>
      </c>
      <c r="L2083" s="1">
        <v>100</v>
      </c>
      <c r="M2083" s="1" t="str">
        <f t="shared" si="550"/>
        <v>مخازن قير اصفهان</v>
      </c>
      <c r="N2083" s="1">
        <v>1602</v>
      </c>
      <c r="O2083" s="1">
        <v>50033429</v>
      </c>
      <c r="P2083" s="1" t="str">
        <f>"  اداره كل راه و شهرسازي يزد"</f>
        <v xml:space="preserve">  اداره كل راه و شهرسازي يزد</v>
      </c>
      <c r="Q2083" s="1">
        <v>17</v>
      </c>
      <c r="R2083" s="1" t="str">
        <f>"فروش داخلي تهران - وزارت راه - راه روستايي - روکش"</f>
        <v>فروش داخلي تهران - وزارت راه - راه روستايي - روکش</v>
      </c>
      <c r="S2083" s="1" t="str">
        <f t="shared" si="546"/>
        <v>قرارداد فروش</v>
      </c>
      <c r="T2083" s="1" t="str">
        <f t="shared" si="547"/>
        <v>ندارد</v>
      </c>
      <c r="U2083" s="1" t="str">
        <f>"قانعي محمدرضا(1011ج89)"</f>
        <v>قانعي محمدرضا(1011ج89)</v>
      </c>
      <c r="V2083" s="1">
        <v>951700310</v>
      </c>
      <c r="W2083" s="1">
        <v>951700310</v>
      </c>
      <c r="X2083" s="1" t="str">
        <f>"1395433636"</f>
        <v>1395433636</v>
      </c>
      <c r="Y2083" s="1" t="str">
        <f>"95/11/03"</f>
        <v>95/11/03</v>
      </c>
      <c r="Z2083" s="1" t="str">
        <f>"30515/510"</f>
        <v>30515/510</v>
      </c>
      <c r="AA2083" s="1" t="str">
        <f>"راه روستائي -روكش"</f>
        <v>راه روستائي -روكش</v>
      </c>
      <c r="AB2083" s="1" t="str">
        <f>"95/06/27"</f>
        <v>95/06/27</v>
      </c>
      <c r="AC2083" s="1" t="str">
        <f>"استان يزد"</f>
        <v>استان يزد</v>
      </c>
      <c r="AD2083" s="1" t="str">
        <f>"95/07/04"</f>
        <v>95/07/04</v>
      </c>
      <c r="AE2083" s="1" t="str">
        <f t="shared" si="555"/>
        <v>اختتام</v>
      </c>
      <c r="AF2083" s="1" t="str">
        <f>""</f>
        <v/>
      </c>
      <c r="AG2083" s="1" t="str">
        <f>""</f>
        <v/>
      </c>
      <c r="AH2083" s="1" t="str">
        <f>""</f>
        <v/>
      </c>
      <c r="AI2083" s="1" t="str">
        <f>""</f>
        <v/>
      </c>
      <c r="AJ2083" s="1" t="str">
        <f>""</f>
        <v/>
      </c>
      <c r="AK2083" s="1" t="str">
        <f>""</f>
        <v/>
      </c>
    </row>
    <row r="2084" spans="1:37" x14ac:dyDescent="0.2">
      <c r="A2084" s="1">
        <v>250000</v>
      </c>
      <c r="B2084" s="1">
        <v>951400178</v>
      </c>
      <c r="C2084" s="1" t="str">
        <f>"تخليه يزدكارخانه آسفالت شركت عمراني بسترسازان كوير"</f>
        <v>تخليه يزدكارخانه آسفالت شركت عمراني بسترسازان كوير</v>
      </c>
      <c r="D2084" s="1">
        <v>9354</v>
      </c>
      <c r="E2084" s="1">
        <v>249420</v>
      </c>
      <c r="F2084" s="1">
        <v>95</v>
      </c>
      <c r="G2084" s="1">
        <v>580</v>
      </c>
      <c r="H2084" s="1" t="str">
        <f>"95/12/22"</f>
        <v>95/12/22</v>
      </c>
      <c r="I2084" s="1" t="str">
        <f t="shared" si="545"/>
        <v>كيلوگرم</v>
      </c>
      <c r="J2084" s="1" t="str">
        <f t="shared" si="556"/>
        <v>0000000091</v>
      </c>
      <c r="K2084" s="1" t="str">
        <f t="shared" si="557"/>
        <v>قير  PG64-22</v>
      </c>
      <c r="L2084" s="1">
        <v>100</v>
      </c>
      <c r="M2084" s="1" t="str">
        <f t="shared" si="550"/>
        <v>مخازن قير اصفهان</v>
      </c>
      <c r="N2084" s="1">
        <v>1602</v>
      </c>
      <c r="O2084" s="1">
        <v>50034114</v>
      </c>
      <c r="P2084" s="1" t="str">
        <f>"  اداره كل راه و شهرسازي يزد"</f>
        <v xml:space="preserve">  اداره كل راه و شهرسازي يزد</v>
      </c>
      <c r="Q2084" s="1">
        <v>14</v>
      </c>
      <c r="R2084" s="1" t="str">
        <f>"فروش داخلي - وزارت راه - حوزه راه روستايي ساخت"</f>
        <v>فروش داخلي - وزارت راه - حوزه راه روستايي ساخت</v>
      </c>
      <c r="S2084" s="1" t="str">
        <f t="shared" si="546"/>
        <v>قرارداد فروش</v>
      </c>
      <c r="T2084" s="1" t="str">
        <f t="shared" si="547"/>
        <v>ندارد</v>
      </c>
      <c r="U2084" s="1" t="str">
        <f>"قانعي محمدرضا(1011ج89)"</f>
        <v>قانعي محمدرضا(1011ج89)</v>
      </c>
      <c r="V2084" s="1">
        <v>951400178</v>
      </c>
      <c r="W2084" s="1">
        <v>951400178</v>
      </c>
      <c r="X2084" s="1" t="str">
        <f>"1395470429"</f>
        <v>1395470429</v>
      </c>
      <c r="Y2084" s="1" t="str">
        <f>"95/12/22"</f>
        <v>95/12/22</v>
      </c>
      <c r="Z2084" s="1" t="str">
        <f>"65419/710"</f>
        <v>65419/710</v>
      </c>
      <c r="AA2084" s="1" t="str">
        <f>"راه وروستايي -ساخت"</f>
        <v>راه وروستايي -ساخت</v>
      </c>
      <c r="AB2084" s="1" t="str">
        <f>"95/12/21"</f>
        <v>95/12/21</v>
      </c>
      <c r="AC2084" s="1" t="str">
        <f>"استان يزد"</f>
        <v>استان يزد</v>
      </c>
      <c r="AD2084" s="1" t="str">
        <f>"95/12/22"</f>
        <v>95/12/22</v>
      </c>
      <c r="AE2084" s="1" t="str">
        <f t="shared" si="555"/>
        <v>اختتام</v>
      </c>
      <c r="AF2084" s="1" t="str">
        <f>""</f>
        <v/>
      </c>
      <c r="AG2084" s="1" t="str">
        <f>""</f>
        <v/>
      </c>
      <c r="AH2084" s="1" t="str">
        <f>""</f>
        <v/>
      </c>
      <c r="AI2084" s="1" t="str">
        <f>""</f>
        <v/>
      </c>
      <c r="AJ2084" s="1" t="str">
        <f>""</f>
        <v/>
      </c>
      <c r="AK2084" s="1" t="str">
        <f>""</f>
        <v/>
      </c>
    </row>
    <row r="2085" spans="1:37" x14ac:dyDescent="0.2">
      <c r="A2085" s="1">
        <v>430000</v>
      </c>
      <c r="B2085" s="1">
        <v>951400187</v>
      </c>
      <c r="C2085" s="1" t="str">
        <f>"تخليه -كيلومتر15محوراردكان -هامانه كارخانه آسفالت هامون اردکان"</f>
        <v>تخليه -كيلومتر15محوراردكان -هامانه كارخانه آسفالت هامون اردکان</v>
      </c>
      <c r="D2085" s="1">
        <v>9354</v>
      </c>
      <c r="E2085" s="1">
        <v>429500</v>
      </c>
      <c r="F2085" s="1">
        <v>95</v>
      </c>
      <c r="G2085" s="1">
        <v>500</v>
      </c>
      <c r="H2085" s="1" t="str">
        <f>"95/12/25"</f>
        <v>95/12/25</v>
      </c>
      <c r="I2085" s="1" t="str">
        <f t="shared" si="545"/>
        <v>كيلوگرم</v>
      </c>
      <c r="J2085" s="1" t="str">
        <f t="shared" si="556"/>
        <v>0000000091</v>
      </c>
      <c r="K2085" s="1" t="str">
        <f t="shared" si="557"/>
        <v>قير  PG64-22</v>
      </c>
      <c r="L2085" s="1">
        <v>100</v>
      </c>
      <c r="M2085" s="1" t="str">
        <f t="shared" si="550"/>
        <v>مخازن قير اصفهان</v>
      </c>
      <c r="N2085" s="1">
        <v>1602</v>
      </c>
      <c r="O2085" s="1">
        <v>50034268</v>
      </c>
      <c r="P2085" s="1" t="str">
        <f>"  اداره كل راه و شهرسازي يزد"</f>
        <v xml:space="preserve">  اداره كل راه و شهرسازي يزد</v>
      </c>
      <c r="Q2085" s="1">
        <v>14</v>
      </c>
      <c r="R2085" s="1" t="str">
        <f>"فروش داخلي - وزارت راه - حوزه راه روستايي ساخت"</f>
        <v>فروش داخلي - وزارت راه - حوزه راه روستايي ساخت</v>
      </c>
      <c r="S2085" s="1" t="str">
        <f t="shared" si="546"/>
        <v>قرارداد فروش</v>
      </c>
      <c r="T2085" s="1" t="str">
        <f t="shared" si="547"/>
        <v>ندارد</v>
      </c>
      <c r="U2085" s="1" t="str">
        <f>"قانعي محمدرضا(1011ج89)"</f>
        <v>قانعي محمدرضا(1011ج89)</v>
      </c>
      <c r="V2085" s="1">
        <v>951400187</v>
      </c>
      <c r="W2085" s="1">
        <v>951400187</v>
      </c>
      <c r="X2085" s="1" t="str">
        <f>"1395471034"</f>
        <v>1395471034</v>
      </c>
      <c r="Y2085" s="1" t="str">
        <f>"95/12/25"</f>
        <v>95/12/25</v>
      </c>
      <c r="Z2085" s="1" t="str">
        <f>"66343/710"</f>
        <v>66343/710</v>
      </c>
      <c r="AA2085" s="1" t="str">
        <f>"راه وروستايي -ساخت"</f>
        <v>راه وروستايي -ساخت</v>
      </c>
      <c r="AB2085" s="1" t="str">
        <f>"95/12/23"</f>
        <v>95/12/23</v>
      </c>
      <c r="AC2085" s="1" t="str">
        <f>"استان يزد"</f>
        <v>استان يزد</v>
      </c>
      <c r="AD2085" s="1" t="str">
        <f>"95/12/25"</f>
        <v>95/12/25</v>
      </c>
      <c r="AE2085" s="1" t="str">
        <f t="shared" si="555"/>
        <v>اختتام</v>
      </c>
      <c r="AF2085" s="1" t="str">
        <f>""</f>
        <v/>
      </c>
      <c r="AG2085" s="1" t="str">
        <f>""</f>
        <v/>
      </c>
      <c r="AH2085" s="1" t="str">
        <f>""</f>
        <v/>
      </c>
      <c r="AI2085" s="1" t="str">
        <f>""</f>
        <v/>
      </c>
      <c r="AJ2085" s="1" t="str">
        <f>""</f>
        <v/>
      </c>
      <c r="AK2085" s="1" t="str">
        <f>""</f>
        <v/>
      </c>
    </row>
    <row r="2086" spans="1:37" x14ac:dyDescent="0.2">
      <c r="A2086" s="1">
        <v>63280</v>
      </c>
      <c r="B2086" s="1">
        <v>951800083</v>
      </c>
      <c r="C2086" s="1" t="str">
        <f>"تخليه-خراسان جنوبي-آرين شهر 3کيلومتر بعداز آرين شهر به سمت بيرجند کارخانه آسفالت شرکت آب شن-راه توس"</f>
        <v>تخليه-خراسان جنوبي-آرين شهر 3کيلومتر بعداز آرين شهر به سمت بيرجند کارخانه آسفالت شرکت آب شن-راه توس</v>
      </c>
      <c r="D2086" s="1">
        <v>8323</v>
      </c>
      <c r="E2086" s="1">
        <v>22520</v>
      </c>
      <c r="F2086" s="1">
        <v>95</v>
      </c>
      <c r="G2086" s="1">
        <v>40760</v>
      </c>
      <c r="H2086" s="1" t="str">
        <f>"95/08/08"</f>
        <v>95/08/08</v>
      </c>
      <c r="I2086" s="1" t="str">
        <f t="shared" si="545"/>
        <v>كيلوگرم</v>
      </c>
      <c r="J2086" s="1" t="str">
        <f t="shared" si="556"/>
        <v>0000000091</v>
      </c>
      <c r="K2086" s="1" t="str">
        <f t="shared" si="557"/>
        <v>قير  PG64-22</v>
      </c>
      <c r="L2086" s="1">
        <v>100</v>
      </c>
      <c r="M2086" s="1" t="str">
        <f t="shared" si="550"/>
        <v>مخازن قير اصفهان</v>
      </c>
      <c r="N2086" s="1">
        <v>1661</v>
      </c>
      <c r="O2086" s="1">
        <v>50032327</v>
      </c>
      <c r="P2086" s="1" t="str">
        <f>"  ساختماني او-يول"</f>
        <v xml:space="preserve">  ساختماني او-يول</v>
      </c>
      <c r="Q2086" s="1">
        <v>18</v>
      </c>
      <c r="R2086" s="1" t="str">
        <f>"فروش داخلي تهران - وزارت راه - شرکت ساخت و توسعه راهها"</f>
        <v>فروش داخلي تهران - وزارت راه - شرکت ساخت و توسعه راهها</v>
      </c>
      <c r="S2086" s="1" t="str">
        <f t="shared" si="546"/>
        <v>قرارداد فروش</v>
      </c>
      <c r="T2086" s="1" t="str">
        <f t="shared" si="547"/>
        <v>ندارد</v>
      </c>
      <c r="U2086" s="1" t="str">
        <f>"درودي رضا(1841030)"</f>
        <v>درودي رضا(1841030)</v>
      </c>
      <c r="V2086" s="1">
        <v>951800083</v>
      </c>
      <c r="W2086" s="1">
        <v>951800083</v>
      </c>
      <c r="X2086" s="1" t="str">
        <f>"1395423466"</f>
        <v>1395423466</v>
      </c>
      <c r="Y2086" s="1" t="str">
        <f>"95/08/08"</f>
        <v>95/08/08</v>
      </c>
      <c r="Z2086" s="1" t="str">
        <f>"21620/510"</f>
        <v>21620/510</v>
      </c>
      <c r="AA2086" s="1" t="str">
        <f>"شركت  ساخت وتوسعه راهها"</f>
        <v>شركت  ساخت وتوسعه راهها</v>
      </c>
      <c r="AB2086" s="1" t="str">
        <f>"95/05/16"</f>
        <v>95/05/16</v>
      </c>
      <c r="AC2086" s="1" t="str">
        <f>"خراسان جنوبي"</f>
        <v>خراسان جنوبي</v>
      </c>
      <c r="AD2086" s="1" t="str">
        <f>"95/05/23"</f>
        <v>95/05/23</v>
      </c>
      <c r="AE2086" s="1" t="str">
        <f t="shared" si="555"/>
        <v>اختتام</v>
      </c>
      <c r="AF2086" s="1" t="str">
        <f>""</f>
        <v/>
      </c>
      <c r="AG2086" s="1" t="str">
        <f>""</f>
        <v/>
      </c>
      <c r="AH2086" s="1" t="str">
        <f>""</f>
        <v/>
      </c>
      <c r="AI2086" s="1" t="str">
        <f>""</f>
        <v/>
      </c>
      <c r="AJ2086" s="1" t="str">
        <f>""</f>
        <v/>
      </c>
      <c r="AK2086" s="1" t="str">
        <f>""</f>
        <v/>
      </c>
    </row>
    <row r="2087" spans="1:37" x14ac:dyDescent="0.2">
      <c r="A2087" s="1">
        <v>159100</v>
      </c>
      <c r="B2087" s="1">
        <v>951900244</v>
      </c>
      <c r="C2087" s="1" t="str">
        <f>"تخليه -يزدجاده فهرج -كارخانه آسفالت گسترنصريزد"</f>
        <v>تخليه -يزدجاده فهرج -كارخانه آسفالت گسترنصريزد</v>
      </c>
      <c r="D2087" s="1">
        <v>9511</v>
      </c>
      <c r="E2087" s="1">
        <v>156760</v>
      </c>
      <c r="F2087" s="1">
        <v>95</v>
      </c>
      <c r="G2087" s="1">
        <v>2340</v>
      </c>
      <c r="H2087" s="1" t="str">
        <f>"95/11/03"</f>
        <v>95/11/03</v>
      </c>
      <c r="I2087" s="1" t="str">
        <f t="shared" si="545"/>
        <v>كيلوگرم</v>
      </c>
      <c r="J2087" s="1" t="str">
        <f t="shared" si="556"/>
        <v>0000000091</v>
      </c>
      <c r="K2087" s="1" t="str">
        <f t="shared" si="557"/>
        <v>قير  PG64-22</v>
      </c>
      <c r="L2087" s="1">
        <v>100</v>
      </c>
      <c r="M2087" s="1" t="str">
        <f t="shared" si="550"/>
        <v>مخازن قير اصفهان</v>
      </c>
      <c r="N2087" s="1">
        <v>1665</v>
      </c>
      <c r="O2087" s="1">
        <v>50033458</v>
      </c>
      <c r="P2087" s="1" t="str">
        <f>"  جهاد نصر يزد"</f>
        <v xml:space="preserve">  جهاد نصر يزد</v>
      </c>
      <c r="Q2087" s="1">
        <v>19</v>
      </c>
      <c r="R20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87" s="1" t="str">
        <f t="shared" si="546"/>
        <v>قرارداد فروش</v>
      </c>
      <c r="T2087" s="1" t="str">
        <f t="shared" si="547"/>
        <v>ندارد</v>
      </c>
      <c r="U2087" s="1" t="str">
        <f>"غلام نجفي سيامك‌‌‌‌‌‌(1881082)"</f>
        <v>غلام نجفي سيامك‌‌‌‌‌‌(1881082)</v>
      </c>
      <c r="V2087" s="1">
        <v>951900244</v>
      </c>
      <c r="W2087" s="1">
        <v>951900244</v>
      </c>
      <c r="X2087" s="1" t="str">
        <f>"1395447613"</f>
        <v>1395447613</v>
      </c>
      <c r="Y2087" s="1" t="str">
        <f>"95/11/03"</f>
        <v>95/11/03</v>
      </c>
      <c r="Z2087" s="1" t="str">
        <f>"42078/710"</f>
        <v>42078/710</v>
      </c>
      <c r="AA2087" s="1" t="str">
        <f>"سازمان راهداري وحمل نقل جاده اي"</f>
        <v>سازمان راهداري وحمل نقل جاده اي</v>
      </c>
      <c r="AB2087" s="1" t="str">
        <f>"95/08/29"</f>
        <v>95/08/29</v>
      </c>
      <c r="AC2087" s="1" t="str">
        <f>"استان يزد"</f>
        <v>استان يزد</v>
      </c>
      <c r="AD2087" s="1" t="str">
        <f>"95/09/06"</f>
        <v>95/09/06</v>
      </c>
      <c r="AE2087" s="1" t="str">
        <f t="shared" si="555"/>
        <v>اختتام</v>
      </c>
      <c r="AF2087" s="1" t="str">
        <f>""</f>
        <v/>
      </c>
      <c r="AG2087" s="1" t="str">
        <f>""</f>
        <v/>
      </c>
      <c r="AH2087" s="1" t="str">
        <f>""</f>
        <v/>
      </c>
      <c r="AI2087" s="1" t="str">
        <f>""</f>
        <v/>
      </c>
      <c r="AJ2087" s="1" t="str">
        <f>""</f>
        <v/>
      </c>
      <c r="AK2087" s="1" t="str">
        <f>""</f>
        <v/>
      </c>
    </row>
    <row r="2088" spans="1:37" x14ac:dyDescent="0.2">
      <c r="A2088" s="1">
        <v>300000</v>
      </c>
      <c r="B2088" s="1">
        <v>951900321</v>
      </c>
      <c r="C2088" s="1" t="str">
        <f>"تخليه -يزدجاده فهرج -كارخانه آسفالت گسترنصريزد"</f>
        <v>تخليه -يزدجاده فهرج -كارخانه آسفالت گسترنصريزد</v>
      </c>
      <c r="D2088" s="1">
        <v>9354</v>
      </c>
      <c r="E2088" s="1">
        <v>297180</v>
      </c>
      <c r="F2088" s="1">
        <v>95</v>
      </c>
      <c r="G2088" s="1">
        <v>2820</v>
      </c>
      <c r="H2088" s="1" t="str">
        <f>"95/12/26"</f>
        <v>95/12/26</v>
      </c>
      <c r="I2088" s="1" t="str">
        <f t="shared" si="545"/>
        <v>كيلوگرم</v>
      </c>
      <c r="J2088" s="1" t="str">
        <f t="shared" si="556"/>
        <v>0000000091</v>
      </c>
      <c r="K2088" s="1" t="str">
        <f t="shared" si="557"/>
        <v>قير  PG64-22</v>
      </c>
      <c r="L2088" s="1">
        <v>100</v>
      </c>
      <c r="M2088" s="1" t="str">
        <f t="shared" si="550"/>
        <v>مخازن قير اصفهان</v>
      </c>
      <c r="N2088" s="1">
        <v>1665</v>
      </c>
      <c r="O2088" s="1">
        <v>50034274</v>
      </c>
      <c r="P2088" s="1" t="str">
        <f>"  جهاد نصر يزد"</f>
        <v xml:space="preserve">  جهاد نصر يزد</v>
      </c>
      <c r="Q2088" s="1">
        <v>19</v>
      </c>
      <c r="R20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88" s="1" t="str">
        <f t="shared" si="546"/>
        <v>قرارداد فروش</v>
      </c>
      <c r="T2088" s="1" t="str">
        <f t="shared" si="547"/>
        <v>ندارد</v>
      </c>
      <c r="U2088" s="1" t="str">
        <f>"غلام نجفي سيامك‌‌‌‌‌‌(1881082)"</f>
        <v>غلام نجفي سيامك‌‌‌‌‌‌(1881082)</v>
      </c>
      <c r="V2088" s="1">
        <v>951900321</v>
      </c>
      <c r="W2088" s="1">
        <v>951900321</v>
      </c>
      <c r="X2088" s="1" t="str">
        <f>"1395470940"</f>
        <v>1395470940</v>
      </c>
      <c r="Y2088" s="1" t="str">
        <f>"95/12/26"</f>
        <v>95/12/26</v>
      </c>
      <c r="Z2088" s="1" t="str">
        <f>"61959/710"</f>
        <v>61959/710</v>
      </c>
      <c r="AA2088" s="1" t="str">
        <f>"سازمان راهداري وحمل نقل جاده اي"</f>
        <v>سازمان راهداري وحمل نقل جاده اي</v>
      </c>
      <c r="AB2088" s="1" t="str">
        <f>"95/12/08"</f>
        <v>95/12/08</v>
      </c>
      <c r="AC2088" s="1" t="str">
        <f>"استان يزد"</f>
        <v>استان يزد</v>
      </c>
      <c r="AD2088" s="1" t="str">
        <f>"95/12/24"</f>
        <v>95/12/24</v>
      </c>
      <c r="AE2088" s="1" t="str">
        <f t="shared" si="555"/>
        <v>اختتام</v>
      </c>
      <c r="AF2088" s="1" t="str">
        <f>""</f>
        <v/>
      </c>
      <c r="AG2088" s="1" t="str">
        <f>""</f>
        <v/>
      </c>
      <c r="AH2088" s="1" t="str">
        <f>""</f>
        <v/>
      </c>
      <c r="AI2088" s="1" t="str">
        <f>""</f>
        <v/>
      </c>
      <c r="AJ2088" s="1" t="str">
        <f>""</f>
        <v/>
      </c>
      <c r="AK2088" s="1" t="str">
        <f>""</f>
        <v/>
      </c>
    </row>
    <row r="2089" spans="1:37" x14ac:dyDescent="0.2">
      <c r="A2089" s="1">
        <v>776000</v>
      </c>
      <c r="B2089" s="1">
        <v>951700128</v>
      </c>
      <c r="C2089" s="1" t="str">
        <f>"تخليه -كرمان محوررفسنجان -يزدشركت پ بل"</f>
        <v>تخليه -كرمان محوررفسنجان -يزدشركت پ بل</v>
      </c>
      <c r="D2089" s="1">
        <v>6726</v>
      </c>
      <c r="E2089" s="1">
        <v>774280</v>
      </c>
      <c r="F2089" s="1">
        <v>95</v>
      </c>
      <c r="G2089" s="1">
        <v>1720</v>
      </c>
      <c r="H2089" s="1" t="str">
        <f>"95/05/06"</f>
        <v>95/05/06</v>
      </c>
      <c r="I2089" s="1" t="str">
        <f t="shared" si="545"/>
        <v>كيلوگرم</v>
      </c>
      <c r="J2089" s="1" t="str">
        <f t="shared" si="556"/>
        <v>0000000091</v>
      </c>
      <c r="K2089" s="1" t="str">
        <f t="shared" si="557"/>
        <v>قير  PG64-22</v>
      </c>
      <c r="L2089" s="1">
        <v>100</v>
      </c>
      <c r="M2089" s="1" t="str">
        <f t="shared" si="550"/>
        <v>مخازن قير اصفهان</v>
      </c>
      <c r="N2089" s="1">
        <v>7034</v>
      </c>
      <c r="O2089" s="1">
        <v>50031386</v>
      </c>
      <c r="P2089" s="1" t="str">
        <f>"  اداره كل راه وشهرسازي كرمان"</f>
        <v xml:space="preserve">  اداره كل راه وشهرسازي كرمان</v>
      </c>
      <c r="Q2089" s="1">
        <v>17</v>
      </c>
      <c r="R2089" s="1" t="str">
        <f>"فروش داخلي تهران - وزارت راه - راه روستايي - روکش"</f>
        <v>فروش داخلي تهران - وزارت راه - راه روستايي - روکش</v>
      </c>
      <c r="S2089" s="1" t="str">
        <f t="shared" si="546"/>
        <v>قرارداد فروش</v>
      </c>
      <c r="T2089" s="1" t="str">
        <f t="shared" si="547"/>
        <v>ندارد</v>
      </c>
      <c r="U2089" s="1" t="str">
        <f>"خضرائي فريدون(4844003)"</f>
        <v>خضرائي فريدون(4844003)</v>
      </c>
      <c r="V2089" s="1">
        <v>951700128</v>
      </c>
      <c r="W2089" s="1">
        <v>951700128</v>
      </c>
      <c r="X2089" s="1" t="str">
        <f>"1395418064"</f>
        <v>1395418064</v>
      </c>
      <c r="Y2089" s="1" t="str">
        <f>"95/05/06"</f>
        <v>95/05/06</v>
      </c>
      <c r="Z2089" s="1" t="str">
        <f>"19503/510"</f>
        <v>19503/510</v>
      </c>
      <c r="AA2089" s="1" t="str">
        <f>"راه روستائي -روكش"</f>
        <v>راه روستائي -روكش</v>
      </c>
      <c r="AB2089" s="1" t="str">
        <f>"95/05/03"</f>
        <v>95/05/03</v>
      </c>
      <c r="AC2089" s="1" t="str">
        <f>"استان كرمان"</f>
        <v>استان كرمان</v>
      </c>
      <c r="AD2089" s="1" t="str">
        <f>"95/05/05"</f>
        <v>95/05/05</v>
      </c>
      <c r="AE2089" s="1" t="str">
        <f t="shared" si="555"/>
        <v>اختتام</v>
      </c>
      <c r="AF2089" s="1" t="str">
        <f>""</f>
        <v/>
      </c>
      <c r="AG2089" s="1" t="str">
        <f>""</f>
        <v/>
      </c>
      <c r="AH2089" s="1" t="str">
        <f>""</f>
        <v/>
      </c>
      <c r="AI2089" s="1" t="str">
        <f>""</f>
        <v/>
      </c>
      <c r="AJ2089" s="1" t="str">
        <f>""</f>
        <v/>
      </c>
      <c r="AK2089" s="1" t="str">
        <f>""</f>
        <v/>
      </c>
    </row>
    <row r="2090" spans="1:37" x14ac:dyDescent="0.2">
      <c r="A2090" s="1">
        <v>1000000</v>
      </c>
      <c r="B2090" s="1">
        <v>951900012</v>
      </c>
      <c r="C2090" s="1" t="str">
        <f>"تخليه -خراسان جنوبي -شهرستان طبس -اداره راه وشهرسازي طبس"</f>
        <v>تخليه -خراسان جنوبي -شهرستان طبس -اداره راه وشهرسازي طبس</v>
      </c>
      <c r="D2090" s="1">
        <v>5650</v>
      </c>
      <c r="E2090" s="1">
        <v>1000000</v>
      </c>
      <c r="F2090" s="1">
        <v>95</v>
      </c>
      <c r="G2090" s="1">
        <v>0</v>
      </c>
      <c r="H2090" s="1" t="str">
        <f>"95/02/14"</f>
        <v>95/02/14</v>
      </c>
      <c r="I2090" s="1" t="str">
        <f t="shared" si="545"/>
        <v>كيلوگرم</v>
      </c>
      <c r="J2090" s="1" t="str">
        <f t="shared" si="556"/>
        <v>0000000091</v>
      </c>
      <c r="K2090" s="1" t="str">
        <f t="shared" si="557"/>
        <v>قير  PG64-22</v>
      </c>
      <c r="L2090" s="1">
        <v>100</v>
      </c>
      <c r="M2090" s="1" t="str">
        <f t="shared" si="550"/>
        <v>مخازن قير اصفهان</v>
      </c>
      <c r="N2090" s="1">
        <v>4012</v>
      </c>
      <c r="O2090" s="1">
        <v>50030725</v>
      </c>
      <c r="P2090" s="1" t="str">
        <f t="shared" ref="P2090:P2097" si="558">"  اداره كل راه و شهرسازي خراسان جنوبي"</f>
        <v xml:space="preserve">  اداره كل راه و شهرسازي خراسان جنوبي</v>
      </c>
      <c r="Q2090" s="1">
        <v>19</v>
      </c>
      <c r="R20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90" s="1" t="str">
        <f t="shared" si="546"/>
        <v>قرارداد فروش</v>
      </c>
      <c r="T2090" s="1" t="str">
        <f t="shared" si="547"/>
        <v>ندارد</v>
      </c>
      <c r="U2090" s="1" t="str">
        <f>"بابامحمدي عنايت اله(4844000)"</f>
        <v>بابامحمدي عنايت اله(4844000)</v>
      </c>
      <c r="V2090" s="1">
        <v>951900012</v>
      </c>
      <c r="W2090" s="1">
        <v>951900012</v>
      </c>
      <c r="X2090" s="1" t="str">
        <f>"1395401944"</f>
        <v>1395401944</v>
      </c>
      <c r="Y2090" s="1" t="str">
        <f>"95/02/14"</f>
        <v>95/02/14</v>
      </c>
      <c r="Z2090" s="1" t="str">
        <f>"68970/510"</f>
        <v>68970/510</v>
      </c>
      <c r="AA2090" s="1" t="str">
        <f>"سازمان راهداري وحمل نقل جاده اي"</f>
        <v>سازمان راهداري وحمل نقل جاده اي</v>
      </c>
      <c r="AB2090" s="1" t="str">
        <f>"94/12/17"</f>
        <v>94/12/17</v>
      </c>
      <c r="AC2090" s="1" t="str">
        <f t="shared" ref="AC2090:AC2097" si="559">"خراسان جنوبي"</f>
        <v>خراسان جنوبي</v>
      </c>
      <c r="AD2090" s="1" t="str">
        <f>"95/02/11"</f>
        <v>95/02/11</v>
      </c>
      <c r="AE2090" s="1" t="str">
        <f t="shared" si="555"/>
        <v>اختتام</v>
      </c>
      <c r="AF2090" s="1" t="str">
        <f>""</f>
        <v/>
      </c>
      <c r="AG2090" s="1" t="str">
        <f>""</f>
        <v/>
      </c>
      <c r="AH2090" s="1" t="str">
        <f>""</f>
        <v/>
      </c>
      <c r="AI2090" s="1" t="str">
        <f>""</f>
        <v/>
      </c>
      <c r="AJ2090" s="1" t="str">
        <f>""</f>
        <v/>
      </c>
      <c r="AK2090" s="1" t="str">
        <f>""</f>
        <v/>
      </c>
    </row>
    <row r="2091" spans="1:37" x14ac:dyDescent="0.2">
      <c r="A2091" s="1">
        <v>500000</v>
      </c>
      <c r="B2091" s="1">
        <v>951700006</v>
      </c>
      <c r="C2091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2091" s="1">
        <v>5650</v>
      </c>
      <c r="E2091" s="1">
        <v>500000</v>
      </c>
      <c r="F2091" s="1">
        <v>95</v>
      </c>
      <c r="G2091" s="1">
        <v>0</v>
      </c>
      <c r="H2091" s="1" t="str">
        <f>"95/02/14"</f>
        <v>95/02/14</v>
      </c>
      <c r="I2091" s="1" t="str">
        <f t="shared" si="545"/>
        <v>كيلوگرم</v>
      </c>
      <c r="J2091" s="1" t="str">
        <f t="shared" si="556"/>
        <v>0000000091</v>
      </c>
      <c r="K2091" s="1" t="str">
        <f t="shared" si="557"/>
        <v>قير  PG64-22</v>
      </c>
      <c r="L2091" s="1">
        <v>100</v>
      </c>
      <c r="M2091" s="1" t="str">
        <f t="shared" si="550"/>
        <v>مخازن قير اصفهان</v>
      </c>
      <c r="N2091" s="1">
        <v>4012</v>
      </c>
      <c r="O2091" s="1">
        <v>50030736</v>
      </c>
      <c r="P2091" s="1" t="str">
        <f t="shared" si="558"/>
        <v xml:space="preserve">  اداره كل راه و شهرسازي خراسان جنوبي</v>
      </c>
      <c r="Q2091" s="1">
        <v>17</v>
      </c>
      <c r="R2091" s="1" t="str">
        <f>"فروش داخلي تهران - وزارت راه - راه روستايي - روکش"</f>
        <v>فروش داخلي تهران - وزارت راه - راه روستايي - روکش</v>
      </c>
      <c r="S2091" s="1" t="str">
        <f t="shared" si="546"/>
        <v>قرارداد فروش</v>
      </c>
      <c r="T2091" s="1" t="str">
        <f t="shared" si="547"/>
        <v>ندارد</v>
      </c>
      <c r="U2091" s="1" t="str">
        <f>"بابامحمدي عنايت اله(4844000)"</f>
        <v>بابامحمدي عنايت اله(4844000)</v>
      </c>
      <c r="V2091" s="1">
        <v>951700006</v>
      </c>
      <c r="W2091" s="1">
        <v>951700006</v>
      </c>
      <c r="X2091" s="1" t="str">
        <f>"1395401944"</f>
        <v>1395401944</v>
      </c>
      <c r="Y2091" s="1" t="str">
        <f>"95/02/14"</f>
        <v>95/02/14</v>
      </c>
      <c r="Z2091" s="1" t="str">
        <f>"67050/510"</f>
        <v>67050/510</v>
      </c>
      <c r="AA2091" s="1" t="str">
        <f>"راه روستائي -روكش"</f>
        <v>راه روستائي -روكش</v>
      </c>
      <c r="AB2091" s="1" t="str">
        <f>"94/12/05"</f>
        <v>94/12/05</v>
      </c>
      <c r="AC2091" s="1" t="str">
        <f t="shared" si="559"/>
        <v>خراسان جنوبي</v>
      </c>
      <c r="AD2091" s="1" t="str">
        <f>"95/02/11"</f>
        <v>95/02/11</v>
      </c>
      <c r="AE2091" s="1" t="str">
        <f t="shared" si="555"/>
        <v>اختتام</v>
      </c>
      <c r="AF2091" s="1" t="str">
        <f>""</f>
        <v/>
      </c>
      <c r="AG2091" s="1" t="str">
        <f>""</f>
        <v/>
      </c>
      <c r="AH2091" s="1" t="str">
        <f>""</f>
        <v/>
      </c>
      <c r="AI2091" s="1" t="str">
        <f>""</f>
        <v/>
      </c>
      <c r="AJ2091" s="1" t="str">
        <f>""</f>
        <v/>
      </c>
      <c r="AK2091" s="1" t="str">
        <f>""</f>
        <v/>
      </c>
    </row>
    <row r="2092" spans="1:37" x14ac:dyDescent="0.2">
      <c r="A2092" s="1">
        <v>100000</v>
      </c>
      <c r="B2092" s="1">
        <v>951400032</v>
      </c>
      <c r="C2092" s="1" t="str">
        <f>"تخليه -خراسان جنوبي بيرجندكارخانه محوربيرجند-خوسف"</f>
        <v>تخليه -خراسان جنوبي بيرجندكارخانه محوربيرجند-خوسف</v>
      </c>
      <c r="D2092" s="1">
        <v>6250</v>
      </c>
      <c r="E2092" s="1">
        <v>100000</v>
      </c>
      <c r="F2092" s="1">
        <v>95</v>
      </c>
      <c r="G2092" s="1">
        <v>0</v>
      </c>
      <c r="H2092" s="1" t="str">
        <f>"95/04/05"</f>
        <v>95/04/05</v>
      </c>
      <c r="I2092" s="1" t="str">
        <f t="shared" si="545"/>
        <v>كيلوگرم</v>
      </c>
      <c r="J2092" s="1" t="str">
        <f t="shared" si="556"/>
        <v>0000000091</v>
      </c>
      <c r="K2092" s="1" t="str">
        <f t="shared" si="557"/>
        <v>قير  PG64-22</v>
      </c>
      <c r="L2092" s="1">
        <v>100</v>
      </c>
      <c r="M2092" s="1" t="str">
        <f t="shared" si="550"/>
        <v>مخازن قير اصفهان</v>
      </c>
      <c r="N2092" s="1">
        <v>4012</v>
      </c>
      <c r="O2092" s="1">
        <v>50031113</v>
      </c>
      <c r="P2092" s="1" t="str">
        <f t="shared" si="558"/>
        <v xml:space="preserve">  اداره كل راه و شهرسازي خراسان جنوبي</v>
      </c>
      <c r="Q2092" s="1">
        <v>14</v>
      </c>
      <c r="R2092" s="1" t="str">
        <f>"فروش داخلي - وزارت راه - حوزه راه روستايي ساخت"</f>
        <v>فروش داخلي - وزارت راه - حوزه راه روستايي ساخت</v>
      </c>
      <c r="S2092" s="1" t="str">
        <f t="shared" si="546"/>
        <v>قرارداد فروش</v>
      </c>
      <c r="T2092" s="1" t="str">
        <f t="shared" si="547"/>
        <v>ندارد</v>
      </c>
      <c r="U2092" s="1" t="str">
        <f>"بابامحمدي عنايت اله(4844000)"</f>
        <v>بابامحمدي عنايت اله(4844000)</v>
      </c>
      <c r="V2092" s="1">
        <v>951400032</v>
      </c>
      <c r="W2092" s="1">
        <v>951400032</v>
      </c>
      <c r="X2092" s="1" t="str">
        <f>"1395411198"</f>
        <v>1395411198</v>
      </c>
      <c r="Y2092" s="1" t="str">
        <f>"95/04/05"</f>
        <v>95/04/05</v>
      </c>
      <c r="Z2092" s="1" t="str">
        <f>"13015/510"</f>
        <v>13015/510</v>
      </c>
      <c r="AA2092" s="1" t="str">
        <f>"راه وروستايي -ساخت"</f>
        <v>راه وروستايي -ساخت</v>
      </c>
      <c r="AB2092" s="1" t="str">
        <f>"95/03/29"</f>
        <v>95/03/29</v>
      </c>
      <c r="AC2092" s="1" t="str">
        <f t="shared" si="559"/>
        <v>خراسان جنوبي</v>
      </c>
      <c r="AD2092" s="1" t="str">
        <f>"95/04/05"</f>
        <v>95/04/05</v>
      </c>
      <c r="AE2092" s="1" t="str">
        <f t="shared" si="555"/>
        <v>اختتام</v>
      </c>
      <c r="AF2092" s="1" t="str">
        <f>""</f>
        <v/>
      </c>
      <c r="AG2092" s="1" t="str">
        <f>""</f>
        <v/>
      </c>
      <c r="AH2092" s="1" t="str">
        <f>""</f>
        <v/>
      </c>
      <c r="AI2092" s="1" t="str">
        <f>""</f>
        <v/>
      </c>
      <c r="AJ2092" s="1" t="str">
        <f>""</f>
        <v/>
      </c>
      <c r="AK2092" s="1" t="str">
        <f>""</f>
        <v/>
      </c>
    </row>
    <row r="2093" spans="1:37" x14ac:dyDescent="0.2">
      <c r="A2093" s="1">
        <v>561220</v>
      </c>
      <c r="B2093" s="1">
        <v>951900172</v>
      </c>
      <c r="C2093" s="1" t="str">
        <f>"تخليه -خراسان جنوبي -شهرستان طبس -اداره راه وشهرسازي طبس"</f>
        <v>تخليه -خراسان جنوبي -شهرستان طبس -اداره راه وشهرسازي طبس</v>
      </c>
      <c r="D2093" s="1">
        <v>8323</v>
      </c>
      <c r="E2093" s="1">
        <v>560520</v>
      </c>
      <c r="F2093" s="1">
        <v>95</v>
      </c>
      <c r="G2093" s="1">
        <v>700</v>
      </c>
      <c r="H2093" s="1" t="str">
        <f>"95/08/06"</f>
        <v>95/08/06</v>
      </c>
      <c r="I2093" s="1" t="str">
        <f t="shared" si="545"/>
        <v>كيلوگرم</v>
      </c>
      <c r="J2093" s="1" t="str">
        <f t="shared" si="556"/>
        <v>0000000091</v>
      </c>
      <c r="K2093" s="1" t="str">
        <f t="shared" si="557"/>
        <v>قير  PG64-22</v>
      </c>
      <c r="L2093" s="1">
        <v>100</v>
      </c>
      <c r="M2093" s="1" t="str">
        <f t="shared" si="550"/>
        <v>مخازن قير اصفهان</v>
      </c>
      <c r="N2093" s="1">
        <v>4012</v>
      </c>
      <c r="O2093" s="1">
        <v>50032312</v>
      </c>
      <c r="P2093" s="1" t="str">
        <f t="shared" si="558"/>
        <v xml:space="preserve">  اداره كل راه و شهرسازي خراسان جنوبي</v>
      </c>
      <c r="Q2093" s="1">
        <v>19</v>
      </c>
      <c r="R20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93" s="1" t="str">
        <f t="shared" si="546"/>
        <v>قرارداد فروش</v>
      </c>
      <c r="T2093" s="1" t="str">
        <f t="shared" si="547"/>
        <v>ندارد</v>
      </c>
      <c r="U2093" s="1" t="str">
        <f>"بابامحمدي عنايت اله(4844000)"</f>
        <v>بابامحمدي عنايت اله(4844000)</v>
      </c>
      <c r="V2093" s="1">
        <v>951900172</v>
      </c>
      <c r="W2093" s="1">
        <v>951900172</v>
      </c>
      <c r="X2093" s="1" t="str">
        <f>"1395426943"</f>
        <v>1395426943</v>
      </c>
      <c r="Y2093" s="1" t="str">
        <f>"95/08/06"</f>
        <v>95/08/06</v>
      </c>
      <c r="Z2093" s="1" t="str">
        <f>"23544/510"</f>
        <v>23544/510</v>
      </c>
      <c r="AA2093" s="1" t="str">
        <f>"سازمان راهداري وحمل نقل جاده اي"</f>
        <v>سازمان راهداري وحمل نقل جاده اي</v>
      </c>
      <c r="AB2093" s="1" t="str">
        <f>"95/05/24"</f>
        <v>95/05/24</v>
      </c>
      <c r="AC2093" s="1" t="str">
        <f t="shared" si="559"/>
        <v>خراسان جنوبي</v>
      </c>
      <c r="AD2093" s="1" t="str">
        <f>"95/06/06"</f>
        <v>95/06/06</v>
      </c>
      <c r="AE2093" s="1" t="str">
        <f t="shared" si="555"/>
        <v>اختتام</v>
      </c>
      <c r="AF2093" s="1" t="str">
        <f>""</f>
        <v/>
      </c>
      <c r="AG2093" s="1" t="str">
        <f>""</f>
        <v/>
      </c>
      <c r="AH2093" s="1" t="str">
        <f>""</f>
        <v/>
      </c>
      <c r="AI2093" s="1" t="str">
        <f>""</f>
        <v/>
      </c>
      <c r="AJ2093" s="1" t="str">
        <f>""</f>
        <v/>
      </c>
      <c r="AK2093" s="1" t="str">
        <f>""</f>
        <v/>
      </c>
    </row>
    <row r="2094" spans="1:37" x14ac:dyDescent="0.2">
      <c r="A2094" s="1">
        <v>48540</v>
      </c>
      <c r="B2094" s="1">
        <v>951700282</v>
      </c>
      <c r="C2094" s="1" t="str">
        <f>"تخليه - خراسان جنوبي -کارخانه شهرداري طبس مسينا"</f>
        <v>تخليه - خراسان جنوبي -کارخانه شهرداري طبس مسينا</v>
      </c>
      <c r="D2094" s="1">
        <v>8323</v>
      </c>
      <c r="E2094" s="1">
        <v>47220</v>
      </c>
      <c r="F2094" s="1">
        <v>95</v>
      </c>
      <c r="G2094" s="1">
        <v>1320</v>
      </c>
      <c r="H2094" s="1" t="str">
        <f>"95/08/09"</f>
        <v>95/08/09</v>
      </c>
      <c r="I2094" s="1" t="str">
        <f t="shared" si="545"/>
        <v>كيلوگرم</v>
      </c>
      <c r="J2094" s="1" t="str">
        <f t="shared" si="556"/>
        <v>0000000091</v>
      </c>
      <c r="K2094" s="1" t="str">
        <f t="shared" si="557"/>
        <v>قير  PG64-22</v>
      </c>
      <c r="L2094" s="1">
        <v>100</v>
      </c>
      <c r="M2094" s="1" t="str">
        <f t="shared" si="550"/>
        <v>مخازن قير اصفهان</v>
      </c>
      <c r="N2094" s="1">
        <v>4012</v>
      </c>
      <c r="O2094" s="1">
        <v>50032421</v>
      </c>
      <c r="P2094" s="1" t="str">
        <f t="shared" si="558"/>
        <v xml:space="preserve">  اداره كل راه و شهرسازي خراسان جنوبي</v>
      </c>
      <c r="Q2094" s="1">
        <v>17</v>
      </c>
      <c r="R2094" s="1" t="str">
        <f>"فروش داخلي تهران - وزارت راه - راه روستايي - روکش"</f>
        <v>فروش داخلي تهران - وزارت راه - راه روستايي - روکش</v>
      </c>
      <c r="S2094" s="1" t="str">
        <f t="shared" si="546"/>
        <v>قرارداد فروش</v>
      </c>
      <c r="T2094" s="1" t="str">
        <f t="shared" si="547"/>
        <v>ندارد</v>
      </c>
      <c r="U2094" s="1" t="str">
        <f>"آقا علي منوچهر(1016ج89)"</f>
        <v>آقا علي منوچهر(1016ج89)</v>
      </c>
      <c r="V2094" s="1">
        <v>951700282</v>
      </c>
      <c r="W2094" s="1">
        <v>951700282</v>
      </c>
      <c r="X2094" s="1" t="str">
        <f>"1395427781"</f>
        <v>1395427781</v>
      </c>
      <c r="Y2094" s="1" t="str">
        <f>"95/08/09"</f>
        <v>95/08/09</v>
      </c>
      <c r="Z2094" s="1" t="str">
        <f>"26336/510"</f>
        <v>26336/510</v>
      </c>
      <c r="AA2094" s="1" t="str">
        <f>"راه روستائي -روكش"</f>
        <v>راه روستائي -روكش</v>
      </c>
      <c r="AB2094" s="1" t="str">
        <f>"95/06/07"</f>
        <v>95/06/07</v>
      </c>
      <c r="AC2094" s="1" t="str">
        <f t="shared" si="559"/>
        <v>خراسان جنوبي</v>
      </c>
      <c r="AD2094" s="1" t="str">
        <f>"95/06/09"</f>
        <v>95/06/09</v>
      </c>
      <c r="AE2094" s="1" t="str">
        <f t="shared" si="555"/>
        <v>اختتام</v>
      </c>
      <c r="AF2094" s="1" t="str">
        <f>""</f>
        <v/>
      </c>
      <c r="AG2094" s="1" t="str">
        <f>""</f>
        <v/>
      </c>
      <c r="AH2094" s="1" t="str">
        <f>""</f>
        <v/>
      </c>
      <c r="AI2094" s="1" t="str">
        <f>""</f>
        <v/>
      </c>
      <c r="AJ2094" s="1" t="str">
        <f>""</f>
        <v/>
      </c>
      <c r="AK2094" s="1" t="str">
        <f>""</f>
        <v/>
      </c>
    </row>
    <row r="2095" spans="1:37" x14ac:dyDescent="0.2">
      <c r="A2095" s="1">
        <v>215000</v>
      </c>
      <c r="B2095" s="1">
        <v>951400136</v>
      </c>
      <c r="C2095" s="1" t="str">
        <f>"تخليه -خراسان جنوبي -بيرجند-كارخانه آسفالت شماره 2"</f>
        <v>تخليه -خراسان جنوبي -بيرجند-كارخانه آسفالت شماره 2</v>
      </c>
      <c r="D2095" s="1">
        <v>8998</v>
      </c>
      <c r="E2095" s="1">
        <v>212400</v>
      </c>
      <c r="F2095" s="1">
        <v>95</v>
      </c>
      <c r="G2095" s="1">
        <v>2600</v>
      </c>
      <c r="H2095" s="1" t="str">
        <f>"95/11/03"</f>
        <v>95/11/03</v>
      </c>
      <c r="I2095" s="1" t="str">
        <f t="shared" si="545"/>
        <v>كيلوگرم</v>
      </c>
      <c r="J2095" s="1" t="str">
        <f t="shared" si="556"/>
        <v>0000000091</v>
      </c>
      <c r="K2095" s="1" t="str">
        <f t="shared" si="557"/>
        <v>قير  PG64-22</v>
      </c>
      <c r="L2095" s="1">
        <v>100</v>
      </c>
      <c r="M2095" s="1" t="str">
        <f t="shared" si="550"/>
        <v>مخازن قير اصفهان</v>
      </c>
      <c r="N2095" s="1">
        <v>4012</v>
      </c>
      <c r="O2095" s="1">
        <v>50033480</v>
      </c>
      <c r="P2095" s="1" t="str">
        <f t="shared" si="558"/>
        <v xml:space="preserve">  اداره كل راه و شهرسازي خراسان جنوبي</v>
      </c>
      <c r="Q2095" s="1">
        <v>14</v>
      </c>
      <c r="R2095" s="1" t="str">
        <f>"فروش داخلي - وزارت راه - حوزه راه روستايي ساخت"</f>
        <v>فروش داخلي - وزارت راه - حوزه راه روستايي ساخت</v>
      </c>
      <c r="S2095" s="1" t="str">
        <f t="shared" si="546"/>
        <v>قرارداد فروش</v>
      </c>
      <c r="T2095" s="1" t="str">
        <f t="shared" si="547"/>
        <v>ندارد</v>
      </c>
      <c r="U2095" s="1" t="str">
        <f>"بابامحمدي عنايت اله(4844000)"</f>
        <v>بابامحمدي عنايت اله(4844000)</v>
      </c>
      <c r="V2095" s="1">
        <v>951400136</v>
      </c>
      <c r="W2095" s="1">
        <v>951400136</v>
      </c>
      <c r="X2095" s="1" t="str">
        <f>"1395456363"</f>
        <v>1395456363</v>
      </c>
      <c r="Y2095" s="1" t="str">
        <f>"95/11/03"</f>
        <v>95/11/03</v>
      </c>
      <c r="Z2095" s="1" t="str">
        <f>"49493/710"</f>
        <v>49493/710</v>
      </c>
      <c r="AA2095" s="1" t="str">
        <f>"راه وروستايي -ساخت"</f>
        <v>راه وروستايي -ساخت</v>
      </c>
      <c r="AB2095" s="1" t="str">
        <f>"95/10/08"</f>
        <v>95/10/08</v>
      </c>
      <c r="AC2095" s="1" t="str">
        <f t="shared" si="559"/>
        <v>خراسان جنوبي</v>
      </c>
      <c r="AD2095" s="1" t="str">
        <f>"95/10/13"</f>
        <v>95/10/13</v>
      </c>
      <c r="AE2095" s="1" t="str">
        <f t="shared" si="555"/>
        <v>اختتام</v>
      </c>
      <c r="AF2095" s="1" t="str">
        <f>""</f>
        <v/>
      </c>
      <c r="AG2095" s="1" t="str">
        <f>""</f>
        <v/>
      </c>
      <c r="AH2095" s="1" t="str">
        <f>""</f>
        <v/>
      </c>
      <c r="AI2095" s="1" t="str">
        <f>""</f>
        <v/>
      </c>
      <c r="AJ2095" s="1" t="str">
        <f>""</f>
        <v/>
      </c>
      <c r="AK2095" s="1" t="str">
        <f>""</f>
        <v/>
      </c>
    </row>
    <row r="2096" spans="1:37" x14ac:dyDescent="0.2">
      <c r="A2096" s="1">
        <v>165000</v>
      </c>
      <c r="B2096" s="1">
        <v>951400183</v>
      </c>
      <c r="C2096" s="1" t="str">
        <f>"تخليه خراسان جنوبي شهرستان قاين شهراسفدن  كارخانه آسفالت توس راديه"</f>
        <v>تخليه خراسان جنوبي شهرستان قاين شهراسفدن  كارخانه آسفالت توس راديه</v>
      </c>
      <c r="D2096" s="1">
        <v>9354</v>
      </c>
      <c r="E2096" s="1">
        <v>164380</v>
      </c>
      <c r="F2096" s="1">
        <v>95</v>
      </c>
      <c r="G2096" s="1">
        <v>620</v>
      </c>
      <c r="H2096" s="1" t="str">
        <f>"95/12/24"</f>
        <v>95/12/24</v>
      </c>
      <c r="I2096" s="1" t="str">
        <f t="shared" si="545"/>
        <v>كيلوگرم</v>
      </c>
      <c r="J2096" s="1" t="str">
        <f t="shared" si="556"/>
        <v>0000000091</v>
      </c>
      <c r="K2096" s="1" t="str">
        <f t="shared" si="557"/>
        <v>قير  PG64-22</v>
      </c>
      <c r="L2096" s="1">
        <v>100</v>
      </c>
      <c r="M2096" s="1" t="str">
        <f t="shared" si="550"/>
        <v>مخازن قير اصفهان</v>
      </c>
      <c r="N2096" s="1">
        <v>4012</v>
      </c>
      <c r="O2096" s="1">
        <v>50034950</v>
      </c>
      <c r="P2096" s="1" t="str">
        <f t="shared" si="558"/>
        <v xml:space="preserve">  اداره كل راه و شهرسازي خراسان جنوبي</v>
      </c>
      <c r="Q2096" s="1">
        <v>14</v>
      </c>
      <c r="R2096" s="1" t="str">
        <f>"فروش داخلي - وزارت راه - حوزه راه روستايي ساخت"</f>
        <v>فروش داخلي - وزارت راه - حوزه راه روستايي ساخت</v>
      </c>
      <c r="S2096" s="1" t="str">
        <f t="shared" si="546"/>
        <v>قرارداد فروش</v>
      </c>
      <c r="T2096" s="1" t="str">
        <f t="shared" si="547"/>
        <v>ندارد</v>
      </c>
      <c r="U2096" s="1" t="str">
        <f>"شيخي خيراله (1841012)"</f>
        <v>شيخي خيراله (1841012)</v>
      </c>
      <c r="V2096" s="1">
        <v>951400183</v>
      </c>
      <c r="W2096" s="1">
        <v>951400183</v>
      </c>
      <c r="X2096" s="1" t="str">
        <f>"1395470430"</f>
        <v>1395470430</v>
      </c>
      <c r="Y2096" s="1" t="str">
        <f>"95/12/24"</f>
        <v>95/12/24</v>
      </c>
      <c r="Z2096" s="1" t="str">
        <f>"65437/710"</f>
        <v>65437/710</v>
      </c>
      <c r="AA2096" s="1" t="str">
        <f>"راه وروستايي -ساخت"</f>
        <v>راه وروستايي -ساخت</v>
      </c>
      <c r="AB2096" s="1" t="str">
        <f>"95/12/21"</f>
        <v>95/12/21</v>
      </c>
      <c r="AC2096" s="1" t="str">
        <f t="shared" si="559"/>
        <v>خراسان جنوبي</v>
      </c>
      <c r="AD2096" s="1" t="str">
        <f>"95/12/22"</f>
        <v>95/12/22</v>
      </c>
      <c r="AE2096" s="1" t="str">
        <f t="shared" si="555"/>
        <v>اختتام</v>
      </c>
      <c r="AF2096" s="1" t="str">
        <f>""</f>
        <v/>
      </c>
      <c r="AG2096" s="1" t="str">
        <f>""</f>
        <v/>
      </c>
      <c r="AH2096" s="1" t="str">
        <f>""</f>
        <v/>
      </c>
      <c r="AI2096" s="1" t="str">
        <f>""</f>
        <v/>
      </c>
      <c r="AJ2096" s="1" t="str">
        <f>""</f>
        <v/>
      </c>
      <c r="AK2096" s="1" t="str">
        <f>""</f>
        <v/>
      </c>
    </row>
    <row r="2097" spans="1:37" x14ac:dyDescent="0.2">
      <c r="A2097" s="1">
        <v>195000</v>
      </c>
      <c r="B2097" s="1">
        <v>951400186</v>
      </c>
      <c r="C2097" s="1" t="str">
        <f>"تخليه خراسان جنوبي بيرجند شهرك صنعتي كارخانه آسفالت بهبودصنعت"</f>
        <v>تخليه خراسان جنوبي بيرجند شهرك صنعتي كارخانه آسفالت بهبودصنعت</v>
      </c>
      <c r="D2097" s="1">
        <v>9354</v>
      </c>
      <c r="E2097" s="1">
        <v>189200</v>
      </c>
      <c r="F2097" s="1">
        <v>95</v>
      </c>
      <c r="G2097" s="1">
        <v>5800</v>
      </c>
      <c r="H2097" s="1" t="str">
        <f>"95/12/24"</f>
        <v>95/12/24</v>
      </c>
      <c r="I2097" s="1" t="str">
        <f t="shared" si="545"/>
        <v>كيلوگرم</v>
      </c>
      <c r="J2097" s="1" t="str">
        <f t="shared" si="556"/>
        <v>0000000091</v>
      </c>
      <c r="K2097" s="1" t="str">
        <f t="shared" si="557"/>
        <v>قير  PG64-22</v>
      </c>
      <c r="L2097" s="1">
        <v>100</v>
      </c>
      <c r="M2097" s="1" t="str">
        <f t="shared" si="550"/>
        <v>مخازن قير اصفهان</v>
      </c>
      <c r="N2097" s="1">
        <v>4012</v>
      </c>
      <c r="O2097" s="1">
        <v>50034954</v>
      </c>
      <c r="P2097" s="1" t="str">
        <f t="shared" si="558"/>
        <v xml:space="preserve">  اداره كل راه و شهرسازي خراسان جنوبي</v>
      </c>
      <c r="Q2097" s="1">
        <v>14</v>
      </c>
      <c r="R2097" s="1" t="str">
        <f>"فروش داخلي - وزارت راه - حوزه راه روستايي ساخت"</f>
        <v>فروش داخلي - وزارت راه - حوزه راه روستايي ساخت</v>
      </c>
      <c r="S2097" s="1" t="str">
        <f t="shared" si="546"/>
        <v>قرارداد فروش</v>
      </c>
      <c r="T2097" s="1" t="str">
        <f t="shared" si="547"/>
        <v>ندارد</v>
      </c>
      <c r="U2097" s="1" t="str">
        <f>"شيخي خيراله (1841012)"</f>
        <v>شيخي خيراله (1841012)</v>
      </c>
      <c r="V2097" s="1">
        <v>951400186</v>
      </c>
      <c r="W2097" s="1">
        <v>951400186</v>
      </c>
      <c r="X2097" s="1" t="str">
        <f>"1395470430"</f>
        <v>1395470430</v>
      </c>
      <c r="Y2097" s="1" t="str">
        <f>"95/12/24"</f>
        <v>95/12/24</v>
      </c>
      <c r="Z2097" s="1" t="str">
        <f>"65165/710"</f>
        <v>65165/710</v>
      </c>
      <c r="AA2097" s="1" t="str">
        <f>"راه وروستايي -ساخت"</f>
        <v>راه وروستايي -ساخت</v>
      </c>
      <c r="AB2097" s="1" t="str">
        <f>"95/12/18"</f>
        <v>95/12/18</v>
      </c>
      <c r="AC2097" s="1" t="str">
        <f t="shared" si="559"/>
        <v>خراسان جنوبي</v>
      </c>
      <c r="AD2097" s="1" t="str">
        <f>"95/12/22"</f>
        <v>95/12/22</v>
      </c>
      <c r="AE2097" s="1" t="str">
        <f t="shared" si="555"/>
        <v>اختتام</v>
      </c>
      <c r="AF2097" s="1" t="str">
        <f>""</f>
        <v/>
      </c>
      <c r="AG2097" s="1" t="str">
        <f>""</f>
        <v/>
      </c>
      <c r="AH2097" s="1" t="str">
        <f>""</f>
        <v/>
      </c>
      <c r="AI2097" s="1" t="str">
        <f>""</f>
        <v/>
      </c>
      <c r="AJ2097" s="1" t="str">
        <f>""</f>
        <v/>
      </c>
      <c r="AK2097" s="1" t="str">
        <f>""</f>
        <v/>
      </c>
    </row>
    <row r="2098" spans="1:37" x14ac:dyDescent="0.2">
      <c r="A2098" s="1">
        <v>240000</v>
      </c>
      <c r="B2098" s="1">
        <v>951700009</v>
      </c>
      <c r="C2098" s="1" t="str">
        <f>"تخليه خراسان رضوي كيلومتر80محوركلات مشهدسه راهي اورتكندكارخانه ريوندراه آريا"</f>
        <v>تخليه خراسان رضوي كيلومتر80محوركلات مشهدسه راهي اورتكندكارخانه ريوندراه آريا</v>
      </c>
      <c r="D2098" s="1">
        <v>5650</v>
      </c>
      <c r="E2098" s="1">
        <v>238880</v>
      </c>
      <c r="F2098" s="1">
        <v>95</v>
      </c>
      <c r="G2098" s="1">
        <v>1120</v>
      </c>
      <c r="H2098" s="1" t="str">
        <f>"95/02/15"</f>
        <v>95/02/15</v>
      </c>
      <c r="I2098" s="1" t="str">
        <f t="shared" si="545"/>
        <v>كيلوگرم</v>
      </c>
      <c r="J2098" s="1" t="str">
        <f t="shared" si="556"/>
        <v>0000000091</v>
      </c>
      <c r="K2098" s="1" t="str">
        <f t="shared" si="557"/>
        <v>قير  PG64-22</v>
      </c>
      <c r="L2098" s="1">
        <v>100</v>
      </c>
      <c r="M2098" s="1" t="str">
        <f t="shared" si="550"/>
        <v>مخازن قير اصفهان</v>
      </c>
      <c r="N2098" s="1">
        <v>4026</v>
      </c>
      <c r="O2098" s="1">
        <v>50030751</v>
      </c>
      <c r="P2098" s="1" t="str">
        <f t="shared" ref="P2098:P2110" si="560">"  اداره كل راه و شهرسازي خراسان رضوي"</f>
        <v xml:space="preserve">  اداره كل راه و شهرسازي خراسان رضوي</v>
      </c>
      <c r="Q2098" s="1">
        <v>17</v>
      </c>
      <c r="R2098" s="1" t="str">
        <f t="shared" ref="R2098:R2110" si="561">"فروش داخلي تهران - وزارت راه - راه روستايي - روکش"</f>
        <v>فروش داخلي تهران - وزارت راه - راه روستايي - روکش</v>
      </c>
      <c r="S2098" s="1" t="str">
        <f t="shared" si="546"/>
        <v>قرارداد فروش</v>
      </c>
      <c r="T2098" s="1" t="str">
        <f t="shared" si="547"/>
        <v>ندارد</v>
      </c>
      <c r="U2098" s="1" t="str">
        <f>"بابامحمدي عنايت اله(4844000)"</f>
        <v>بابامحمدي عنايت اله(4844000)</v>
      </c>
      <c r="V2098" s="1">
        <v>951700009</v>
      </c>
      <c r="W2098" s="1">
        <v>951700009</v>
      </c>
      <c r="X2098" s="1" t="str">
        <f>"1395401990"</f>
        <v>1395401990</v>
      </c>
      <c r="Y2098" s="1" t="str">
        <f>"95/02/15"</f>
        <v>95/02/15</v>
      </c>
      <c r="Z2098" s="1" t="str">
        <f>"66670/510"</f>
        <v>66670/510</v>
      </c>
      <c r="AA2098" s="1" t="str">
        <f t="shared" ref="AA2098:AA2110" si="562">"راه روستائي -روكش"</f>
        <v>راه روستائي -روكش</v>
      </c>
      <c r="AB2098" s="1" t="str">
        <f>"94/12/04"</f>
        <v>94/12/04</v>
      </c>
      <c r="AC2098" s="1" t="str">
        <f>"استان اصفهان"</f>
        <v>استان اصفهان</v>
      </c>
      <c r="AD2098" s="1" t="str">
        <f>"95/02/11"</f>
        <v>95/02/11</v>
      </c>
      <c r="AE2098" s="1" t="str">
        <f t="shared" si="555"/>
        <v>اختتام</v>
      </c>
      <c r="AF2098" s="1" t="str">
        <f>""</f>
        <v/>
      </c>
      <c r="AG2098" s="1" t="str">
        <f>""</f>
        <v/>
      </c>
      <c r="AH2098" s="1" t="str">
        <f>""</f>
        <v/>
      </c>
      <c r="AI2098" s="1" t="str">
        <f>""</f>
        <v/>
      </c>
      <c r="AJ2098" s="1" t="str">
        <f>""</f>
        <v/>
      </c>
      <c r="AK2098" s="1" t="str">
        <f>""</f>
        <v/>
      </c>
    </row>
    <row r="2099" spans="1:37" x14ac:dyDescent="0.2">
      <c r="A2099" s="1">
        <v>470000</v>
      </c>
      <c r="B2099" s="1">
        <v>951700011</v>
      </c>
      <c r="C2099" s="1" t="str">
        <f>"تخليه خراسان رضوي -قوچان كيلومتر10محورقوچان چناران كارخانه آسفالت شهرداري"</f>
        <v>تخليه خراسان رضوي -قوچان كيلومتر10محورقوچان چناران كارخانه آسفالت شهرداري</v>
      </c>
      <c r="D2099" s="1">
        <v>5650</v>
      </c>
      <c r="E2099" s="1">
        <v>466940</v>
      </c>
      <c r="F2099" s="1">
        <v>95</v>
      </c>
      <c r="G2099" s="1">
        <v>3060</v>
      </c>
      <c r="H2099" s="1" t="str">
        <f>"95/02/15"</f>
        <v>95/02/15</v>
      </c>
      <c r="I2099" s="1" t="str">
        <f t="shared" si="545"/>
        <v>كيلوگرم</v>
      </c>
      <c r="J2099" s="1" t="str">
        <f t="shared" si="556"/>
        <v>0000000091</v>
      </c>
      <c r="K2099" s="1" t="str">
        <f t="shared" si="557"/>
        <v>قير  PG64-22</v>
      </c>
      <c r="L2099" s="1">
        <v>100</v>
      </c>
      <c r="M2099" s="1" t="str">
        <f t="shared" si="550"/>
        <v>مخازن قير اصفهان</v>
      </c>
      <c r="N2099" s="1">
        <v>4026</v>
      </c>
      <c r="O2099" s="1">
        <v>50030756</v>
      </c>
      <c r="P2099" s="1" t="str">
        <f t="shared" si="560"/>
        <v xml:space="preserve">  اداره كل راه و شهرسازي خراسان رضوي</v>
      </c>
      <c r="Q2099" s="1">
        <v>17</v>
      </c>
      <c r="R2099" s="1" t="str">
        <f t="shared" si="561"/>
        <v>فروش داخلي تهران - وزارت راه - راه روستايي - روکش</v>
      </c>
      <c r="S2099" s="1" t="str">
        <f t="shared" si="546"/>
        <v>قرارداد فروش</v>
      </c>
      <c r="T2099" s="1" t="str">
        <f t="shared" si="547"/>
        <v>ندارد</v>
      </c>
      <c r="U2099" s="1" t="str">
        <f>"آقا علي منوچهر(1016ج89)"</f>
        <v>آقا علي منوچهر(1016ج89)</v>
      </c>
      <c r="V2099" s="1">
        <v>951700011</v>
      </c>
      <c r="W2099" s="1">
        <v>951700011</v>
      </c>
      <c r="X2099" s="1" t="str">
        <f>"1395401990"</f>
        <v>1395401990</v>
      </c>
      <c r="Y2099" s="1" t="str">
        <f>"95/02/15"</f>
        <v>95/02/15</v>
      </c>
      <c r="Z2099" s="1" t="str">
        <f>"66777/510"</f>
        <v>66777/510</v>
      </c>
      <c r="AA2099" s="1" t="str">
        <f t="shared" si="562"/>
        <v>راه روستائي -روكش</v>
      </c>
      <c r="AB2099" s="1" t="str">
        <f>"94/12/04"</f>
        <v>94/12/04</v>
      </c>
      <c r="AC2099" s="1" t="str">
        <f t="shared" ref="AC2099:AC2110" si="563">"خراسان رضوي"</f>
        <v>خراسان رضوي</v>
      </c>
      <c r="AD2099" s="1" t="str">
        <f>"95/02/11"</f>
        <v>95/02/11</v>
      </c>
      <c r="AE2099" s="1" t="str">
        <f t="shared" si="555"/>
        <v>اختتام</v>
      </c>
      <c r="AF2099" s="1" t="str">
        <f>""</f>
        <v/>
      </c>
      <c r="AG2099" s="1" t="str">
        <f>""</f>
        <v/>
      </c>
      <c r="AH2099" s="1" t="str">
        <f>""</f>
        <v/>
      </c>
      <c r="AI2099" s="1" t="str">
        <f>""</f>
        <v/>
      </c>
      <c r="AJ2099" s="1" t="str">
        <f>""</f>
        <v/>
      </c>
      <c r="AK2099" s="1" t="str">
        <f>""</f>
        <v/>
      </c>
    </row>
    <row r="2100" spans="1:37" x14ac:dyDescent="0.2">
      <c r="A2100" s="1">
        <v>940000</v>
      </c>
      <c r="B2100" s="1">
        <v>951700017</v>
      </c>
      <c r="C2100" s="1" t="str">
        <f>"تخليه -خراسان رضوي مخازن راه وشهرسازي صالح آباد"</f>
        <v>تخليه -خراسان رضوي مخازن راه وشهرسازي صالح آباد</v>
      </c>
      <c r="D2100" s="1">
        <v>5650</v>
      </c>
      <c r="E2100" s="1">
        <v>915280</v>
      </c>
      <c r="F2100" s="1">
        <v>95</v>
      </c>
      <c r="G2100" s="1">
        <v>24720</v>
      </c>
      <c r="H2100" s="1" t="str">
        <f>"95/02/15"</f>
        <v>95/02/15</v>
      </c>
      <c r="I2100" s="1" t="str">
        <f t="shared" si="545"/>
        <v>كيلوگرم</v>
      </c>
      <c r="J2100" s="1" t="str">
        <f t="shared" si="556"/>
        <v>0000000091</v>
      </c>
      <c r="K2100" s="1" t="str">
        <f t="shared" si="557"/>
        <v>قير  PG64-22</v>
      </c>
      <c r="L2100" s="1">
        <v>100</v>
      </c>
      <c r="M2100" s="1" t="str">
        <f t="shared" si="550"/>
        <v>مخازن قير اصفهان</v>
      </c>
      <c r="N2100" s="1">
        <v>4026</v>
      </c>
      <c r="O2100" s="1">
        <v>50030766</v>
      </c>
      <c r="P2100" s="1" t="str">
        <f t="shared" si="560"/>
        <v xml:space="preserve">  اداره كل راه و شهرسازي خراسان رضوي</v>
      </c>
      <c r="Q2100" s="1">
        <v>17</v>
      </c>
      <c r="R2100" s="1" t="str">
        <f t="shared" si="561"/>
        <v>فروش داخلي تهران - وزارت راه - راه روستايي - روکش</v>
      </c>
      <c r="S2100" s="1" t="str">
        <f t="shared" si="546"/>
        <v>قرارداد فروش</v>
      </c>
      <c r="T2100" s="1" t="str">
        <f t="shared" si="547"/>
        <v>ندارد</v>
      </c>
      <c r="U2100" s="1" t="str">
        <f>"حسيني سيدجواد(1841076)"</f>
        <v>حسيني سيدجواد(1841076)</v>
      </c>
      <c r="V2100" s="1">
        <v>951700017</v>
      </c>
      <c r="W2100" s="1">
        <v>951700017</v>
      </c>
      <c r="X2100" s="1" t="str">
        <f>"1395401990"</f>
        <v>1395401990</v>
      </c>
      <c r="Y2100" s="1" t="str">
        <f>"95/02/15"</f>
        <v>95/02/15</v>
      </c>
      <c r="Z2100" s="1" t="str">
        <f>"67368/510"</f>
        <v>67368/510</v>
      </c>
      <c r="AA2100" s="1" t="str">
        <f t="shared" si="562"/>
        <v>راه روستائي -روكش</v>
      </c>
      <c r="AB2100" s="1" t="str">
        <f>"94/12/09"</f>
        <v>94/12/09</v>
      </c>
      <c r="AC2100" s="1" t="str">
        <f t="shared" si="563"/>
        <v>خراسان رضوي</v>
      </c>
      <c r="AD2100" s="1" t="str">
        <f>"95/02/11"</f>
        <v>95/02/11</v>
      </c>
      <c r="AE2100" s="1" t="str">
        <f t="shared" ref="AE2100:AE2123" si="564">"اختتام"</f>
        <v>اختتام</v>
      </c>
      <c r="AF2100" s="1" t="str">
        <f>""</f>
        <v/>
      </c>
      <c r="AG2100" s="1" t="str">
        <f>""</f>
        <v/>
      </c>
      <c r="AH2100" s="1" t="str">
        <f>""</f>
        <v/>
      </c>
      <c r="AI2100" s="1" t="str">
        <f>""</f>
        <v/>
      </c>
      <c r="AJ2100" s="1" t="str">
        <f>""</f>
        <v/>
      </c>
      <c r="AK2100" s="1" t="str">
        <f>""</f>
        <v/>
      </c>
    </row>
    <row r="2101" spans="1:37" x14ac:dyDescent="0.2">
      <c r="A2101" s="1">
        <v>500000</v>
      </c>
      <c r="B2101" s="1">
        <v>951700066</v>
      </c>
      <c r="C2101" s="1" t="str">
        <f>"تخليه-کاشمر-کارخانه آسفالت کيميا سروش پاسارگاد"</f>
        <v>تخليه-کاشمر-کارخانه آسفالت کيميا سروش پاسارگاد</v>
      </c>
      <c r="D2101" s="1">
        <v>6250</v>
      </c>
      <c r="E2101" s="1">
        <v>500000</v>
      </c>
      <c r="F2101" s="1">
        <v>95</v>
      </c>
      <c r="G2101" s="1">
        <v>0</v>
      </c>
      <c r="H2101" s="1" t="str">
        <f>"95/04/06"</f>
        <v>95/04/06</v>
      </c>
      <c r="I2101" s="1" t="str">
        <f t="shared" si="545"/>
        <v>كيلوگرم</v>
      </c>
      <c r="J2101" s="1" t="str">
        <f t="shared" si="556"/>
        <v>0000000091</v>
      </c>
      <c r="K2101" s="1" t="str">
        <f t="shared" si="557"/>
        <v>قير  PG64-22</v>
      </c>
      <c r="L2101" s="1">
        <v>100</v>
      </c>
      <c r="M2101" s="1" t="str">
        <f t="shared" si="550"/>
        <v>مخازن قير اصفهان</v>
      </c>
      <c r="N2101" s="1">
        <v>4026</v>
      </c>
      <c r="O2101" s="1">
        <v>50031136</v>
      </c>
      <c r="P2101" s="1" t="str">
        <f t="shared" si="560"/>
        <v xml:space="preserve">  اداره كل راه و شهرسازي خراسان رضوي</v>
      </c>
      <c r="Q2101" s="1">
        <v>17</v>
      </c>
      <c r="R2101" s="1" t="str">
        <f t="shared" si="561"/>
        <v>فروش داخلي تهران - وزارت راه - راه روستايي - روکش</v>
      </c>
      <c r="S2101" s="1" t="str">
        <f t="shared" si="546"/>
        <v>قرارداد فروش</v>
      </c>
      <c r="T2101" s="1" t="str">
        <f t="shared" si="547"/>
        <v>ندارد</v>
      </c>
      <c r="U2101" s="1" t="str">
        <f>"ترك شاهسوندي مهدي(1022ج89)"</f>
        <v>ترك شاهسوندي مهدي(1022ج89)</v>
      </c>
      <c r="V2101" s="1">
        <v>951700066</v>
      </c>
      <c r="W2101" s="1">
        <v>951700066</v>
      </c>
      <c r="X2101" s="1" t="str">
        <f>"1395411229"</f>
        <v>1395411229</v>
      </c>
      <c r="Y2101" s="1" t="str">
        <f>"95/04/06"</f>
        <v>95/04/06</v>
      </c>
      <c r="Z2101" s="1" t="str">
        <f>"13326/510"</f>
        <v>13326/510</v>
      </c>
      <c r="AA2101" s="1" t="str">
        <f t="shared" si="562"/>
        <v>راه روستائي -روكش</v>
      </c>
      <c r="AB2101" s="1" t="str">
        <f>"95/03/30"</f>
        <v>95/03/30</v>
      </c>
      <c r="AC2101" s="1" t="str">
        <f t="shared" si="563"/>
        <v>خراسان رضوي</v>
      </c>
      <c r="AD2101" s="1" t="str">
        <f>"95/04/05"</f>
        <v>95/04/05</v>
      </c>
      <c r="AE2101" s="1" t="str">
        <f t="shared" si="564"/>
        <v>اختتام</v>
      </c>
      <c r="AF2101" s="1" t="str">
        <f>""</f>
        <v/>
      </c>
      <c r="AG2101" s="1" t="str">
        <f>""</f>
        <v/>
      </c>
      <c r="AH2101" s="1" t="str">
        <f>""</f>
        <v/>
      </c>
      <c r="AI2101" s="1" t="str">
        <f>""</f>
        <v/>
      </c>
      <c r="AJ2101" s="1" t="str">
        <f>""</f>
        <v/>
      </c>
      <c r="AK2101" s="1" t="str">
        <f>""</f>
        <v/>
      </c>
    </row>
    <row r="2102" spans="1:37" x14ac:dyDescent="0.2">
      <c r="A2102" s="1">
        <v>195000</v>
      </c>
      <c r="B2102" s="1">
        <v>951700069</v>
      </c>
      <c r="C2102" s="1" t="str">
        <f>"تخليه-جوين-کارخانه آسفالت شهرداري نقاب"</f>
        <v>تخليه-جوين-کارخانه آسفالت شهرداري نقاب</v>
      </c>
      <c r="D2102" s="1">
        <v>6250</v>
      </c>
      <c r="E2102" s="1">
        <v>193640</v>
      </c>
      <c r="F2102" s="1">
        <v>95</v>
      </c>
      <c r="G2102" s="1">
        <v>1360</v>
      </c>
      <c r="H2102" s="1" t="str">
        <f>"95/04/06"</f>
        <v>95/04/06</v>
      </c>
      <c r="I2102" s="1" t="str">
        <f t="shared" si="545"/>
        <v>كيلوگرم</v>
      </c>
      <c r="J2102" s="1" t="str">
        <f t="shared" si="556"/>
        <v>0000000091</v>
      </c>
      <c r="K2102" s="1" t="str">
        <f t="shared" si="557"/>
        <v>قير  PG64-22</v>
      </c>
      <c r="L2102" s="1">
        <v>100</v>
      </c>
      <c r="M2102" s="1" t="str">
        <f t="shared" si="550"/>
        <v>مخازن قير اصفهان</v>
      </c>
      <c r="N2102" s="1">
        <v>4026</v>
      </c>
      <c r="O2102" s="1">
        <v>50031140</v>
      </c>
      <c r="P2102" s="1" t="str">
        <f t="shared" si="560"/>
        <v xml:space="preserve">  اداره كل راه و شهرسازي خراسان رضوي</v>
      </c>
      <c r="Q2102" s="1">
        <v>17</v>
      </c>
      <c r="R2102" s="1" t="str">
        <f t="shared" si="561"/>
        <v>فروش داخلي تهران - وزارت راه - راه روستايي - روکش</v>
      </c>
      <c r="S2102" s="1" t="str">
        <f t="shared" si="546"/>
        <v>قرارداد فروش</v>
      </c>
      <c r="T2102" s="1" t="str">
        <f t="shared" si="547"/>
        <v>ندارد</v>
      </c>
      <c r="U2102" s="1" t="str">
        <f>"حسيني سيدجواد(1841076)"</f>
        <v>حسيني سيدجواد(1841076)</v>
      </c>
      <c r="V2102" s="1">
        <v>951700069</v>
      </c>
      <c r="W2102" s="1">
        <v>951700069</v>
      </c>
      <c r="X2102" s="1" t="str">
        <f>"1395411229"</f>
        <v>1395411229</v>
      </c>
      <c r="Y2102" s="1" t="str">
        <f>"95/04/06"</f>
        <v>95/04/06</v>
      </c>
      <c r="Z2102" s="1" t="str">
        <f>"13327/510"</f>
        <v>13327/510</v>
      </c>
      <c r="AA2102" s="1" t="str">
        <f t="shared" si="562"/>
        <v>راه روستائي -روكش</v>
      </c>
      <c r="AB2102" s="1" t="str">
        <f>"95/03/30"</f>
        <v>95/03/30</v>
      </c>
      <c r="AC2102" s="1" t="str">
        <f t="shared" si="563"/>
        <v>خراسان رضوي</v>
      </c>
      <c r="AD2102" s="1" t="str">
        <f>"95/04/05"</f>
        <v>95/04/05</v>
      </c>
      <c r="AE2102" s="1" t="str">
        <f t="shared" si="564"/>
        <v>اختتام</v>
      </c>
      <c r="AF2102" s="1" t="str">
        <f>""</f>
        <v/>
      </c>
      <c r="AG2102" s="1" t="str">
        <f>""</f>
        <v/>
      </c>
      <c r="AH2102" s="1" t="str">
        <f>""</f>
        <v/>
      </c>
      <c r="AI2102" s="1" t="str">
        <f>""</f>
        <v/>
      </c>
      <c r="AJ2102" s="1" t="str">
        <f>""</f>
        <v/>
      </c>
      <c r="AK2102" s="1" t="str">
        <f>""</f>
        <v/>
      </c>
    </row>
    <row r="2103" spans="1:37" x14ac:dyDescent="0.2">
      <c r="A2103" s="1">
        <v>500000</v>
      </c>
      <c r="B2103" s="1">
        <v>951700119</v>
      </c>
      <c r="C2103" s="1" t="str">
        <f>"تخليه -خراسان رضوي سبزواركارخانه آسفالت ترازگسترشرق"</f>
        <v>تخليه -خراسان رضوي سبزواركارخانه آسفالت ترازگسترشرق</v>
      </c>
      <c r="D2103" s="1">
        <v>6726</v>
      </c>
      <c r="E2103" s="1">
        <v>499160</v>
      </c>
      <c r="F2103" s="1">
        <v>95</v>
      </c>
      <c r="G2103" s="1">
        <v>840</v>
      </c>
      <c r="H2103" s="1" t="str">
        <f>"95/05/06"</f>
        <v>95/05/06</v>
      </c>
      <c r="I2103" s="1" t="str">
        <f t="shared" si="545"/>
        <v>كيلوگرم</v>
      </c>
      <c r="J2103" s="1" t="str">
        <f t="shared" si="556"/>
        <v>0000000091</v>
      </c>
      <c r="K2103" s="1" t="str">
        <f t="shared" si="557"/>
        <v>قير  PG64-22</v>
      </c>
      <c r="L2103" s="1">
        <v>100</v>
      </c>
      <c r="M2103" s="1" t="str">
        <f t="shared" si="550"/>
        <v>مخازن قير اصفهان</v>
      </c>
      <c r="N2103" s="1">
        <v>4026</v>
      </c>
      <c r="O2103" s="1">
        <v>50031376</v>
      </c>
      <c r="P2103" s="1" t="str">
        <f t="shared" si="560"/>
        <v xml:space="preserve">  اداره كل راه و شهرسازي خراسان رضوي</v>
      </c>
      <c r="Q2103" s="1">
        <v>17</v>
      </c>
      <c r="R2103" s="1" t="str">
        <f t="shared" si="561"/>
        <v>فروش داخلي تهران - وزارت راه - راه روستايي - روکش</v>
      </c>
      <c r="S2103" s="1" t="str">
        <f t="shared" si="546"/>
        <v>قرارداد فروش</v>
      </c>
      <c r="T2103" s="1" t="str">
        <f t="shared" si="547"/>
        <v>ندارد</v>
      </c>
      <c r="U2103" s="1" t="str">
        <f>"حسيني علي(1841001)"</f>
        <v>حسيني علي(1841001)</v>
      </c>
      <c r="V2103" s="1">
        <v>951700119</v>
      </c>
      <c r="W2103" s="1">
        <v>951700119</v>
      </c>
      <c r="X2103" s="1" t="str">
        <f>"1395418062"</f>
        <v>1395418062</v>
      </c>
      <c r="Y2103" s="1" t="str">
        <f>"95/05/06"</f>
        <v>95/05/06</v>
      </c>
      <c r="Z2103" s="1" t="str">
        <f>"18568/510"</f>
        <v>18568/510</v>
      </c>
      <c r="AA2103" s="1" t="str">
        <f t="shared" si="562"/>
        <v>راه روستائي -روكش</v>
      </c>
      <c r="AB2103" s="1" t="str">
        <f>"95/04/28"</f>
        <v>95/04/28</v>
      </c>
      <c r="AC2103" s="1" t="str">
        <f t="shared" si="563"/>
        <v>خراسان رضوي</v>
      </c>
      <c r="AD2103" s="1" t="str">
        <f>"95/05/05"</f>
        <v>95/05/05</v>
      </c>
      <c r="AE2103" s="1" t="str">
        <f t="shared" si="564"/>
        <v>اختتام</v>
      </c>
      <c r="AF2103" s="1" t="str">
        <f>""</f>
        <v/>
      </c>
      <c r="AG2103" s="1" t="str">
        <f>""</f>
        <v/>
      </c>
      <c r="AH2103" s="1" t="str">
        <f>""</f>
        <v/>
      </c>
      <c r="AI2103" s="1" t="str">
        <f>""</f>
        <v/>
      </c>
      <c r="AJ2103" s="1" t="str">
        <f>""</f>
        <v/>
      </c>
      <c r="AK2103" s="1" t="str">
        <f>""</f>
        <v/>
      </c>
    </row>
    <row r="2104" spans="1:37" x14ac:dyDescent="0.2">
      <c r="A2104" s="1">
        <v>47000</v>
      </c>
      <c r="B2104" s="1">
        <v>951700120</v>
      </c>
      <c r="C2104" s="1" t="str">
        <f>"تخليه -خراسان رضوي -چناران -كنارگذرچناران -شركت توس راديه"</f>
        <v>تخليه -خراسان رضوي -چناران -كنارگذرچناران -شركت توس راديه</v>
      </c>
      <c r="D2104" s="1">
        <v>6726</v>
      </c>
      <c r="E2104" s="1">
        <v>45440</v>
      </c>
      <c r="F2104" s="1">
        <v>95</v>
      </c>
      <c r="G2104" s="1">
        <v>1560</v>
      </c>
      <c r="H2104" s="1" t="str">
        <f>"95/05/06"</f>
        <v>95/05/06</v>
      </c>
      <c r="I2104" s="1" t="str">
        <f t="shared" si="545"/>
        <v>كيلوگرم</v>
      </c>
      <c r="J2104" s="1" t="str">
        <f t="shared" si="556"/>
        <v>0000000091</v>
      </c>
      <c r="K2104" s="1" t="str">
        <f t="shared" si="557"/>
        <v>قير  PG64-22</v>
      </c>
      <c r="L2104" s="1">
        <v>100</v>
      </c>
      <c r="M2104" s="1" t="str">
        <f t="shared" si="550"/>
        <v>مخازن قير اصفهان</v>
      </c>
      <c r="N2104" s="1">
        <v>4026</v>
      </c>
      <c r="O2104" s="1">
        <v>50031377</v>
      </c>
      <c r="P2104" s="1" t="str">
        <f t="shared" si="560"/>
        <v xml:space="preserve">  اداره كل راه و شهرسازي خراسان رضوي</v>
      </c>
      <c r="Q2104" s="1">
        <v>17</v>
      </c>
      <c r="R2104" s="1" t="str">
        <f t="shared" si="561"/>
        <v>فروش داخلي تهران - وزارت راه - راه روستايي - روکش</v>
      </c>
      <c r="S2104" s="1" t="str">
        <f t="shared" si="546"/>
        <v>قرارداد فروش</v>
      </c>
      <c r="T2104" s="1" t="str">
        <f t="shared" si="547"/>
        <v>ندارد</v>
      </c>
      <c r="U2104" s="1" t="str">
        <f>"حسيني علي(1841001)"</f>
        <v>حسيني علي(1841001)</v>
      </c>
      <c r="V2104" s="1">
        <v>951700120</v>
      </c>
      <c r="W2104" s="1">
        <v>951700120</v>
      </c>
      <c r="X2104" s="1" t="str">
        <f>"1395418062"</f>
        <v>1395418062</v>
      </c>
      <c r="Y2104" s="1" t="str">
        <f>"95/05/06"</f>
        <v>95/05/06</v>
      </c>
      <c r="Z2104" s="1" t="str">
        <f>"18568/510"</f>
        <v>18568/510</v>
      </c>
      <c r="AA2104" s="1" t="str">
        <f t="shared" si="562"/>
        <v>راه روستائي -روكش</v>
      </c>
      <c r="AB2104" s="1" t="str">
        <f>"95/04/28"</f>
        <v>95/04/28</v>
      </c>
      <c r="AC2104" s="1" t="str">
        <f t="shared" si="563"/>
        <v>خراسان رضوي</v>
      </c>
      <c r="AD2104" s="1" t="str">
        <f>"95/05/05"</f>
        <v>95/05/05</v>
      </c>
      <c r="AE2104" s="1" t="str">
        <f t="shared" si="564"/>
        <v>اختتام</v>
      </c>
      <c r="AF2104" s="1" t="str">
        <f>""</f>
        <v/>
      </c>
      <c r="AG2104" s="1" t="str">
        <f>""</f>
        <v/>
      </c>
      <c r="AH2104" s="1" t="str">
        <f>""</f>
        <v/>
      </c>
      <c r="AI2104" s="1" t="str">
        <f>""</f>
        <v/>
      </c>
      <c r="AJ2104" s="1" t="str">
        <f>""</f>
        <v/>
      </c>
      <c r="AK2104" s="1" t="str">
        <f>""</f>
        <v/>
      </c>
    </row>
    <row r="2105" spans="1:37" x14ac:dyDescent="0.2">
      <c r="A2105" s="1">
        <v>68000</v>
      </c>
      <c r="B2105" s="1">
        <v>951700124</v>
      </c>
      <c r="C2105" s="1" t="str">
        <f>"تخليه -خراسان رضوي -مشهدبلوارآرامگاه فردوسي -بعدازروستاي اسفنديان كارخانه ملاوي"</f>
        <v>تخليه -خراسان رضوي -مشهدبلوارآرامگاه فردوسي -بعدازروستاي اسفنديان كارخانه ملاوي</v>
      </c>
      <c r="D2105" s="1">
        <v>6726</v>
      </c>
      <c r="E2105" s="1">
        <v>65400</v>
      </c>
      <c r="F2105" s="1">
        <v>95</v>
      </c>
      <c r="G2105" s="1">
        <v>2600</v>
      </c>
      <c r="H2105" s="1" t="str">
        <f>"95/05/06"</f>
        <v>95/05/06</v>
      </c>
      <c r="I2105" s="1" t="str">
        <f t="shared" si="545"/>
        <v>كيلوگرم</v>
      </c>
      <c r="J2105" s="1" t="str">
        <f t="shared" si="556"/>
        <v>0000000091</v>
      </c>
      <c r="K2105" s="1" t="str">
        <f t="shared" si="557"/>
        <v>قير  PG64-22</v>
      </c>
      <c r="L2105" s="1">
        <v>100</v>
      </c>
      <c r="M2105" s="1" t="str">
        <f t="shared" si="550"/>
        <v>مخازن قير اصفهان</v>
      </c>
      <c r="N2105" s="1">
        <v>4026</v>
      </c>
      <c r="O2105" s="1">
        <v>50031381</v>
      </c>
      <c r="P2105" s="1" t="str">
        <f t="shared" si="560"/>
        <v xml:space="preserve">  اداره كل راه و شهرسازي خراسان رضوي</v>
      </c>
      <c r="Q2105" s="1">
        <v>17</v>
      </c>
      <c r="R2105" s="1" t="str">
        <f t="shared" si="561"/>
        <v>فروش داخلي تهران - وزارت راه - راه روستايي - روکش</v>
      </c>
      <c r="S2105" s="1" t="str">
        <f t="shared" si="546"/>
        <v>قرارداد فروش</v>
      </c>
      <c r="T2105" s="1" t="str">
        <f t="shared" si="547"/>
        <v>ندارد</v>
      </c>
      <c r="U2105" s="1" t="str">
        <f>"حسيني سيدجواد(1841076)"</f>
        <v>حسيني سيدجواد(1841076)</v>
      </c>
      <c r="V2105" s="1">
        <v>951700124</v>
      </c>
      <c r="W2105" s="1">
        <v>951700124</v>
      </c>
      <c r="X2105" s="1" t="str">
        <f>"1395418062"</f>
        <v>1395418062</v>
      </c>
      <c r="Y2105" s="1" t="str">
        <f>"95/05/06"</f>
        <v>95/05/06</v>
      </c>
      <c r="Z2105" s="1" t="str">
        <f>"18189/510"</f>
        <v>18189/510</v>
      </c>
      <c r="AA2105" s="1" t="str">
        <f t="shared" si="562"/>
        <v>راه روستائي -روكش</v>
      </c>
      <c r="AB2105" s="1" t="str">
        <f>"95/04/27"</f>
        <v>95/04/27</v>
      </c>
      <c r="AC2105" s="1" t="str">
        <f t="shared" si="563"/>
        <v>خراسان رضوي</v>
      </c>
      <c r="AD2105" s="1" t="str">
        <f>"95/05/05"</f>
        <v>95/05/05</v>
      </c>
      <c r="AE2105" s="1" t="str">
        <f t="shared" si="564"/>
        <v>اختتام</v>
      </c>
      <c r="AF2105" s="1" t="str">
        <f>""</f>
        <v/>
      </c>
      <c r="AG2105" s="1" t="str">
        <f>""</f>
        <v/>
      </c>
      <c r="AH2105" s="1" t="str">
        <f>""</f>
        <v/>
      </c>
      <c r="AI2105" s="1" t="str">
        <f>""</f>
        <v/>
      </c>
      <c r="AJ2105" s="1" t="str">
        <f>""</f>
        <v/>
      </c>
      <c r="AK2105" s="1" t="str">
        <f>""</f>
        <v/>
      </c>
    </row>
    <row r="2106" spans="1:37" x14ac:dyDescent="0.2">
      <c r="A2106" s="1">
        <v>43000</v>
      </c>
      <c r="B2106" s="1">
        <v>951700186</v>
      </c>
      <c r="C2106" s="1" t="str">
        <f>"تخليه -خراسان رضوي -چناران -كنارگذرچناران -شركت توس راديه"</f>
        <v>تخليه -خراسان رضوي -چناران -كنارگذرچناران -شركت توس راديه</v>
      </c>
      <c r="D2106" s="1">
        <v>7176</v>
      </c>
      <c r="E2106" s="1">
        <v>40720</v>
      </c>
      <c r="F2106" s="1">
        <v>95</v>
      </c>
      <c r="G2106" s="1">
        <v>2280</v>
      </c>
      <c r="H2106" s="1" t="str">
        <f>"95/06/07"</f>
        <v>95/06/07</v>
      </c>
      <c r="I2106" s="1" t="str">
        <f t="shared" si="545"/>
        <v>كيلوگرم</v>
      </c>
      <c r="J2106" s="1" t="str">
        <f t="shared" si="556"/>
        <v>0000000091</v>
      </c>
      <c r="K2106" s="1" t="str">
        <f t="shared" si="557"/>
        <v>قير  PG64-22</v>
      </c>
      <c r="L2106" s="1">
        <v>100</v>
      </c>
      <c r="M2106" s="1" t="str">
        <f t="shared" si="550"/>
        <v>مخازن قير اصفهان</v>
      </c>
      <c r="N2106" s="1">
        <v>4026</v>
      </c>
      <c r="O2106" s="1">
        <v>50031676</v>
      </c>
      <c r="P2106" s="1" t="str">
        <f t="shared" si="560"/>
        <v xml:space="preserve">  اداره كل راه و شهرسازي خراسان رضوي</v>
      </c>
      <c r="Q2106" s="1">
        <v>17</v>
      </c>
      <c r="R2106" s="1" t="str">
        <f t="shared" si="561"/>
        <v>فروش داخلي تهران - وزارت راه - راه روستايي - روکش</v>
      </c>
      <c r="S2106" s="1" t="str">
        <f t="shared" si="546"/>
        <v>قرارداد فروش</v>
      </c>
      <c r="T2106" s="1" t="str">
        <f t="shared" si="547"/>
        <v>ندارد</v>
      </c>
      <c r="U2106" s="1" t="str">
        <f>"بابامحمدي عنايت اله(4844000)"</f>
        <v>بابامحمدي عنايت اله(4844000)</v>
      </c>
      <c r="V2106" s="1">
        <v>951700186</v>
      </c>
      <c r="W2106" s="1">
        <v>951700186</v>
      </c>
      <c r="X2106" s="1" t="str">
        <f>"1395426941"</f>
        <v>1395426941</v>
      </c>
      <c r="Y2106" s="1" t="str">
        <f>"95/06/07"</f>
        <v>95/06/07</v>
      </c>
      <c r="Z2106" s="1" t="str">
        <f>"25075/510"</f>
        <v>25075/510</v>
      </c>
      <c r="AA2106" s="1" t="str">
        <f t="shared" si="562"/>
        <v>راه روستائي -روكش</v>
      </c>
      <c r="AB2106" s="1" t="str">
        <f>"95/05/31"</f>
        <v>95/05/31</v>
      </c>
      <c r="AC2106" s="1" t="str">
        <f t="shared" si="563"/>
        <v>خراسان رضوي</v>
      </c>
      <c r="AD2106" s="1" t="str">
        <f>"95/06/06"</f>
        <v>95/06/06</v>
      </c>
      <c r="AE2106" s="1" t="str">
        <f t="shared" si="564"/>
        <v>اختتام</v>
      </c>
      <c r="AF2106" s="1" t="str">
        <f>""</f>
        <v/>
      </c>
      <c r="AG2106" s="1" t="str">
        <f>""</f>
        <v/>
      </c>
      <c r="AH2106" s="1" t="str">
        <f>""</f>
        <v/>
      </c>
      <c r="AI2106" s="1" t="str">
        <f>""</f>
        <v/>
      </c>
      <c r="AJ2106" s="1" t="str">
        <f>""</f>
        <v/>
      </c>
      <c r="AK2106" s="1" t="str">
        <f>""</f>
        <v/>
      </c>
    </row>
    <row r="2107" spans="1:37" x14ac:dyDescent="0.2">
      <c r="A2107" s="1">
        <v>65000</v>
      </c>
      <c r="B2107" s="1">
        <v>951700187</v>
      </c>
      <c r="C2107" s="1" t="str">
        <f>"تخليه -خراسان رضوي -بردسكن -كارخانه آسفالت زيست اسكان توس"</f>
        <v>تخليه -خراسان رضوي -بردسكن -كارخانه آسفالت زيست اسكان توس</v>
      </c>
      <c r="D2107" s="1">
        <v>7176</v>
      </c>
      <c r="E2107" s="1">
        <v>63380</v>
      </c>
      <c r="F2107" s="1">
        <v>95</v>
      </c>
      <c r="G2107" s="1">
        <v>1620</v>
      </c>
      <c r="H2107" s="1" t="str">
        <f>"95/06/07"</f>
        <v>95/06/07</v>
      </c>
      <c r="I2107" s="1" t="str">
        <f t="shared" si="545"/>
        <v>كيلوگرم</v>
      </c>
      <c r="J2107" s="1" t="str">
        <f t="shared" si="556"/>
        <v>0000000091</v>
      </c>
      <c r="K2107" s="1" t="str">
        <f t="shared" si="557"/>
        <v>قير  PG64-22</v>
      </c>
      <c r="L2107" s="1">
        <v>100</v>
      </c>
      <c r="M2107" s="1" t="str">
        <f t="shared" si="550"/>
        <v>مخازن قير اصفهان</v>
      </c>
      <c r="N2107" s="1">
        <v>4026</v>
      </c>
      <c r="O2107" s="1">
        <v>50031678</v>
      </c>
      <c r="P2107" s="1" t="str">
        <f t="shared" si="560"/>
        <v xml:space="preserve">  اداره كل راه و شهرسازي خراسان رضوي</v>
      </c>
      <c r="Q2107" s="1">
        <v>17</v>
      </c>
      <c r="R2107" s="1" t="str">
        <f t="shared" si="561"/>
        <v>فروش داخلي تهران - وزارت راه - راه روستايي - روکش</v>
      </c>
      <c r="S2107" s="1" t="str">
        <f t="shared" si="546"/>
        <v>قرارداد فروش</v>
      </c>
      <c r="T2107" s="1" t="str">
        <f t="shared" si="547"/>
        <v>ندارد</v>
      </c>
      <c r="U2107" s="1" t="str">
        <f>"حسيني پوريا جواد(1841072)"</f>
        <v>حسيني پوريا جواد(1841072)</v>
      </c>
      <c r="V2107" s="1">
        <v>951700187</v>
      </c>
      <c r="W2107" s="1">
        <v>951700187</v>
      </c>
      <c r="X2107" s="1" t="str">
        <f>"1395426941"</f>
        <v>1395426941</v>
      </c>
      <c r="Y2107" s="1" t="str">
        <f>"95/06/07"</f>
        <v>95/06/07</v>
      </c>
      <c r="Z2107" s="1" t="str">
        <f>"25075/510"</f>
        <v>25075/510</v>
      </c>
      <c r="AA2107" s="1" t="str">
        <f t="shared" si="562"/>
        <v>راه روستائي -روكش</v>
      </c>
      <c r="AB2107" s="1" t="str">
        <f>"95/05/31"</f>
        <v>95/05/31</v>
      </c>
      <c r="AC2107" s="1" t="str">
        <f t="shared" si="563"/>
        <v>خراسان رضوي</v>
      </c>
      <c r="AD2107" s="1" t="str">
        <f>"95/06/06"</f>
        <v>95/06/06</v>
      </c>
      <c r="AE2107" s="1" t="str">
        <f t="shared" si="564"/>
        <v>اختتام</v>
      </c>
      <c r="AF2107" s="1" t="str">
        <f>""</f>
        <v/>
      </c>
      <c r="AG2107" s="1" t="str">
        <f>""</f>
        <v/>
      </c>
      <c r="AH2107" s="1" t="str">
        <f>""</f>
        <v/>
      </c>
      <c r="AI2107" s="1" t="str">
        <f>""</f>
        <v/>
      </c>
      <c r="AJ2107" s="1" t="str">
        <f>""</f>
        <v/>
      </c>
      <c r="AK2107" s="1" t="str">
        <f>""</f>
        <v/>
      </c>
    </row>
    <row r="2108" spans="1:37" x14ac:dyDescent="0.2">
      <c r="A2108" s="1">
        <v>215000</v>
      </c>
      <c r="B2108" s="1">
        <v>951700189</v>
      </c>
      <c r="C2108" s="1" t="str">
        <f>"تخليه- خراسان رضوي - بجستان-کارخانه آسفالت شرق گستر"</f>
        <v>تخليه- خراسان رضوي - بجستان-کارخانه آسفالت شرق گستر</v>
      </c>
      <c r="D2108" s="1">
        <v>7176</v>
      </c>
      <c r="E2108" s="1">
        <v>98620</v>
      </c>
      <c r="F2108" s="1">
        <v>95</v>
      </c>
      <c r="G2108" s="1">
        <v>116380</v>
      </c>
      <c r="H2108" s="1" t="str">
        <f>"95/06/07"</f>
        <v>95/06/07</v>
      </c>
      <c r="I2108" s="1" t="str">
        <f t="shared" si="545"/>
        <v>كيلوگرم</v>
      </c>
      <c r="J2108" s="1" t="str">
        <f t="shared" si="556"/>
        <v>0000000091</v>
      </c>
      <c r="K2108" s="1" t="str">
        <f t="shared" si="557"/>
        <v>قير  PG64-22</v>
      </c>
      <c r="L2108" s="1">
        <v>100</v>
      </c>
      <c r="M2108" s="1" t="str">
        <f t="shared" si="550"/>
        <v>مخازن قير اصفهان</v>
      </c>
      <c r="N2108" s="1">
        <v>4026</v>
      </c>
      <c r="O2108" s="1">
        <v>50031912</v>
      </c>
      <c r="P2108" s="1" t="str">
        <f t="shared" si="560"/>
        <v xml:space="preserve">  اداره كل راه و شهرسازي خراسان رضوي</v>
      </c>
      <c r="Q2108" s="1">
        <v>17</v>
      </c>
      <c r="R2108" s="1" t="str">
        <f t="shared" si="561"/>
        <v>فروش داخلي تهران - وزارت راه - راه روستايي - روکش</v>
      </c>
      <c r="S2108" s="1" t="str">
        <f t="shared" si="546"/>
        <v>قرارداد فروش</v>
      </c>
      <c r="T2108" s="1" t="str">
        <f t="shared" si="547"/>
        <v>ندارد</v>
      </c>
      <c r="U2108" s="1" t="str">
        <f>"حسيني سيدجواد(1841076)"</f>
        <v>حسيني سيدجواد(1841076)</v>
      </c>
      <c r="V2108" s="1">
        <v>951700189</v>
      </c>
      <c r="W2108" s="1">
        <v>951700189</v>
      </c>
      <c r="X2108" s="1" t="str">
        <f>"1395426941"</f>
        <v>1395426941</v>
      </c>
      <c r="Y2108" s="1" t="str">
        <f>"95/06/07"</f>
        <v>95/06/07</v>
      </c>
      <c r="Z2108" s="1" t="str">
        <f>"25075/510"</f>
        <v>25075/510</v>
      </c>
      <c r="AA2108" s="1" t="str">
        <f t="shared" si="562"/>
        <v>راه روستائي -روكش</v>
      </c>
      <c r="AB2108" s="1" t="str">
        <f>"95/05/31"</f>
        <v>95/05/31</v>
      </c>
      <c r="AC2108" s="1" t="str">
        <f t="shared" si="563"/>
        <v>خراسان رضوي</v>
      </c>
      <c r="AD2108" s="1" t="str">
        <f>"95/06/06"</f>
        <v>95/06/06</v>
      </c>
      <c r="AE2108" s="1" t="str">
        <f t="shared" si="564"/>
        <v>اختتام</v>
      </c>
      <c r="AF2108" s="1" t="str">
        <f>""</f>
        <v/>
      </c>
      <c r="AG2108" s="1" t="str">
        <f>""</f>
        <v/>
      </c>
      <c r="AH2108" s="1" t="str">
        <f>""</f>
        <v/>
      </c>
      <c r="AI2108" s="1" t="str">
        <f>""</f>
        <v/>
      </c>
      <c r="AJ2108" s="1" t="str">
        <f>""</f>
        <v/>
      </c>
      <c r="AK2108" s="1" t="str">
        <f>""</f>
        <v/>
      </c>
    </row>
    <row r="2109" spans="1:37" x14ac:dyDescent="0.2">
      <c r="A2109" s="1">
        <v>443740</v>
      </c>
      <c r="B2109" s="1">
        <v>951700287</v>
      </c>
      <c r="C2109" s="1" t="str">
        <f>"تخليه - خراسان رضوي-تقاطع کندر محور ايرج آباد کارخانه آسفالت طوفان"</f>
        <v>تخليه - خراسان رضوي-تقاطع کندر محور ايرج آباد کارخانه آسفالت طوفان</v>
      </c>
      <c r="D2109" s="1">
        <v>9061</v>
      </c>
      <c r="E2109" s="1">
        <v>441560</v>
      </c>
      <c r="F2109" s="1">
        <v>95</v>
      </c>
      <c r="G2109" s="1">
        <v>2180</v>
      </c>
      <c r="H2109" s="1" t="str">
        <f>"95/10/02"</f>
        <v>95/10/02</v>
      </c>
      <c r="I2109" s="1" t="str">
        <f t="shared" si="545"/>
        <v>كيلوگرم</v>
      </c>
      <c r="J2109" s="1" t="str">
        <f t="shared" si="556"/>
        <v>0000000091</v>
      </c>
      <c r="K2109" s="1" t="str">
        <f t="shared" si="557"/>
        <v>قير  PG64-22</v>
      </c>
      <c r="L2109" s="1">
        <v>100</v>
      </c>
      <c r="M2109" s="1" t="str">
        <f t="shared" si="550"/>
        <v>مخازن قير اصفهان</v>
      </c>
      <c r="N2109" s="1">
        <v>4026</v>
      </c>
      <c r="O2109" s="1">
        <v>50033113</v>
      </c>
      <c r="P2109" s="1" t="str">
        <f t="shared" si="560"/>
        <v xml:space="preserve">  اداره كل راه و شهرسازي خراسان رضوي</v>
      </c>
      <c r="Q2109" s="1">
        <v>17</v>
      </c>
      <c r="R2109" s="1" t="str">
        <f t="shared" si="561"/>
        <v>فروش داخلي تهران - وزارت راه - راه روستايي - روکش</v>
      </c>
      <c r="S2109" s="1" t="str">
        <f t="shared" si="546"/>
        <v>قرارداد فروش</v>
      </c>
      <c r="T2109" s="1" t="str">
        <f t="shared" si="547"/>
        <v>ندارد</v>
      </c>
      <c r="U2109" s="1" t="str">
        <f>"بابامحمدي عنايت اله(4844000)"</f>
        <v>بابامحمدي عنايت اله(4844000)</v>
      </c>
      <c r="V2109" s="1">
        <v>951700287</v>
      </c>
      <c r="W2109" s="1">
        <v>951700287</v>
      </c>
      <c r="X2109" s="1" t="str">
        <f>"1395426941"</f>
        <v>1395426941</v>
      </c>
      <c r="Y2109" s="1" t="str">
        <f>"95/10/02"</f>
        <v>95/10/02</v>
      </c>
      <c r="Z2109" s="1" t="str">
        <f>"23824/510"</f>
        <v>23824/510</v>
      </c>
      <c r="AA2109" s="1" t="str">
        <f t="shared" si="562"/>
        <v>راه روستائي -روكش</v>
      </c>
      <c r="AB2109" s="1" t="str">
        <f>"95/05/26"</f>
        <v>95/05/26</v>
      </c>
      <c r="AC2109" s="1" t="str">
        <f t="shared" si="563"/>
        <v>خراسان رضوي</v>
      </c>
      <c r="AD2109" s="1" t="str">
        <f>"95/06/06"</f>
        <v>95/06/06</v>
      </c>
      <c r="AE2109" s="1" t="str">
        <f t="shared" si="564"/>
        <v>اختتام</v>
      </c>
      <c r="AF2109" s="1" t="str">
        <f>""</f>
        <v/>
      </c>
      <c r="AG2109" s="1" t="str">
        <f>""</f>
        <v/>
      </c>
      <c r="AH2109" s="1" t="str">
        <f>""</f>
        <v/>
      </c>
      <c r="AI2109" s="1" t="str">
        <f>""</f>
        <v/>
      </c>
      <c r="AJ2109" s="1" t="str">
        <f>""</f>
        <v/>
      </c>
      <c r="AK2109" s="1" t="str">
        <f>""</f>
        <v/>
      </c>
    </row>
    <row r="2110" spans="1:37" x14ac:dyDescent="0.2">
      <c r="A2110" s="1">
        <v>32180</v>
      </c>
      <c r="B2110" s="1">
        <v>951700288</v>
      </c>
      <c r="C2110" s="1" t="str">
        <f>"تخليه -خراسان رضوي سبزواركارخانه آسفالت ترازگسترشرق"</f>
        <v>تخليه -خراسان رضوي سبزواركارخانه آسفالت ترازگسترشرق</v>
      </c>
      <c r="D2110" s="1">
        <v>9061</v>
      </c>
      <c r="E2110" s="1">
        <v>29860</v>
      </c>
      <c r="F2110" s="1">
        <v>95</v>
      </c>
      <c r="G2110" s="1">
        <v>2320</v>
      </c>
      <c r="H2110" s="1" t="str">
        <f>"95/10/05"</f>
        <v>95/10/05</v>
      </c>
      <c r="I2110" s="1" t="str">
        <f t="shared" si="545"/>
        <v>كيلوگرم</v>
      </c>
      <c r="J2110" s="1" t="str">
        <f t="shared" si="556"/>
        <v>0000000091</v>
      </c>
      <c r="K2110" s="1" t="str">
        <f t="shared" si="557"/>
        <v>قير  PG64-22</v>
      </c>
      <c r="L2110" s="1">
        <v>100</v>
      </c>
      <c r="M2110" s="1" t="str">
        <f t="shared" si="550"/>
        <v>مخازن قير اصفهان</v>
      </c>
      <c r="N2110" s="1">
        <v>4026</v>
      </c>
      <c r="O2110" s="1">
        <v>50033132</v>
      </c>
      <c r="P2110" s="1" t="str">
        <f t="shared" si="560"/>
        <v xml:space="preserve">  اداره كل راه و شهرسازي خراسان رضوي</v>
      </c>
      <c r="Q2110" s="1">
        <v>17</v>
      </c>
      <c r="R2110" s="1" t="str">
        <f t="shared" si="561"/>
        <v>فروش داخلي تهران - وزارت راه - راه روستايي - روکش</v>
      </c>
      <c r="S2110" s="1" t="str">
        <f t="shared" si="546"/>
        <v>قرارداد فروش</v>
      </c>
      <c r="T2110" s="1" t="str">
        <f t="shared" si="547"/>
        <v>ندارد</v>
      </c>
      <c r="U2110" s="1" t="str">
        <f>"حسيني علي(1841001)"</f>
        <v>حسيني علي(1841001)</v>
      </c>
      <c r="V2110" s="1">
        <v>951700288</v>
      </c>
      <c r="W2110" s="1">
        <v>951700288</v>
      </c>
      <c r="X2110" s="1" t="str">
        <f>"1395433834"</f>
        <v>1395433834</v>
      </c>
      <c r="Y2110" s="1" t="str">
        <f>"95/10/05"</f>
        <v>95/10/05</v>
      </c>
      <c r="Z2110" s="1" t="str">
        <f>"30261/510"</f>
        <v>30261/510</v>
      </c>
      <c r="AA2110" s="1" t="str">
        <f t="shared" si="562"/>
        <v>راه روستائي -روكش</v>
      </c>
      <c r="AB2110" s="1" t="str">
        <f>"95/06/27"</f>
        <v>95/06/27</v>
      </c>
      <c r="AC2110" s="1" t="str">
        <f t="shared" si="563"/>
        <v>خراسان رضوي</v>
      </c>
      <c r="AD2110" s="1" t="str">
        <f>"95/07/05"</f>
        <v>95/07/05</v>
      </c>
      <c r="AE2110" s="1" t="str">
        <f t="shared" si="564"/>
        <v>اختتام</v>
      </c>
      <c r="AF2110" s="1" t="str">
        <f>""</f>
        <v/>
      </c>
      <c r="AG2110" s="1" t="str">
        <f>""</f>
        <v/>
      </c>
      <c r="AH2110" s="1" t="str">
        <f>""</f>
        <v/>
      </c>
      <c r="AI2110" s="1" t="str">
        <f>""</f>
        <v/>
      </c>
      <c r="AJ2110" s="1" t="str">
        <f>""</f>
        <v/>
      </c>
      <c r="AK2110" s="1" t="str">
        <f>""</f>
        <v/>
      </c>
    </row>
    <row r="2111" spans="1:37" x14ac:dyDescent="0.2">
      <c r="A2111" s="1">
        <v>750000</v>
      </c>
      <c r="B2111" s="1">
        <v>951800037</v>
      </c>
      <c r="C2111" s="1" t="str">
        <f>"تخليه -كرمانشاه -كمربندي شرقي جنب رودخانه قره سو-كارخانه آسفالت شركت جهادنصركرمانشاه"</f>
        <v>تخليه -كرمانشاه -كمربندي شرقي جنب رودخانه قره سو-كارخانه آسفالت شركت جهادنصركرمانشاه</v>
      </c>
      <c r="D2111" s="1">
        <v>6726</v>
      </c>
      <c r="E2111" s="1">
        <v>750000</v>
      </c>
      <c r="F2111" s="1">
        <v>95</v>
      </c>
      <c r="G2111" s="1">
        <v>0</v>
      </c>
      <c r="H2111" s="1" t="str">
        <f>"95/05/05"</f>
        <v>95/05/05</v>
      </c>
      <c r="I2111" s="1" t="str">
        <f t="shared" si="545"/>
        <v>كيلوگرم</v>
      </c>
      <c r="J2111" s="1" t="str">
        <f t="shared" si="556"/>
        <v>0000000091</v>
      </c>
      <c r="K2111" s="1" t="str">
        <f t="shared" si="557"/>
        <v>قير  PG64-22</v>
      </c>
      <c r="L2111" s="1">
        <v>100</v>
      </c>
      <c r="M2111" s="1" t="str">
        <f t="shared" si="550"/>
        <v>مخازن قير اصفهان</v>
      </c>
      <c r="N2111" s="1">
        <v>4039</v>
      </c>
      <c r="O2111" s="1">
        <v>50031361</v>
      </c>
      <c r="P2111" s="1" t="str">
        <f>"  جهاد نصركرمانشاه(2912047)"</f>
        <v xml:space="preserve">  جهاد نصركرمانشاه(2912047)</v>
      </c>
      <c r="Q2111" s="1">
        <v>18</v>
      </c>
      <c r="R2111" s="1" t="str">
        <f>"فروش داخلي تهران - وزارت راه - شرکت ساخت و توسعه راهها"</f>
        <v>فروش داخلي تهران - وزارت راه - شرکت ساخت و توسعه راهها</v>
      </c>
      <c r="S2111" s="1" t="str">
        <f t="shared" si="546"/>
        <v>قرارداد فروش</v>
      </c>
      <c r="T2111" s="1" t="str">
        <f t="shared" si="547"/>
        <v>ندارد</v>
      </c>
      <c r="U2111" s="1" t="str">
        <f>"عظيمي محمد(2842015)"</f>
        <v>عظيمي محمد(2842015)</v>
      </c>
      <c r="V2111" s="1">
        <v>951800037</v>
      </c>
      <c r="W2111" s="1">
        <v>951800037</v>
      </c>
      <c r="X2111" s="1" t="str">
        <f>"1395418057"</f>
        <v>1395418057</v>
      </c>
      <c r="Y2111" s="1" t="str">
        <f>"95/05/05"</f>
        <v>95/05/05</v>
      </c>
      <c r="Z2111" s="1" t="str">
        <f>"19443/510"</f>
        <v>19443/510</v>
      </c>
      <c r="AA2111" s="1" t="str">
        <f>"شركت  ساخت وتوسعه راهها"</f>
        <v>شركت  ساخت وتوسعه راهها</v>
      </c>
      <c r="AB2111" s="1" t="str">
        <f>"95/05/03"</f>
        <v>95/05/03</v>
      </c>
      <c r="AC2111" s="1" t="str">
        <f>"استان كرمانشاه"</f>
        <v>استان كرمانشاه</v>
      </c>
      <c r="AD2111" s="1" t="str">
        <f>"95/05/05"</f>
        <v>95/05/05</v>
      </c>
      <c r="AE2111" s="1" t="str">
        <f t="shared" si="564"/>
        <v>اختتام</v>
      </c>
      <c r="AF2111" s="1" t="str">
        <f>""</f>
        <v/>
      </c>
      <c r="AG2111" s="1" t="str">
        <f>""</f>
        <v/>
      </c>
      <c r="AH2111" s="1" t="str">
        <f>""</f>
        <v/>
      </c>
      <c r="AI2111" s="1" t="str">
        <f>""</f>
        <v/>
      </c>
      <c r="AJ2111" s="1" t="str">
        <f>""</f>
        <v/>
      </c>
      <c r="AK2111" s="1" t="str">
        <f>""</f>
        <v/>
      </c>
    </row>
    <row r="2112" spans="1:37" x14ac:dyDescent="0.2">
      <c r="A2112" s="1">
        <v>23140</v>
      </c>
      <c r="B2112" s="1">
        <v>951600005</v>
      </c>
      <c r="C2112" s="1" t="str">
        <f>"تخليه -لرستان كارخانه آسفالت زاگرس راه نصرواقع درمحورالشتر-فيروزآباد"</f>
        <v>تخليه -لرستان كارخانه آسفالت زاگرس راه نصرواقع درمحورالشتر-فيروزآباد</v>
      </c>
      <c r="D2112" s="1">
        <v>6250</v>
      </c>
      <c r="E2112" s="1">
        <v>22400</v>
      </c>
      <c r="F2112" s="1">
        <v>95</v>
      </c>
      <c r="G2112" s="1">
        <v>740</v>
      </c>
      <c r="H2112" s="1" t="str">
        <f>"95/04/19"</f>
        <v>95/04/19</v>
      </c>
      <c r="I2112" s="1" t="str">
        <f t="shared" si="545"/>
        <v>كيلوگرم</v>
      </c>
      <c r="J2112" s="1" t="str">
        <f t="shared" si="556"/>
        <v>0000000091</v>
      </c>
      <c r="K2112" s="1" t="str">
        <f t="shared" si="557"/>
        <v>قير  PG64-22</v>
      </c>
      <c r="L2112" s="1">
        <v>100</v>
      </c>
      <c r="M2112" s="1" t="str">
        <f t="shared" si="550"/>
        <v>مخازن قير اصفهان</v>
      </c>
      <c r="N2112" s="1">
        <v>4074</v>
      </c>
      <c r="O2112" s="1">
        <v>50031215</v>
      </c>
      <c r="P2112" s="1" t="str">
        <f>"  اداره كل راه و  شهرسازي لرستان"</f>
        <v xml:space="preserve">  اداره كل راه و  شهرسازي لرستان</v>
      </c>
      <c r="Q2112" s="1">
        <v>16</v>
      </c>
      <c r="R2112" s="1" t="str">
        <f>"فروش داخلي تهران - وزارت راه - معاونت اقتصاد"</f>
        <v>فروش داخلي تهران - وزارت راه - معاونت اقتصاد</v>
      </c>
      <c r="S2112" s="1" t="str">
        <f t="shared" si="546"/>
        <v>قرارداد فروش</v>
      </c>
      <c r="T2112" s="1" t="str">
        <f t="shared" si="547"/>
        <v>ندارد</v>
      </c>
      <c r="U2112" s="1" t="str">
        <f>"عظيمي محمد(2842015)"</f>
        <v>عظيمي محمد(2842015)</v>
      </c>
      <c r="V2112" s="1">
        <v>951600005</v>
      </c>
      <c r="W2112" s="1">
        <v>951600005</v>
      </c>
      <c r="X2112" s="1" t="str">
        <f>"1394389450"</f>
        <v>1394389450</v>
      </c>
      <c r="Y2112" s="1" t="str">
        <f>"95/04/19"</f>
        <v>95/04/19</v>
      </c>
      <c r="Z2112" s="1" t="str">
        <f>"60383/510"</f>
        <v>60383/510</v>
      </c>
      <c r="AA2112" s="1" t="str">
        <f>"معاونت اقتصادوزارت راه وشهرسازي"</f>
        <v>معاونت اقتصادوزارت راه وشهرسازي</v>
      </c>
      <c r="AB2112" s="1" t="str">
        <f>"94/11/03"</f>
        <v>94/11/03</v>
      </c>
      <c r="AC2112" s="1" t="str">
        <f>"لرستان"</f>
        <v>لرستان</v>
      </c>
      <c r="AD2112" s="1" t="str">
        <f>"94/11/06"</f>
        <v>94/11/06</v>
      </c>
      <c r="AE2112" s="1" t="str">
        <f t="shared" si="564"/>
        <v>اختتام</v>
      </c>
      <c r="AF2112" s="1" t="str">
        <f>""</f>
        <v/>
      </c>
      <c r="AG2112" s="1" t="str">
        <f>""</f>
        <v/>
      </c>
      <c r="AH2112" s="1" t="str">
        <f>""</f>
        <v/>
      </c>
      <c r="AI2112" s="1" t="str">
        <f>""</f>
        <v/>
      </c>
      <c r="AJ2112" s="1" t="str">
        <f>""</f>
        <v/>
      </c>
      <c r="AK2112" s="1" t="str">
        <f>""</f>
        <v/>
      </c>
    </row>
    <row r="2113" spans="1:37" x14ac:dyDescent="0.2">
      <c r="A2113" s="1">
        <v>1855540</v>
      </c>
      <c r="B2113" s="1">
        <v>951600043</v>
      </c>
      <c r="C2113" s="1" t="str">
        <f>"تخليه سيستان وبلوچستان -زاهدان فرودگاه زاهدان"</f>
        <v>تخليه سيستان وبلوچستان -زاهدان فرودگاه زاهدان</v>
      </c>
      <c r="D2113" s="1">
        <v>8323</v>
      </c>
      <c r="E2113" s="1">
        <v>1380700</v>
      </c>
      <c r="F2113" s="1">
        <v>95</v>
      </c>
      <c r="G2113" s="1">
        <v>474840</v>
      </c>
      <c r="H2113" s="1" t="str">
        <f>"95/08/08"</f>
        <v>95/08/08</v>
      </c>
      <c r="I2113" s="1" t="str">
        <f t="shared" si="545"/>
        <v>كيلوگرم</v>
      </c>
      <c r="J2113" s="1" t="str">
        <f t="shared" si="556"/>
        <v>0000000091</v>
      </c>
      <c r="K2113" s="1" t="str">
        <f t="shared" si="557"/>
        <v>قير  PG64-22</v>
      </c>
      <c r="L2113" s="1">
        <v>100</v>
      </c>
      <c r="M2113" s="1" t="str">
        <f t="shared" si="550"/>
        <v>مخازن قير اصفهان</v>
      </c>
      <c r="N2113" s="1">
        <v>4077</v>
      </c>
      <c r="O2113" s="1">
        <v>50032357</v>
      </c>
      <c r="P2113" s="1" t="str">
        <f>"  ساوير"</f>
        <v xml:space="preserve">  ساوير</v>
      </c>
      <c r="Q2113" s="1">
        <v>16</v>
      </c>
      <c r="R2113" s="1" t="str">
        <f>"فروش داخلي تهران - وزارت راه - معاونت اقتصاد"</f>
        <v>فروش داخلي تهران - وزارت راه - معاونت اقتصاد</v>
      </c>
      <c r="S2113" s="1" t="str">
        <f t="shared" si="546"/>
        <v>قرارداد فروش</v>
      </c>
      <c r="T2113" s="1" t="str">
        <f t="shared" si="547"/>
        <v>ندارد</v>
      </c>
      <c r="U2113" s="1" t="str">
        <f>"شيشه بر كريم(1841016)"</f>
        <v>شيشه بر كريم(1841016)</v>
      </c>
      <c r="V2113" s="1">
        <v>951600043</v>
      </c>
      <c r="W2113" s="1">
        <v>951600043</v>
      </c>
      <c r="X2113" s="1" t="str">
        <f>"1395433638"</f>
        <v>1395433638</v>
      </c>
      <c r="Y2113" s="1" t="str">
        <f>"95/08/08"</f>
        <v>95/08/08</v>
      </c>
      <c r="Z2113" s="1" t="str">
        <f>"31183/510"</f>
        <v>31183/510</v>
      </c>
      <c r="AA2113" s="1" t="str">
        <f>"معاونت اقتصادوزارت راه وشهرسازي"</f>
        <v>معاونت اقتصادوزارت راه وشهرسازي</v>
      </c>
      <c r="AB2113" s="1" t="str">
        <f>"95/06/31"</f>
        <v>95/06/31</v>
      </c>
      <c r="AC2113" s="1" t="str">
        <f>"استان سيستان بلوچستان"</f>
        <v>استان سيستان بلوچستان</v>
      </c>
      <c r="AD2113" s="1" t="str">
        <f>"95/07/04"</f>
        <v>95/07/04</v>
      </c>
      <c r="AE2113" s="1" t="str">
        <f t="shared" si="564"/>
        <v>اختتام</v>
      </c>
      <c r="AF2113" s="1" t="str">
        <f>""</f>
        <v/>
      </c>
      <c r="AG2113" s="1" t="str">
        <f>""</f>
        <v/>
      </c>
      <c r="AH2113" s="1" t="str">
        <f>""</f>
        <v/>
      </c>
      <c r="AI2113" s="1" t="str">
        <f>""</f>
        <v/>
      </c>
      <c r="AJ2113" s="1" t="str">
        <f>""</f>
        <v/>
      </c>
      <c r="AK2113" s="1" t="str">
        <f>""</f>
        <v/>
      </c>
    </row>
    <row r="2114" spans="1:37" x14ac:dyDescent="0.2">
      <c r="A2114" s="1">
        <v>474840</v>
      </c>
      <c r="B2114" s="1">
        <v>951600061</v>
      </c>
      <c r="C2114" s="1" t="str">
        <f>"تخليه سيستان وبلوچستان -زاهدان فرودگاه زاهدان"</f>
        <v>تخليه سيستان وبلوچستان -زاهدان فرودگاه زاهدان</v>
      </c>
      <c r="D2114" s="1">
        <v>9061</v>
      </c>
      <c r="E2114" s="1">
        <v>447920</v>
      </c>
      <c r="F2114" s="1">
        <v>95</v>
      </c>
      <c r="G2114" s="1">
        <v>26920</v>
      </c>
      <c r="H2114" s="1" t="str">
        <f>"95/10/02"</f>
        <v>95/10/02</v>
      </c>
      <c r="I2114" s="1" t="str">
        <f t="shared" ref="I2114:I2177" si="565">"كيلوگرم"</f>
        <v>كيلوگرم</v>
      </c>
      <c r="J2114" s="1" t="str">
        <f t="shared" ref="J2114:J2150" si="566">"0000000091"</f>
        <v>0000000091</v>
      </c>
      <c r="K2114" s="1" t="str">
        <f t="shared" ref="K2114:K2150" si="567">"قير  PG64-22"</f>
        <v>قير  PG64-22</v>
      </c>
      <c r="L2114" s="1">
        <v>100</v>
      </c>
      <c r="M2114" s="1" t="str">
        <f t="shared" si="550"/>
        <v>مخازن قير اصفهان</v>
      </c>
      <c r="N2114" s="1">
        <v>4077</v>
      </c>
      <c r="O2114" s="1">
        <v>50033167</v>
      </c>
      <c r="P2114" s="1" t="str">
        <f>"  ساوير"</f>
        <v xml:space="preserve">  ساوير</v>
      </c>
      <c r="Q2114" s="1">
        <v>16</v>
      </c>
      <c r="R2114" s="1" t="str">
        <f>"فروش داخلي تهران - وزارت راه - معاونت اقتصاد"</f>
        <v>فروش داخلي تهران - وزارت راه - معاونت اقتصاد</v>
      </c>
      <c r="S2114" s="1" t="str">
        <f t="shared" ref="S2114:S2177" si="568">"قرارداد فروش"</f>
        <v>قرارداد فروش</v>
      </c>
      <c r="T2114" s="1" t="str">
        <f t="shared" ref="T2114:T2177" si="569">"ندارد"</f>
        <v>ندارد</v>
      </c>
      <c r="U2114" s="1" t="str">
        <f>"شيشه بر كريم(1841016)"</f>
        <v>شيشه بر كريم(1841016)</v>
      </c>
      <c r="V2114" s="1">
        <v>951600061</v>
      </c>
      <c r="W2114" s="1">
        <v>951600061</v>
      </c>
      <c r="X2114" s="1" t="str">
        <f>"1395433638"</f>
        <v>1395433638</v>
      </c>
      <c r="Y2114" s="1" t="str">
        <f>"95/10/02"</f>
        <v>95/10/02</v>
      </c>
      <c r="Z2114" s="1" t="str">
        <f>"31183/510"</f>
        <v>31183/510</v>
      </c>
      <c r="AA2114" s="1" t="str">
        <f>"معاونت اقتصادوزارت راه وشهرسازي"</f>
        <v>معاونت اقتصادوزارت راه وشهرسازي</v>
      </c>
      <c r="AB2114" s="1" t="str">
        <f>"95/06/31"</f>
        <v>95/06/31</v>
      </c>
      <c r="AC2114" s="1" t="str">
        <f>"استان سيستان بلوچستان"</f>
        <v>استان سيستان بلوچستان</v>
      </c>
      <c r="AD2114" s="1" t="str">
        <f>"95/07/04"</f>
        <v>95/07/04</v>
      </c>
      <c r="AE2114" s="1" t="str">
        <f t="shared" si="564"/>
        <v>اختتام</v>
      </c>
      <c r="AF2114" s="1" t="str">
        <f>""</f>
        <v/>
      </c>
      <c r="AG2114" s="1" t="str">
        <f>""</f>
        <v/>
      </c>
      <c r="AH2114" s="1" t="str">
        <f>""</f>
        <v/>
      </c>
      <c r="AI2114" s="1" t="str">
        <f>""</f>
        <v/>
      </c>
      <c r="AJ2114" s="1" t="str">
        <f>""</f>
        <v/>
      </c>
      <c r="AK2114" s="1" t="str">
        <f>""</f>
        <v/>
      </c>
    </row>
    <row r="2115" spans="1:37" x14ac:dyDescent="0.2">
      <c r="A2115" s="1">
        <v>43000</v>
      </c>
      <c r="B2115" s="1">
        <v>951400156</v>
      </c>
      <c r="C2115" s="1" t="str">
        <f>"تخليه -سيستان وبلوچستان -زابل كارخانه آسفالت عطارديان"</f>
        <v>تخليه -سيستان وبلوچستان -زابل كارخانه آسفالت عطارديان</v>
      </c>
      <c r="D2115" s="1">
        <v>9354</v>
      </c>
      <c r="E2115" s="1">
        <v>43000</v>
      </c>
      <c r="F2115" s="1">
        <v>95</v>
      </c>
      <c r="G2115" s="1">
        <v>0</v>
      </c>
      <c r="H2115" s="1" t="str">
        <f>"95/11/27"</f>
        <v>95/11/27</v>
      </c>
      <c r="I2115" s="1" t="str">
        <f t="shared" si="565"/>
        <v>كيلوگرم</v>
      </c>
      <c r="J2115" s="1" t="str">
        <f t="shared" si="566"/>
        <v>0000000091</v>
      </c>
      <c r="K2115" s="1" t="str">
        <f t="shared" si="567"/>
        <v>قير  PG64-22</v>
      </c>
      <c r="L2115" s="1">
        <v>100</v>
      </c>
      <c r="M2115" s="1" t="str">
        <f t="shared" si="550"/>
        <v>مخازن قير اصفهان</v>
      </c>
      <c r="N2115" s="1">
        <v>4095</v>
      </c>
      <c r="O2115" s="1">
        <v>50034286</v>
      </c>
      <c r="P2115" s="1" t="str">
        <f>"  اداره كل راه وشهرسازي سيستان وبلوچستان"</f>
        <v xml:space="preserve">  اداره كل راه وشهرسازي سيستان وبلوچستان</v>
      </c>
      <c r="Q2115" s="1">
        <v>14</v>
      </c>
      <c r="R2115" s="1" t="str">
        <f>"فروش داخلي - وزارت راه - حوزه راه روستايي ساخت"</f>
        <v>فروش داخلي - وزارت راه - حوزه راه روستايي ساخت</v>
      </c>
      <c r="S2115" s="1" t="str">
        <f t="shared" si="568"/>
        <v>قرارداد فروش</v>
      </c>
      <c r="T2115" s="1" t="str">
        <f t="shared" si="569"/>
        <v>ندارد</v>
      </c>
      <c r="U2115" s="1" t="str">
        <f>"ميرحسيني چاپارحقيقت كرمان(4844008)"</f>
        <v>ميرحسيني چاپارحقيقت كرمان(4844008)</v>
      </c>
      <c r="V2115" s="1">
        <v>951400156</v>
      </c>
      <c r="W2115" s="1">
        <v>951400156</v>
      </c>
      <c r="X2115" s="1" t="str">
        <f>"1395464668"</f>
        <v>1395464668</v>
      </c>
      <c r="Y2115" s="1" t="str">
        <f>"95/11/26"</f>
        <v>95/11/26</v>
      </c>
      <c r="Z2115" s="1" t="str">
        <f>"56322/710"</f>
        <v>56322/710</v>
      </c>
      <c r="AA2115" s="1" t="str">
        <f>"راه وروستايي -ساخت"</f>
        <v>راه وروستايي -ساخت</v>
      </c>
      <c r="AB2115" s="1" t="str">
        <f>"95/11/12"</f>
        <v>95/11/12</v>
      </c>
      <c r="AC2115" s="1" t="str">
        <f>"استان سيستان بلوچستان"</f>
        <v>استان سيستان بلوچستان</v>
      </c>
      <c r="AD2115" s="1" t="str">
        <f>"95/11/25"</f>
        <v>95/11/25</v>
      </c>
      <c r="AE2115" s="1" t="str">
        <f t="shared" si="564"/>
        <v>اختتام</v>
      </c>
      <c r="AF2115" s="1" t="str">
        <f>""</f>
        <v/>
      </c>
      <c r="AG2115" s="1" t="str">
        <f>""</f>
        <v/>
      </c>
      <c r="AH2115" s="1" t="str">
        <f>""</f>
        <v/>
      </c>
      <c r="AI2115" s="1" t="str">
        <f>""</f>
        <v/>
      </c>
      <c r="AJ2115" s="1" t="str">
        <f>""</f>
        <v/>
      </c>
      <c r="AK2115" s="1" t="str">
        <f>""</f>
        <v/>
      </c>
    </row>
    <row r="2116" spans="1:37" x14ac:dyDescent="0.2">
      <c r="A2116" s="1">
        <v>129000</v>
      </c>
      <c r="B2116" s="1">
        <v>951400161</v>
      </c>
      <c r="C2116" s="1" t="str">
        <f>"تخليه -سيستان وبلوچستان -زابل كارخانه آسفالت عطارديان"</f>
        <v>تخليه -سيستان وبلوچستان -زابل كارخانه آسفالت عطارديان</v>
      </c>
      <c r="D2116" s="1">
        <v>9354</v>
      </c>
      <c r="E2116" s="1">
        <v>129000</v>
      </c>
      <c r="F2116" s="1">
        <v>95</v>
      </c>
      <c r="G2116" s="1">
        <v>0</v>
      </c>
      <c r="H2116" s="1" t="str">
        <f>"95/11/27"</f>
        <v>95/11/27</v>
      </c>
      <c r="I2116" s="1" t="str">
        <f t="shared" si="565"/>
        <v>كيلوگرم</v>
      </c>
      <c r="J2116" s="1" t="str">
        <f t="shared" si="566"/>
        <v>0000000091</v>
      </c>
      <c r="K2116" s="1" t="str">
        <f t="shared" si="567"/>
        <v>قير  PG64-22</v>
      </c>
      <c r="L2116" s="1">
        <v>100</v>
      </c>
      <c r="M2116" s="1" t="str">
        <f t="shared" si="550"/>
        <v>مخازن قير اصفهان</v>
      </c>
      <c r="N2116" s="1">
        <v>4095</v>
      </c>
      <c r="O2116" s="1">
        <v>50034291</v>
      </c>
      <c r="P2116" s="1" t="str">
        <f>"  اداره كل راه وشهرسازي سيستان وبلوچستان"</f>
        <v xml:space="preserve">  اداره كل راه وشهرسازي سيستان وبلوچستان</v>
      </c>
      <c r="Q2116" s="1">
        <v>14</v>
      </c>
      <c r="R2116" s="1" t="str">
        <f>"فروش داخلي - وزارت راه - حوزه راه روستايي ساخت"</f>
        <v>فروش داخلي - وزارت راه - حوزه راه روستايي ساخت</v>
      </c>
      <c r="S2116" s="1" t="str">
        <f t="shared" si="568"/>
        <v>قرارداد فروش</v>
      </c>
      <c r="T2116" s="1" t="str">
        <f t="shared" si="569"/>
        <v>ندارد</v>
      </c>
      <c r="U2116" s="1" t="str">
        <f>"ميرحسيني چاپارحقيقت كرمان(4844008)"</f>
        <v>ميرحسيني چاپارحقيقت كرمان(4844008)</v>
      </c>
      <c r="V2116" s="1">
        <v>951400161</v>
      </c>
      <c r="W2116" s="1">
        <v>951400161</v>
      </c>
      <c r="X2116" s="1" t="str">
        <f>"1395464668"</f>
        <v>1395464668</v>
      </c>
      <c r="Y2116" s="1" t="str">
        <f>"95/11/26"</f>
        <v>95/11/26</v>
      </c>
      <c r="Z2116" s="1" t="str">
        <f>"56334/710"</f>
        <v>56334/710</v>
      </c>
      <c r="AA2116" s="1" t="str">
        <f>"راه وروستايي -ساخت"</f>
        <v>راه وروستايي -ساخت</v>
      </c>
      <c r="AB2116" s="1" t="str">
        <f>"95/11/12"</f>
        <v>95/11/12</v>
      </c>
      <c r="AC2116" s="1" t="str">
        <f>"استان سيستان بلوچستان"</f>
        <v>استان سيستان بلوچستان</v>
      </c>
      <c r="AD2116" s="1" t="str">
        <f>"95/11/25"</f>
        <v>95/11/25</v>
      </c>
      <c r="AE2116" s="1" t="str">
        <f t="shared" si="564"/>
        <v>اختتام</v>
      </c>
      <c r="AF2116" s="1" t="str">
        <f>""</f>
        <v/>
      </c>
      <c r="AG2116" s="1" t="str">
        <f>""</f>
        <v/>
      </c>
      <c r="AH2116" s="1" t="str">
        <f>""</f>
        <v/>
      </c>
      <c r="AI2116" s="1" t="str">
        <f>""</f>
        <v/>
      </c>
      <c r="AJ2116" s="1" t="str">
        <f>""</f>
        <v/>
      </c>
      <c r="AK2116" s="1" t="str">
        <f>""</f>
        <v/>
      </c>
    </row>
    <row r="2117" spans="1:37" x14ac:dyDescent="0.2">
      <c r="A2117" s="1">
        <v>485000</v>
      </c>
      <c r="B2117" s="1">
        <v>951700236</v>
      </c>
      <c r="C2117" s="1" t="str">
        <f>"تخليه كرمان كيلومتر5جاده شهربابك -اناركارخانه شهرداري شهربابك"</f>
        <v>تخليه كرمان كيلومتر5جاده شهربابك -اناركارخانه شهرداري شهربابك</v>
      </c>
      <c r="D2117" s="1">
        <v>7276</v>
      </c>
      <c r="E2117" s="1">
        <v>178480</v>
      </c>
      <c r="F2117" s="1">
        <v>95</v>
      </c>
      <c r="G2117" s="1">
        <v>306520</v>
      </c>
      <c r="H2117" s="1" t="str">
        <f>"95/07/13"</f>
        <v>95/07/13</v>
      </c>
      <c r="I2117" s="1" t="str">
        <f t="shared" si="565"/>
        <v>كيلوگرم</v>
      </c>
      <c r="J2117" s="1" t="str">
        <f t="shared" si="566"/>
        <v>0000000091</v>
      </c>
      <c r="K2117" s="1" t="str">
        <f t="shared" si="567"/>
        <v>قير  PG64-22</v>
      </c>
      <c r="L2117" s="1">
        <v>100</v>
      </c>
      <c r="M2117" s="1" t="str">
        <f t="shared" si="550"/>
        <v>مخازن قير اصفهان</v>
      </c>
      <c r="N2117" s="1">
        <v>7034</v>
      </c>
      <c r="O2117" s="1">
        <v>50032089</v>
      </c>
      <c r="P2117" s="1" t="str">
        <f>"  اداره كل راه وشهرسازي كرمان"</f>
        <v xml:space="preserve">  اداره كل راه وشهرسازي كرمان</v>
      </c>
      <c r="Q2117" s="1">
        <v>17</v>
      </c>
      <c r="R2117" s="1" t="str">
        <f>"فروش داخلي تهران - وزارت راه - راه روستايي - روکش"</f>
        <v>فروش داخلي تهران - وزارت راه - راه روستايي - روکش</v>
      </c>
      <c r="S2117" s="1" t="str">
        <f t="shared" si="568"/>
        <v>قرارداد فروش</v>
      </c>
      <c r="T2117" s="1" t="str">
        <f t="shared" si="569"/>
        <v>ندارد</v>
      </c>
      <c r="U2117" s="1" t="str">
        <f>"بابامحمدي عنايت اله(4844000)"</f>
        <v>بابامحمدي عنايت اله(4844000)</v>
      </c>
      <c r="V2117" s="1">
        <v>951700236</v>
      </c>
      <c r="W2117" s="1">
        <v>951700236</v>
      </c>
      <c r="X2117" s="1" t="str">
        <f>"1395435600"</f>
        <v>1395435600</v>
      </c>
      <c r="Y2117" s="1" t="str">
        <f>"95/07/13"</f>
        <v>95/07/13</v>
      </c>
      <c r="Z2117" s="1" t="str">
        <f>"32935/510"</f>
        <v>32935/510</v>
      </c>
      <c r="AA2117" s="1" t="str">
        <f>"راه روستائي -روكش"</f>
        <v>راه روستائي -روكش</v>
      </c>
      <c r="AB2117" s="1" t="str">
        <f>"95/07/11"</f>
        <v>95/07/11</v>
      </c>
      <c r="AC2117" s="1" t="str">
        <f>"استان كرمان"</f>
        <v>استان كرمان</v>
      </c>
      <c r="AD2117" s="1" t="str">
        <f>"95/07/13"</f>
        <v>95/07/13</v>
      </c>
      <c r="AE2117" s="1" t="str">
        <f t="shared" si="564"/>
        <v>اختتام</v>
      </c>
      <c r="AF2117" s="1" t="str">
        <f>""</f>
        <v/>
      </c>
      <c r="AG2117" s="1" t="str">
        <f>""</f>
        <v/>
      </c>
      <c r="AH2117" s="1" t="str">
        <f>""</f>
        <v/>
      </c>
      <c r="AI2117" s="1" t="str">
        <f>""</f>
        <v/>
      </c>
      <c r="AJ2117" s="1" t="str">
        <f>""</f>
        <v/>
      </c>
      <c r="AK2117" s="1" t="str">
        <f>""</f>
        <v/>
      </c>
    </row>
    <row r="2118" spans="1:37" x14ac:dyDescent="0.2">
      <c r="A2118" s="1">
        <v>1000000</v>
      </c>
      <c r="B2118" s="1">
        <v>951800010</v>
      </c>
      <c r="C2118" s="1" t="str">
        <f>"تخليه -خراسان رضوي مشهدشهرك شهيدرجايي جاده دست كردان كارگاه شركت مسكن وعمران قدس رضوي"</f>
        <v>تخليه -خراسان رضوي مشهدشهرك شهيدرجايي جاده دست كردان كارگاه شركت مسكن وعمران قدس رضوي</v>
      </c>
      <c r="D2118" s="1">
        <v>6050</v>
      </c>
      <c r="E2118" s="1">
        <v>1000000</v>
      </c>
      <c r="F2118" s="1">
        <v>95</v>
      </c>
      <c r="G2118" s="1">
        <v>0</v>
      </c>
      <c r="H2118" s="1" t="str">
        <f>"95/03/22"</f>
        <v>95/03/22</v>
      </c>
      <c r="I2118" s="1" t="str">
        <f t="shared" si="565"/>
        <v>كيلوگرم</v>
      </c>
      <c r="J2118" s="1" t="str">
        <f t="shared" si="566"/>
        <v>0000000091</v>
      </c>
      <c r="K2118" s="1" t="str">
        <f t="shared" si="567"/>
        <v>قير  PG64-22</v>
      </c>
      <c r="L2118" s="1">
        <v>100</v>
      </c>
      <c r="M2118" s="1" t="str">
        <f t="shared" si="550"/>
        <v>مخازن قير اصفهان</v>
      </c>
      <c r="N2118" s="1">
        <v>7091</v>
      </c>
      <c r="O2118" s="1">
        <v>50031000</v>
      </c>
      <c r="P2118" s="1" t="str">
        <f>"  مسكن وعمران قدس رضوي"</f>
        <v xml:space="preserve">  مسكن وعمران قدس رضوي</v>
      </c>
      <c r="Q2118" s="1">
        <v>18</v>
      </c>
      <c r="R2118" s="1" t="str">
        <f>"فروش داخلي تهران - وزارت راه - شرکت ساخت و توسعه راهها"</f>
        <v>فروش داخلي تهران - وزارت راه - شرکت ساخت و توسعه راهها</v>
      </c>
      <c r="S2118" s="1" t="str">
        <f t="shared" si="568"/>
        <v>قرارداد فروش</v>
      </c>
      <c r="T2118" s="1" t="str">
        <f t="shared" si="569"/>
        <v>ندارد</v>
      </c>
      <c r="U2118" s="1" t="str">
        <f>"عابدي محمود(1018ج89)"</f>
        <v>عابدي محمود(1018ج89)</v>
      </c>
      <c r="V2118" s="1">
        <v>951800010</v>
      </c>
      <c r="W2118" s="1">
        <v>951800010</v>
      </c>
      <c r="X2118" s="1" t="str">
        <f>"1395408769"</f>
        <v>1395408769</v>
      </c>
      <c r="Y2118" s="1" t="str">
        <f>"95/03/22"</f>
        <v>95/03/22</v>
      </c>
      <c r="Z2118" s="1" t="str">
        <f>"10998/510"</f>
        <v>10998/510</v>
      </c>
      <c r="AA2118" s="1" t="str">
        <f>"شركت  ساخت وتوسعه راهها"</f>
        <v>شركت  ساخت وتوسعه راهها</v>
      </c>
      <c r="AB2118" s="1" t="str">
        <f>"95/03/18"</f>
        <v>95/03/18</v>
      </c>
      <c r="AC2118" s="1" t="str">
        <f>"خراسان رضوي"</f>
        <v>خراسان رضوي</v>
      </c>
      <c r="AD2118" s="1" t="str">
        <f>"95/03/22"</f>
        <v>95/03/22</v>
      </c>
      <c r="AE2118" s="1" t="str">
        <f t="shared" si="564"/>
        <v>اختتام</v>
      </c>
      <c r="AF2118" s="1" t="str">
        <f>""</f>
        <v/>
      </c>
      <c r="AG2118" s="1" t="str">
        <f>""</f>
        <v/>
      </c>
      <c r="AH2118" s="1" t="str">
        <f>""</f>
        <v/>
      </c>
      <c r="AI2118" s="1" t="str">
        <f>""</f>
        <v/>
      </c>
      <c r="AJ2118" s="1" t="str">
        <f>""</f>
        <v/>
      </c>
      <c r="AK2118" s="1" t="str">
        <f>""</f>
        <v/>
      </c>
    </row>
    <row r="2119" spans="1:37" x14ac:dyDescent="0.2">
      <c r="A2119" s="1">
        <v>2000000</v>
      </c>
      <c r="B2119" s="1">
        <v>951800031</v>
      </c>
      <c r="C2119" s="1" t="str">
        <f>"تخليه -خراسان رضوي مشهدشهرك شهيدرجايي جاده دست كردان كارگاه شركت مسكن وعمران قدس رضوي"</f>
        <v>تخليه -خراسان رضوي مشهدشهرك شهيدرجايي جاده دست كردان كارگاه شركت مسكن وعمران قدس رضوي</v>
      </c>
      <c r="D2119" s="1">
        <v>6250</v>
      </c>
      <c r="E2119" s="1">
        <v>2000000</v>
      </c>
      <c r="F2119" s="1">
        <v>95</v>
      </c>
      <c r="G2119" s="1">
        <v>0</v>
      </c>
      <c r="H2119" s="1" t="str">
        <f>"95/04/28"</f>
        <v>95/04/28</v>
      </c>
      <c r="I2119" s="1" t="str">
        <f t="shared" si="565"/>
        <v>كيلوگرم</v>
      </c>
      <c r="J2119" s="1" t="str">
        <f t="shared" si="566"/>
        <v>0000000091</v>
      </c>
      <c r="K2119" s="1" t="str">
        <f t="shared" si="567"/>
        <v>قير  PG64-22</v>
      </c>
      <c r="L2119" s="1">
        <v>100</v>
      </c>
      <c r="M2119" s="1" t="str">
        <f t="shared" si="550"/>
        <v>مخازن قير اصفهان</v>
      </c>
      <c r="N2119" s="1">
        <v>7091</v>
      </c>
      <c r="O2119" s="1">
        <v>50031316</v>
      </c>
      <c r="P2119" s="1" t="str">
        <f>"  مسكن وعمران قدس رضوي"</f>
        <v xml:space="preserve">  مسكن وعمران قدس رضوي</v>
      </c>
      <c r="Q2119" s="1">
        <v>18</v>
      </c>
      <c r="R2119" s="1" t="str">
        <f>"فروش داخلي تهران - وزارت راه - شرکت ساخت و توسعه راهها"</f>
        <v>فروش داخلي تهران - وزارت راه - شرکت ساخت و توسعه راهها</v>
      </c>
      <c r="S2119" s="1" t="str">
        <f t="shared" si="568"/>
        <v>قرارداد فروش</v>
      </c>
      <c r="T2119" s="1" t="str">
        <f t="shared" si="569"/>
        <v>ندارد</v>
      </c>
      <c r="U2119" s="1" t="str">
        <f>"عابدي محمود(1018ج89)"</f>
        <v>عابدي محمود(1018ج89)</v>
      </c>
      <c r="V2119" s="1">
        <v>951800031</v>
      </c>
      <c r="W2119" s="1">
        <v>951800031</v>
      </c>
      <c r="X2119" s="1" t="str">
        <f>"1395416203"</f>
        <v>1395416203</v>
      </c>
      <c r="Y2119" s="1" t="str">
        <f>"95/04/28"</f>
        <v>95/04/28</v>
      </c>
      <c r="Z2119" s="1" t="str">
        <f>"17839/510"</f>
        <v>17839/510</v>
      </c>
      <c r="AA2119" s="1" t="str">
        <f>"شركت  ساخت وتوسعه راهها"</f>
        <v>شركت  ساخت وتوسعه راهها</v>
      </c>
      <c r="AB2119" s="1" t="str">
        <f>"95/04/26"</f>
        <v>95/04/26</v>
      </c>
      <c r="AC2119" s="1" t="str">
        <f>"خراسان رضوي"</f>
        <v>خراسان رضوي</v>
      </c>
      <c r="AD2119" s="1" t="str">
        <f>"95/04/28"</f>
        <v>95/04/28</v>
      </c>
      <c r="AE2119" s="1" t="str">
        <f t="shared" si="564"/>
        <v>اختتام</v>
      </c>
      <c r="AF2119" s="1" t="str">
        <f>""</f>
        <v/>
      </c>
      <c r="AG2119" s="1" t="str">
        <f>""</f>
        <v/>
      </c>
      <c r="AH2119" s="1" t="str">
        <f>""</f>
        <v/>
      </c>
      <c r="AI2119" s="1" t="str">
        <f>""</f>
        <v/>
      </c>
      <c r="AJ2119" s="1" t="str">
        <f>""</f>
        <v/>
      </c>
      <c r="AK2119" s="1" t="str">
        <f>""</f>
        <v/>
      </c>
    </row>
    <row r="2120" spans="1:37" x14ac:dyDescent="0.2">
      <c r="A2120" s="1">
        <v>1027280</v>
      </c>
      <c r="B2120" s="1">
        <v>951800080</v>
      </c>
      <c r="C2120" s="1" t="str">
        <f>"تخليه -خراسان رضوي مشهدشهرك شهيدرجايي جاده دست كردان كارگاه شركت مسكن وعمران قدس رضوي"</f>
        <v>تخليه -خراسان رضوي مشهدشهرك شهيدرجايي جاده دست كردان كارگاه شركت مسكن وعمران قدس رضوي</v>
      </c>
      <c r="D2120" s="1">
        <v>8323</v>
      </c>
      <c r="E2120" s="1">
        <v>1005100</v>
      </c>
      <c r="F2120" s="1">
        <v>95</v>
      </c>
      <c r="G2120" s="1">
        <v>22180</v>
      </c>
      <c r="H2120" s="1" t="str">
        <f>"95/08/06"</f>
        <v>95/08/06</v>
      </c>
      <c r="I2120" s="1" t="str">
        <f t="shared" si="565"/>
        <v>كيلوگرم</v>
      </c>
      <c r="J2120" s="1" t="str">
        <f t="shared" si="566"/>
        <v>0000000091</v>
      </c>
      <c r="K2120" s="1" t="str">
        <f t="shared" si="567"/>
        <v>قير  PG64-22</v>
      </c>
      <c r="L2120" s="1">
        <v>100</v>
      </c>
      <c r="M2120" s="1" t="str">
        <f t="shared" ref="M2120:M2183" si="570">"مخازن قير اصفهان"</f>
        <v>مخازن قير اصفهان</v>
      </c>
      <c r="N2120" s="1">
        <v>7091</v>
      </c>
      <c r="O2120" s="1">
        <v>50032291</v>
      </c>
      <c r="P2120" s="1" t="str">
        <f>"  مسكن وعمران قدس رضوي"</f>
        <v xml:space="preserve">  مسكن وعمران قدس رضوي</v>
      </c>
      <c r="Q2120" s="1">
        <v>18</v>
      </c>
      <c r="R2120" s="1" t="str">
        <f>"فروش داخلي تهران - وزارت راه - شرکت ساخت و توسعه راهها"</f>
        <v>فروش داخلي تهران - وزارت راه - شرکت ساخت و توسعه راهها</v>
      </c>
      <c r="S2120" s="1" t="str">
        <f t="shared" si="568"/>
        <v>قرارداد فروش</v>
      </c>
      <c r="T2120" s="1" t="str">
        <f t="shared" si="569"/>
        <v>ندارد</v>
      </c>
      <c r="U2120" s="1" t="str">
        <f>"عابدي محمود(1018ج89)"</f>
        <v>عابدي محمود(1018ج89)</v>
      </c>
      <c r="V2120" s="1">
        <v>951800080</v>
      </c>
      <c r="W2120" s="1">
        <v>951800080</v>
      </c>
      <c r="X2120" s="1" t="str">
        <f>"1395437813"</f>
        <v>1395437813</v>
      </c>
      <c r="Y2120" s="1" t="str">
        <f>"95/08/06"</f>
        <v>95/08/06</v>
      </c>
      <c r="Z2120" s="1" t="str">
        <f>"34574/510"</f>
        <v>34574/510</v>
      </c>
      <c r="AA2120" s="1" t="str">
        <f>"شركت  ساخت وتوسعه راهها"</f>
        <v>شركت  ساخت وتوسعه راهها</v>
      </c>
      <c r="AB2120" s="1" t="str">
        <f>"95/07/18"</f>
        <v>95/07/18</v>
      </c>
      <c r="AC2120" s="1" t="str">
        <f>"خراسان رضوي"</f>
        <v>خراسان رضوي</v>
      </c>
      <c r="AD2120" s="1" t="str">
        <f>"95/07/19"</f>
        <v>95/07/19</v>
      </c>
      <c r="AE2120" s="1" t="str">
        <f t="shared" si="564"/>
        <v>اختتام</v>
      </c>
      <c r="AF2120" s="1" t="str">
        <f>""</f>
        <v/>
      </c>
      <c r="AG2120" s="1" t="str">
        <f>""</f>
        <v/>
      </c>
      <c r="AH2120" s="1" t="str">
        <f>""</f>
        <v/>
      </c>
      <c r="AI2120" s="1" t="str">
        <f>""</f>
        <v/>
      </c>
      <c r="AJ2120" s="1" t="str">
        <f>""</f>
        <v/>
      </c>
      <c r="AK2120" s="1" t="str">
        <f>""</f>
        <v/>
      </c>
    </row>
    <row r="2121" spans="1:37" x14ac:dyDescent="0.2">
      <c r="A2121" s="1">
        <v>300000</v>
      </c>
      <c r="B2121" s="1">
        <v>951900124</v>
      </c>
      <c r="C2121" s="1" t="str">
        <f>"تخليه اصفهان -جاده اصفهان -تهران-پشت پليس راه"</f>
        <v>تخليه اصفهان -جاده اصفهان -تهران-پشت پليس راه</v>
      </c>
      <c r="D2121" s="1">
        <v>6726</v>
      </c>
      <c r="E2121" s="1">
        <v>298480</v>
      </c>
      <c r="F2121" s="1">
        <v>95</v>
      </c>
      <c r="G2121" s="1">
        <v>1520</v>
      </c>
      <c r="H2121" s="1" t="str">
        <f>"95/05/26"</f>
        <v>95/05/26</v>
      </c>
      <c r="I2121" s="1" t="str">
        <f t="shared" si="565"/>
        <v>كيلوگرم</v>
      </c>
      <c r="J2121" s="1" t="str">
        <f t="shared" si="566"/>
        <v>0000000091</v>
      </c>
      <c r="K2121" s="1" t="str">
        <f t="shared" si="567"/>
        <v>قير  PG64-22</v>
      </c>
      <c r="L2121" s="1">
        <v>100</v>
      </c>
      <c r="M2121" s="1" t="str">
        <f t="shared" si="570"/>
        <v>مخازن قير اصفهان</v>
      </c>
      <c r="N2121" s="1">
        <v>7316</v>
      </c>
      <c r="O2121" s="1">
        <v>50031557</v>
      </c>
      <c r="P2121" s="1" t="str">
        <f>"  تعاوني معدني ياقوت آباد"</f>
        <v xml:space="preserve">  تعاوني معدني ياقوت آباد</v>
      </c>
      <c r="Q2121" s="1">
        <v>19</v>
      </c>
      <c r="R212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21" s="1" t="str">
        <f t="shared" si="568"/>
        <v>قرارداد فروش</v>
      </c>
      <c r="T2121" s="1" t="str">
        <f t="shared" si="569"/>
        <v>ندارد</v>
      </c>
      <c r="U2121" s="1" t="str">
        <f>"مرادي نجاتعلي(1020ج89)"</f>
        <v>مرادي نجاتعلي(1020ج89)</v>
      </c>
      <c r="V2121" s="1">
        <v>951900124</v>
      </c>
      <c r="W2121" s="1">
        <v>951900124</v>
      </c>
      <c r="X2121" s="1" t="str">
        <f>"1395423676"</f>
        <v>1395423676</v>
      </c>
      <c r="Y2121" s="1" t="str">
        <f>"95/05/26"</f>
        <v>95/05/26</v>
      </c>
      <c r="Z2121" s="1" t="str">
        <f>"22714/510"</f>
        <v>22714/510</v>
      </c>
      <c r="AA2121" s="1" t="str">
        <f>"سازمان راهداري وحمل نقل جاده اي"</f>
        <v>سازمان راهداري وحمل نقل جاده اي</v>
      </c>
      <c r="AB2121" s="1" t="str">
        <f>"95/05/19"</f>
        <v>95/05/19</v>
      </c>
      <c r="AC2121" s="1" t="str">
        <f>"استان اصفهان"</f>
        <v>استان اصفهان</v>
      </c>
      <c r="AD2121" s="1" t="str">
        <f>"95/05/24"</f>
        <v>95/05/24</v>
      </c>
      <c r="AE2121" s="1" t="str">
        <f t="shared" si="564"/>
        <v>اختتام</v>
      </c>
      <c r="AF2121" s="1" t="str">
        <f>""</f>
        <v/>
      </c>
      <c r="AG2121" s="1" t="str">
        <f>""</f>
        <v/>
      </c>
      <c r="AH2121" s="1" t="str">
        <f>""</f>
        <v/>
      </c>
      <c r="AI2121" s="1" t="str">
        <f>""</f>
        <v/>
      </c>
      <c r="AJ2121" s="1" t="str">
        <f>""</f>
        <v/>
      </c>
      <c r="AK2121" s="1" t="str">
        <f>""</f>
        <v/>
      </c>
    </row>
    <row r="2122" spans="1:37" x14ac:dyDescent="0.2">
      <c r="A2122" s="1">
        <v>220480</v>
      </c>
      <c r="B2122" s="1">
        <v>951600065</v>
      </c>
      <c r="C2122" s="1" t="str">
        <f>"خراسان رضوي پروژه احداث قطعه چهارم باند دوم تربت جام به فريمان"</f>
        <v>خراسان رضوي پروژه احداث قطعه چهارم باند دوم تربت جام به فريمان</v>
      </c>
      <c r="D2122" s="1">
        <v>9061</v>
      </c>
      <c r="E2122" s="1">
        <v>188980</v>
      </c>
      <c r="F2122" s="1">
        <v>95</v>
      </c>
      <c r="G2122" s="1">
        <v>31500</v>
      </c>
      <c r="H2122" s="1" t="str">
        <f>"95/10/05"</f>
        <v>95/10/05</v>
      </c>
      <c r="I2122" s="1" t="str">
        <f t="shared" si="565"/>
        <v>كيلوگرم</v>
      </c>
      <c r="J2122" s="1" t="str">
        <f t="shared" si="566"/>
        <v>0000000091</v>
      </c>
      <c r="K2122" s="1" t="str">
        <f t="shared" si="567"/>
        <v>قير  PG64-22</v>
      </c>
      <c r="L2122" s="1">
        <v>100</v>
      </c>
      <c r="M2122" s="1" t="str">
        <f t="shared" si="570"/>
        <v>مخازن قير اصفهان</v>
      </c>
      <c r="N2122" s="1">
        <v>8049</v>
      </c>
      <c r="O2122" s="1">
        <v>50033130</v>
      </c>
      <c r="P2122" s="1" t="str">
        <f>"  ساختماني آرادان"</f>
        <v xml:space="preserve">  ساختماني آرادان</v>
      </c>
      <c r="Q2122" s="1">
        <v>16</v>
      </c>
      <c r="R2122" s="1" t="str">
        <f>"فروش داخلي تهران - وزارت راه - معاونت اقتصاد"</f>
        <v>فروش داخلي تهران - وزارت راه - معاونت اقتصاد</v>
      </c>
      <c r="S2122" s="1" t="str">
        <f t="shared" si="568"/>
        <v>قرارداد فروش</v>
      </c>
      <c r="T2122" s="1" t="str">
        <f t="shared" si="569"/>
        <v>ندارد</v>
      </c>
      <c r="U2122" s="1" t="str">
        <f>"فتاح زاده سيداحمد(3843011)"</f>
        <v>فتاح زاده سيداحمد(3843011)</v>
      </c>
      <c r="V2122" s="1">
        <v>951600065</v>
      </c>
      <c r="W2122" s="1">
        <v>951600065</v>
      </c>
      <c r="X2122" s="1" t="str">
        <f>"1395449221"</f>
        <v>1395449221</v>
      </c>
      <c r="Y2122" s="1" t="str">
        <f>"95/10/04"</f>
        <v>95/10/04</v>
      </c>
      <c r="Z2122" s="1" t="str">
        <f>"43655/710"</f>
        <v>43655/710</v>
      </c>
      <c r="AA2122" s="1" t="str">
        <f>"معاونت اقتصادوزارت راه وشهرسازي"</f>
        <v>معاونت اقتصادوزارت راه وشهرسازي</v>
      </c>
      <c r="AB2122" s="1" t="str">
        <f>"95/09/07"</f>
        <v>95/09/07</v>
      </c>
      <c r="AC2122" s="1" t="str">
        <f>"خراسان رضوي"</f>
        <v>خراسان رضوي</v>
      </c>
      <c r="AD2122" s="1" t="str">
        <f>"95/09/14"</f>
        <v>95/09/14</v>
      </c>
      <c r="AE2122" s="1" t="str">
        <f t="shared" si="564"/>
        <v>اختتام</v>
      </c>
      <c r="AF2122" s="1" t="str">
        <f>""</f>
        <v/>
      </c>
      <c r="AG2122" s="1" t="str">
        <f>""</f>
        <v/>
      </c>
      <c r="AH2122" s="1" t="str">
        <f>""</f>
        <v/>
      </c>
      <c r="AI2122" s="1" t="str">
        <f>""</f>
        <v/>
      </c>
      <c r="AJ2122" s="1" t="str">
        <f>""</f>
        <v/>
      </c>
      <c r="AK2122" s="1" t="str">
        <f>""</f>
        <v/>
      </c>
    </row>
    <row r="2123" spans="1:37" x14ac:dyDescent="0.2">
      <c r="A2123" s="1">
        <v>542000</v>
      </c>
      <c r="B2123" s="1">
        <v>951700002</v>
      </c>
      <c r="C2123" s="1" t="str">
        <f>"تخليه -طارم كيلومتر2جاده گيلوان به آببركارخانه آسفالت سلانسر"</f>
        <v>تخليه -طارم كيلومتر2جاده گيلوان به آببركارخانه آسفالت سلانسر</v>
      </c>
      <c r="D2123" s="1">
        <v>5650</v>
      </c>
      <c r="E2123" s="1">
        <v>537980</v>
      </c>
      <c r="F2123" s="1">
        <v>95</v>
      </c>
      <c r="G2123" s="1">
        <v>4020</v>
      </c>
      <c r="H2123" s="1" t="str">
        <f>"95/02/14"</f>
        <v>95/02/14</v>
      </c>
      <c r="I2123" s="1" t="str">
        <f t="shared" si="565"/>
        <v>كيلوگرم</v>
      </c>
      <c r="J2123" s="1" t="str">
        <f t="shared" si="566"/>
        <v>0000000091</v>
      </c>
      <c r="K2123" s="1" t="str">
        <f t="shared" si="567"/>
        <v>قير  PG64-22</v>
      </c>
      <c r="L2123" s="1">
        <v>100</v>
      </c>
      <c r="M2123" s="1" t="str">
        <f t="shared" si="570"/>
        <v>مخازن قير اصفهان</v>
      </c>
      <c r="N2123" s="1">
        <v>8119</v>
      </c>
      <c r="O2123" s="1">
        <v>50030732</v>
      </c>
      <c r="P2123" s="1" t="str">
        <f>"  اداره كل راه وشهرسازي زنجان"</f>
        <v xml:space="preserve">  اداره كل راه وشهرسازي زنجان</v>
      </c>
      <c r="Q2123" s="1">
        <v>17</v>
      </c>
      <c r="R2123" s="1" t="str">
        <f>"فروش داخلي تهران - وزارت راه - راه روستايي - روکش"</f>
        <v>فروش داخلي تهران - وزارت راه - راه روستايي - روکش</v>
      </c>
      <c r="S2123" s="1" t="str">
        <f t="shared" si="568"/>
        <v>قرارداد فروش</v>
      </c>
      <c r="T2123" s="1" t="str">
        <f t="shared" si="569"/>
        <v>ندارد</v>
      </c>
      <c r="U2123" s="1" t="str">
        <f>"خليل الهي حسن(1841005)"</f>
        <v>خليل الهي حسن(1841005)</v>
      </c>
      <c r="V2123" s="1">
        <v>951700002</v>
      </c>
      <c r="W2123" s="1">
        <v>951700002</v>
      </c>
      <c r="X2123" s="1" t="str">
        <f>"1395401950"</f>
        <v>1395401950</v>
      </c>
      <c r="Y2123" s="1" t="str">
        <f>"95/02/14"</f>
        <v>95/02/14</v>
      </c>
      <c r="Z2123" s="1" t="str">
        <f>"68162/510"</f>
        <v>68162/510</v>
      </c>
      <c r="AA2123" s="1" t="str">
        <f>"راه روستائي -روكش"</f>
        <v>راه روستائي -روكش</v>
      </c>
      <c r="AB2123" s="1" t="str">
        <f>"94/12/12"</f>
        <v>94/12/12</v>
      </c>
      <c r="AC2123" s="1" t="str">
        <f>"استان زنجان"</f>
        <v>استان زنجان</v>
      </c>
      <c r="AD2123" s="1" t="str">
        <f>"95/02/11"</f>
        <v>95/02/11</v>
      </c>
      <c r="AE2123" s="1" t="str">
        <f t="shared" si="564"/>
        <v>اختتام</v>
      </c>
      <c r="AF2123" s="1" t="str">
        <f>""</f>
        <v/>
      </c>
      <c r="AG2123" s="1" t="str">
        <f>""</f>
        <v/>
      </c>
      <c r="AH2123" s="1" t="str">
        <f>""</f>
        <v/>
      </c>
      <c r="AI2123" s="1" t="str">
        <f>""</f>
        <v/>
      </c>
      <c r="AJ2123" s="1" t="str">
        <f>""</f>
        <v/>
      </c>
      <c r="AK2123" s="1" t="str">
        <f>""</f>
        <v/>
      </c>
    </row>
    <row r="2124" spans="1:37" x14ac:dyDescent="0.2">
      <c r="A2124" s="1">
        <v>2000000</v>
      </c>
      <c r="B2124" s="1">
        <v>951100191</v>
      </c>
      <c r="C2124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2124" s="1">
        <v>8998</v>
      </c>
      <c r="E2124" s="1">
        <v>2000000</v>
      </c>
      <c r="F2124" s="1">
        <v>95</v>
      </c>
      <c r="G2124" s="1">
        <v>0</v>
      </c>
      <c r="H2124" s="1" t="str">
        <f>"95/12/17"</f>
        <v>95/12/17</v>
      </c>
      <c r="I2124" s="1" t="str">
        <f t="shared" si="565"/>
        <v>كيلوگرم</v>
      </c>
      <c r="J2124" s="1" t="str">
        <f t="shared" si="566"/>
        <v>0000000091</v>
      </c>
      <c r="K2124" s="1" t="str">
        <f t="shared" si="567"/>
        <v>قير  PG64-22</v>
      </c>
      <c r="L2124" s="1">
        <v>100</v>
      </c>
      <c r="M2124" s="1" t="str">
        <f t="shared" si="570"/>
        <v>مخازن قير اصفهان</v>
      </c>
      <c r="N2124" s="1">
        <v>8163</v>
      </c>
      <c r="O2124" s="1">
        <v>50034033</v>
      </c>
      <c r="P2124" s="1" t="str">
        <f>"  سازمان عمران شهرداري مشهد"</f>
        <v xml:space="preserve">  سازمان عمران شهرداري مشهد</v>
      </c>
      <c r="Q2124" s="1">
        <v>11</v>
      </c>
      <c r="R2124" s="1" t="str">
        <f>"فروش داخلي تهران - بورس"</f>
        <v>فروش داخلي تهران - بورس</v>
      </c>
      <c r="S2124" s="1" t="str">
        <f t="shared" si="568"/>
        <v>قرارداد فروش</v>
      </c>
      <c r="T2124" s="1" t="str">
        <f t="shared" si="569"/>
        <v>ندارد</v>
      </c>
      <c r="U2124" s="1" t="str">
        <f>"جعفرزاده مهدي(1841079)"</f>
        <v>جعفرزاده مهدي(1841079)</v>
      </c>
      <c r="V2124" s="1">
        <v>951100191</v>
      </c>
      <c r="W2124" s="1">
        <v>951100191</v>
      </c>
      <c r="X2124" s="1" t="str">
        <f>"1395469205"</f>
        <v>1395469205</v>
      </c>
      <c r="Y2124" s="1" t="str">
        <f>"95/12/17"</f>
        <v>95/12/17</v>
      </c>
      <c r="Z2124" s="1" t="str">
        <f>"49/95/30360"</f>
        <v>49/95/30360</v>
      </c>
      <c r="AA2124" s="1" t="str">
        <f>"شهرداريها"</f>
        <v>شهرداريها</v>
      </c>
      <c r="AB2124" s="1" t="str">
        <f>"95/12/03"</f>
        <v>95/12/03</v>
      </c>
      <c r="AC2124" s="1" t="str">
        <f>"خراسان رضوي"</f>
        <v>خراسان رضوي</v>
      </c>
      <c r="AD2124" s="1" t="str">
        <f>"95/12/16"</f>
        <v>95/12/16</v>
      </c>
      <c r="AE2124" s="1" t="str">
        <f>"تاييدشده"</f>
        <v>تاييدشده</v>
      </c>
      <c r="AF2124" s="1" t="str">
        <f>""</f>
        <v/>
      </c>
      <c r="AG2124" s="1" t="str">
        <f>""</f>
        <v/>
      </c>
      <c r="AH2124" s="1" t="str">
        <f>""</f>
        <v/>
      </c>
      <c r="AI2124" s="1" t="str">
        <f>""</f>
        <v/>
      </c>
      <c r="AJ2124" s="1" t="str">
        <f>""</f>
        <v/>
      </c>
      <c r="AK2124" s="1" t="str">
        <f>""</f>
        <v/>
      </c>
    </row>
    <row r="2125" spans="1:37" x14ac:dyDescent="0.2">
      <c r="A2125" s="1">
        <v>1000000</v>
      </c>
      <c r="B2125" s="1">
        <v>951600093</v>
      </c>
      <c r="C2125" s="1" t="str">
        <f>"تخليه -زاهدان -كارگاه ساختماني پاريز"</f>
        <v>تخليه -زاهدان -كارگاه ساختماني پاريز</v>
      </c>
      <c r="D2125" s="1">
        <v>9068</v>
      </c>
      <c r="E2125" s="1">
        <v>998060</v>
      </c>
      <c r="F2125" s="1">
        <v>95</v>
      </c>
      <c r="G2125" s="1">
        <v>1940</v>
      </c>
      <c r="H2125" s="1" t="str">
        <f>"95/12/16"</f>
        <v>95/12/16</v>
      </c>
      <c r="I2125" s="1" t="str">
        <f t="shared" si="565"/>
        <v>كيلوگرم</v>
      </c>
      <c r="J2125" s="1" t="str">
        <f t="shared" si="566"/>
        <v>0000000091</v>
      </c>
      <c r="K2125" s="1" t="str">
        <f t="shared" si="567"/>
        <v>قير  PG64-22</v>
      </c>
      <c r="L2125" s="1">
        <v>100</v>
      </c>
      <c r="M2125" s="1" t="str">
        <f t="shared" si="570"/>
        <v>مخازن قير اصفهان</v>
      </c>
      <c r="N2125" s="1">
        <v>8224</v>
      </c>
      <c r="O2125" s="1">
        <v>50034012</v>
      </c>
      <c r="P2125" s="1" t="str">
        <f>"  ساختماني پاريز"</f>
        <v xml:space="preserve">  ساختماني پاريز</v>
      </c>
      <c r="Q2125" s="1">
        <v>16</v>
      </c>
      <c r="R2125" s="1" t="str">
        <f>"فروش داخلي تهران - وزارت راه - معاونت اقتصاد"</f>
        <v>فروش داخلي تهران - وزارت راه - معاونت اقتصاد</v>
      </c>
      <c r="S2125" s="1" t="str">
        <f t="shared" si="568"/>
        <v>قرارداد فروش</v>
      </c>
      <c r="T2125" s="1" t="str">
        <f t="shared" si="569"/>
        <v>ندارد</v>
      </c>
      <c r="U2125" s="1" t="str">
        <f>"ميرحسيني چاپارحقيقت كرمان(4844008)"</f>
        <v>ميرحسيني چاپارحقيقت كرمان(4844008)</v>
      </c>
      <c r="V2125" s="1">
        <v>951600093</v>
      </c>
      <c r="W2125" s="1">
        <v>951600093</v>
      </c>
      <c r="X2125" s="1" t="str">
        <f>"1395469182"</f>
        <v>1395469182</v>
      </c>
      <c r="Y2125" s="1" t="str">
        <f>"95/12/16"</f>
        <v>95/12/16</v>
      </c>
      <c r="Z2125" s="1" t="str">
        <f>"63513/710"</f>
        <v>63513/710</v>
      </c>
      <c r="AA2125" s="1" t="str">
        <f>"معاونت اقتصادوزارت راه وشهرسازي"</f>
        <v>معاونت اقتصادوزارت راه وشهرسازي</v>
      </c>
      <c r="AB2125" s="1" t="str">
        <f>"95/12/14"</f>
        <v>95/12/14</v>
      </c>
      <c r="AC2125" s="1" t="str">
        <f>"استان سيستان بلوچستان"</f>
        <v>استان سيستان بلوچستان</v>
      </c>
      <c r="AD2125" s="1" t="str">
        <f>"95/12/16"</f>
        <v>95/12/16</v>
      </c>
      <c r="AE2125" s="1" t="str">
        <f t="shared" ref="AE2125:AE2130" si="571">"اختتام"</f>
        <v>اختتام</v>
      </c>
      <c r="AF2125" s="1" t="str">
        <f>""</f>
        <v/>
      </c>
      <c r="AG2125" s="1" t="str">
        <f>""</f>
        <v/>
      </c>
      <c r="AH2125" s="1" t="str">
        <f>""</f>
        <v/>
      </c>
      <c r="AI2125" s="1" t="str">
        <f>""</f>
        <v/>
      </c>
      <c r="AJ2125" s="1" t="str">
        <f>""</f>
        <v/>
      </c>
      <c r="AK2125" s="1" t="str">
        <f>""</f>
        <v/>
      </c>
    </row>
    <row r="2126" spans="1:37" x14ac:dyDescent="0.2">
      <c r="A2126" s="1">
        <v>750000</v>
      </c>
      <c r="B2126" s="1">
        <v>951600012</v>
      </c>
      <c r="C2126" s="1" t="str">
        <f>"تخليه- خراسان جنوبي - کيلومتر 8 محور زاهدان-بجد کارخانه شرکت ارتقاء"</f>
        <v>تخليه- خراسان جنوبي - کيلومتر 8 محور زاهدان-بجد کارخانه شرکت ارتقاء</v>
      </c>
      <c r="D2126" s="1">
        <v>6726</v>
      </c>
      <c r="E2126" s="1">
        <v>749420</v>
      </c>
      <c r="F2126" s="1">
        <v>95</v>
      </c>
      <c r="G2126" s="1">
        <v>580</v>
      </c>
      <c r="H2126" s="1" t="str">
        <f>"95/05/12"</f>
        <v>95/05/12</v>
      </c>
      <c r="I2126" s="1" t="str">
        <f t="shared" si="565"/>
        <v>كيلوگرم</v>
      </c>
      <c r="J2126" s="1" t="str">
        <f t="shared" si="566"/>
        <v>0000000091</v>
      </c>
      <c r="K2126" s="1" t="str">
        <f t="shared" si="567"/>
        <v>قير  PG64-22</v>
      </c>
      <c r="L2126" s="1">
        <v>100</v>
      </c>
      <c r="M2126" s="1" t="str">
        <f t="shared" si="570"/>
        <v>مخازن قير اصفهان</v>
      </c>
      <c r="N2126" s="1">
        <v>8289</v>
      </c>
      <c r="O2126" s="1">
        <v>50031409</v>
      </c>
      <c r="P2126" s="1" t="str">
        <f>"  ارتقاء"</f>
        <v xml:space="preserve">  ارتقاء</v>
      </c>
      <c r="Q2126" s="1">
        <v>16</v>
      </c>
      <c r="R2126" s="1" t="str">
        <f>"فروش داخلي تهران - وزارت راه - معاونت اقتصاد"</f>
        <v>فروش داخلي تهران - وزارت راه - معاونت اقتصاد</v>
      </c>
      <c r="S2126" s="1" t="str">
        <f t="shared" si="568"/>
        <v>قرارداد فروش</v>
      </c>
      <c r="T2126" s="1" t="str">
        <f t="shared" si="569"/>
        <v>ندارد</v>
      </c>
      <c r="U2126" s="1" t="str">
        <f>"عزيزي صفر(1006ج 89)"</f>
        <v>عزيزي صفر(1006ج 89)</v>
      </c>
      <c r="V2126" s="1">
        <v>951600012</v>
      </c>
      <c r="W2126" s="1">
        <v>951600012</v>
      </c>
      <c r="X2126" s="1" t="str">
        <f>"1395419834"</f>
        <v>1395419834</v>
      </c>
      <c r="Y2126" s="1" t="str">
        <f>"95/05/12"</f>
        <v>95/05/12</v>
      </c>
      <c r="Z2126" s="1" t="str">
        <f>"19427/510"</f>
        <v>19427/510</v>
      </c>
      <c r="AA2126" s="1" t="str">
        <f>"معاونت اقتصادوزارت راه وشهرسازي"</f>
        <v>معاونت اقتصادوزارت راه وشهرسازي</v>
      </c>
      <c r="AB2126" s="1" t="str">
        <f>"95/05/03"</f>
        <v>95/05/03</v>
      </c>
      <c r="AC2126" s="1" t="str">
        <f>"خراسان جنوبي"</f>
        <v>خراسان جنوبي</v>
      </c>
      <c r="AD2126" s="1" t="str">
        <f>"95/05/11"</f>
        <v>95/05/11</v>
      </c>
      <c r="AE2126" s="1" t="str">
        <f t="shared" si="571"/>
        <v>اختتام</v>
      </c>
      <c r="AF2126" s="1" t="str">
        <f>""</f>
        <v/>
      </c>
      <c r="AG2126" s="1" t="str">
        <f>""</f>
        <v/>
      </c>
      <c r="AH2126" s="1" t="str">
        <f>""</f>
        <v/>
      </c>
      <c r="AI2126" s="1" t="str">
        <f>""</f>
        <v/>
      </c>
      <c r="AJ2126" s="1" t="str">
        <f>""</f>
        <v/>
      </c>
      <c r="AK2126" s="1" t="str">
        <f>""</f>
        <v/>
      </c>
    </row>
    <row r="2127" spans="1:37" x14ac:dyDescent="0.2">
      <c r="A2127" s="1">
        <v>140000</v>
      </c>
      <c r="B2127" s="1">
        <v>951400104</v>
      </c>
      <c r="C2127" s="1" t="str">
        <f>"تخليه بهسازي وآسفالت راه روستايي ميانه واقه درسنندج كارخانه آسفالت نيل گسترغرب"</f>
        <v>تخليه بهسازي وآسفالت راه روستايي ميانه واقه درسنندج كارخانه آسفالت نيل گسترغرب</v>
      </c>
      <c r="D2127" s="1">
        <v>9061</v>
      </c>
      <c r="E2127" s="1">
        <v>65100</v>
      </c>
      <c r="F2127" s="1">
        <v>95</v>
      </c>
      <c r="G2127" s="1">
        <v>74900</v>
      </c>
      <c r="H2127" s="1" t="str">
        <f>"95/10/07"</f>
        <v>95/10/07</v>
      </c>
      <c r="I2127" s="1" t="str">
        <f t="shared" si="565"/>
        <v>كيلوگرم</v>
      </c>
      <c r="J2127" s="1" t="str">
        <f t="shared" si="566"/>
        <v>0000000091</v>
      </c>
      <c r="K2127" s="1" t="str">
        <f t="shared" si="567"/>
        <v>قير  PG64-22</v>
      </c>
      <c r="L2127" s="1">
        <v>100</v>
      </c>
      <c r="M2127" s="1" t="str">
        <f t="shared" si="570"/>
        <v>مخازن قير اصفهان</v>
      </c>
      <c r="N2127" s="1">
        <v>8871</v>
      </c>
      <c r="O2127" s="1">
        <v>50033184</v>
      </c>
      <c r="P2127" s="1" t="str">
        <f>"  مريوان سازه"</f>
        <v xml:space="preserve">  مريوان سازه</v>
      </c>
      <c r="Q2127" s="1">
        <v>14</v>
      </c>
      <c r="R2127" s="1" t="str">
        <f>"فروش داخلي - وزارت راه - حوزه راه روستايي ساخت"</f>
        <v>فروش داخلي - وزارت راه - حوزه راه روستايي ساخت</v>
      </c>
      <c r="S2127" s="1" t="str">
        <f t="shared" si="568"/>
        <v>قرارداد فروش</v>
      </c>
      <c r="T2127" s="1" t="str">
        <f t="shared" si="569"/>
        <v>ندارد</v>
      </c>
      <c r="U2127" s="1" t="str">
        <f>"حاجيلوئي علي اصغر(2842019)"</f>
        <v>حاجيلوئي علي اصغر(2842019)</v>
      </c>
      <c r="V2127" s="1">
        <v>951400104</v>
      </c>
      <c r="W2127" s="1">
        <v>951400104</v>
      </c>
      <c r="X2127" s="1" t="str">
        <f>"1395454461"</f>
        <v>1395454461</v>
      </c>
      <c r="Y2127" s="1" t="str">
        <f>"95/10/07"</f>
        <v>95/10/07</v>
      </c>
      <c r="Z2127" s="1" t="str">
        <f>"45405/710"</f>
        <v>45405/710</v>
      </c>
      <c r="AA2127" s="1" t="str">
        <f>"راه وروستايي -ساخت"</f>
        <v>راه وروستايي -ساخت</v>
      </c>
      <c r="AB2127" s="1" t="str">
        <f>"95/09/20"</f>
        <v>95/09/20</v>
      </c>
      <c r="AC2127" s="1" t="str">
        <f>"استان كردستان"</f>
        <v>استان كردستان</v>
      </c>
      <c r="AD2127" s="1" t="str">
        <f>"95/10/05"</f>
        <v>95/10/05</v>
      </c>
      <c r="AE2127" s="1" t="str">
        <f t="shared" si="571"/>
        <v>اختتام</v>
      </c>
      <c r="AF2127" s="1" t="str">
        <f>""</f>
        <v/>
      </c>
      <c r="AG2127" s="1" t="str">
        <f>""</f>
        <v/>
      </c>
      <c r="AH2127" s="1" t="str">
        <f>""</f>
        <v/>
      </c>
      <c r="AI2127" s="1" t="str">
        <f>""</f>
        <v/>
      </c>
      <c r="AJ2127" s="1" t="str">
        <f>""</f>
        <v/>
      </c>
      <c r="AK2127" s="1" t="str">
        <f>""</f>
        <v/>
      </c>
    </row>
    <row r="2128" spans="1:37" x14ac:dyDescent="0.2">
      <c r="A2128" s="1">
        <v>366940</v>
      </c>
      <c r="B2128" s="1">
        <v>951600037</v>
      </c>
      <c r="C2128" s="1" t="str">
        <f>"تخليه -يزد-جاده يزدكرمان -شركت فرش راه"</f>
        <v>تخليه -يزد-جاده يزدكرمان -شركت فرش راه</v>
      </c>
      <c r="D2128" s="1">
        <v>8323</v>
      </c>
      <c r="E2128" s="1">
        <v>199800</v>
      </c>
      <c r="F2128" s="1">
        <v>95</v>
      </c>
      <c r="G2128" s="1">
        <v>167140</v>
      </c>
      <c r="H2128" s="1" t="str">
        <f>"95/08/08"</f>
        <v>95/08/08</v>
      </c>
      <c r="I2128" s="1" t="str">
        <f t="shared" si="565"/>
        <v>كيلوگرم</v>
      </c>
      <c r="J2128" s="1" t="str">
        <f t="shared" si="566"/>
        <v>0000000091</v>
      </c>
      <c r="K2128" s="1" t="str">
        <f t="shared" si="567"/>
        <v>قير  PG64-22</v>
      </c>
      <c r="L2128" s="1">
        <v>100</v>
      </c>
      <c r="M2128" s="1" t="str">
        <f t="shared" si="570"/>
        <v>مخازن قير اصفهان</v>
      </c>
      <c r="N2128" s="1">
        <v>9304</v>
      </c>
      <c r="O2128" s="1">
        <v>50032346</v>
      </c>
      <c r="P2128" s="1" t="str">
        <f>"  يزدراهداران"</f>
        <v xml:space="preserve">  يزدراهداران</v>
      </c>
      <c r="Q2128" s="1">
        <v>16</v>
      </c>
      <c r="R2128" s="1" t="str">
        <f>"فروش داخلي تهران - وزارت راه - معاونت اقتصاد"</f>
        <v>فروش داخلي تهران - وزارت راه - معاونت اقتصاد</v>
      </c>
      <c r="S2128" s="1" t="str">
        <f t="shared" si="568"/>
        <v>قرارداد فروش</v>
      </c>
      <c r="T2128" s="1" t="str">
        <f t="shared" si="569"/>
        <v>ندارد</v>
      </c>
      <c r="U2128" s="1" t="str">
        <f>"قانعي محمدرضا(1011ج89)"</f>
        <v>قانعي محمدرضا(1011ج89)</v>
      </c>
      <c r="V2128" s="1">
        <v>951600037</v>
      </c>
      <c r="W2128" s="1">
        <v>951600037</v>
      </c>
      <c r="X2128" s="1" t="str">
        <f>"1395414285"</f>
        <v>1395414285</v>
      </c>
      <c r="Y2128" s="1" t="str">
        <f>"95/08/08"</f>
        <v>95/08/08</v>
      </c>
      <c r="Z2128" s="1" t="str">
        <f>"15382/510"</f>
        <v>15382/510</v>
      </c>
      <c r="AA2128" s="1" t="str">
        <f>"معاونت اقتصادوزارت راه وشهرسازي"</f>
        <v>معاونت اقتصادوزارت راه وشهرسازي</v>
      </c>
      <c r="AB2128" s="1" t="str">
        <f>"95/04/12"</f>
        <v>95/04/12</v>
      </c>
      <c r="AC2128" s="1" t="str">
        <f>"استان يزد"</f>
        <v>استان يزد</v>
      </c>
      <c r="AD2128" s="1" t="str">
        <f>"95/04/02"</f>
        <v>95/04/02</v>
      </c>
      <c r="AE2128" s="1" t="str">
        <f t="shared" si="571"/>
        <v>اختتام</v>
      </c>
      <c r="AF2128" s="1" t="str">
        <f>""</f>
        <v/>
      </c>
      <c r="AG2128" s="1" t="str">
        <f>""</f>
        <v/>
      </c>
      <c r="AH2128" s="1" t="str">
        <f>""</f>
        <v/>
      </c>
      <c r="AI2128" s="1" t="str">
        <f>""</f>
        <v/>
      </c>
      <c r="AJ2128" s="1" t="str">
        <f>""</f>
        <v/>
      </c>
      <c r="AK2128" s="1" t="str">
        <f>""</f>
        <v/>
      </c>
    </row>
    <row r="2129" spans="1:37" x14ac:dyDescent="0.2">
      <c r="A2129" s="1">
        <v>134000</v>
      </c>
      <c r="B2129" s="1">
        <v>951400062</v>
      </c>
      <c r="C2129" s="1" t="str">
        <f>"تخليه -قم -جعفريه - بعد از ناحيه صنعتي طغرودكارخانه آسفالت مهرگازران"</f>
        <v>تخليه -قم -جعفريه - بعد از ناحيه صنعتي طغرودكارخانه آسفالت مهرگازران</v>
      </c>
      <c r="D2129" s="1">
        <v>7176</v>
      </c>
      <c r="E2129" s="1">
        <v>133880</v>
      </c>
      <c r="F2129" s="1">
        <v>95</v>
      </c>
      <c r="G2129" s="1">
        <v>120</v>
      </c>
      <c r="H2129" s="1" t="str">
        <f>"95/06/04"</f>
        <v>95/06/04</v>
      </c>
      <c r="I2129" s="1" t="str">
        <f t="shared" si="565"/>
        <v>كيلوگرم</v>
      </c>
      <c r="J2129" s="1" t="str">
        <f t="shared" si="566"/>
        <v>0000000091</v>
      </c>
      <c r="K2129" s="1" t="str">
        <f t="shared" si="567"/>
        <v>قير  PG64-22</v>
      </c>
      <c r="L2129" s="1">
        <v>100</v>
      </c>
      <c r="M2129" s="1" t="str">
        <f t="shared" si="570"/>
        <v>مخازن قير اصفهان</v>
      </c>
      <c r="N2129" s="1">
        <v>9441</v>
      </c>
      <c r="O2129" s="1">
        <v>50031639</v>
      </c>
      <c r="P2129" s="1" t="str">
        <f>"  راه وساختمان مهرگازران"</f>
        <v xml:space="preserve">  راه وساختمان مهرگازران</v>
      </c>
      <c r="Q2129" s="1">
        <v>14</v>
      </c>
      <c r="R2129" s="1" t="str">
        <f>"فروش داخلي - وزارت راه - حوزه راه روستايي ساخت"</f>
        <v>فروش داخلي - وزارت راه - حوزه راه روستايي ساخت</v>
      </c>
      <c r="S2129" s="1" t="str">
        <f t="shared" si="568"/>
        <v>قرارداد فروش</v>
      </c>
      <c r="T2129" s="1" t="str">
        <f t="shared" si="569"/>
        <v>ندارد</v>
      </c>
      <c r="U2129" s="1" t="str">
        <f>"اميري علي(2842011)"</f>
        <v>اميري علي(2842011)</v>
      </c>
      <c r="V2129" s="1">
        <v>951400062</v>
      </c>
      <c r="W2129" s="1">
        <v>951400062</v>
      </c>
      <c r="X2129" s="1" t="str">
        <f>"1395426707"</f>
        <v>1395426707</v>
      </c>
      <c r="Y2129" s="1" t="str">
        <f>"95/06/04"</f>
        <v>95/06/04</v>
      </c>
      <c r="Z2129" s="1" t="str">
        <f>"23739/510"</f>
        <v>23739/510</v>
      </c>
      <c r="AA2129" s="1" t="str">
        <f>"راه وروستايي -ساخت"</f>
        <v>راه وروستايي -ساخت</v>
      </c>
      <c r="AB2129" s="1" t="str">
        <f>"95/05/25"</f>
        <v>95/05/25</v>
      </c>
      <c r="AC2129" s="1" t="str">
        <f>"قم"</f>
        <v>قم</v>
      </c>
      <c r="AD2129" s="1" t="str">
        <f>"95/06/03"</f>
        <v>95/06/03</v>
      </c>
      <c r="AE2129" s="1" t="str">
        <f t="shared" si="571"/>
        <v>اختتام</v>
      </c>
      <c r="AF2129" s="1" t="str">
        <f>""</f>
        <v/>
      </c>
      <c r="AG2129" s="1" t="str">
        <f>""</f>
        <v/>
      </c>
      <c r="AH2129" s="1" t="str">
        <f>""</f>
        <v/>
      </c>
      <c r="AI2129" s="1" t="str">
        <f>""</f>
        <v/>
      </c>
      <c r="AJ2129" s="1" t="str">
        <f>""</f>
        <v/>
      </c>
      <c r="AK2129" s="1" t="str">
        <f>""</f>
        <v/>
      </c>
    </row>
    <row r="2130" spans="1:37" x14ac:dyDescent="0.2">
      <c r="A2130" s="1">
        <v>242000</v>
      </c>
      <c r="B2130" s="1">
        <v>951800060</v>
      </c>
      <c r="C2130" s="1" t="str">
        <f>"تخليه-لرستان -دورودكيلومتر12جاده دورود-بروجرد-كارخانه آسفالت راه گستراحسان بروجرد"</f>
        <v>تخليه-لرستان -دورودكيلومتر12جاده دورود-بروجرد-كارخانه آسفالت راه گستراحسان بروجرد</v>
      </c>
      <c r="D2130" s="1">
        <v>7176</v>
      </c>
      <c r="E2130" s="1">
        <v>239940</v>
      </c>
      <c r="F2130" s="1">
        <v>95</v>
      </c>
      <c r="G2130" s="1">
        <v>2060</v>
      </c>
      <c r="H2130" s="1" t="str">
        <f>"95/06/06"</f>
        <v>95/06/06</v>
      </c>
      <c r="I2130" s="1" t="str">
        <f t="shared" si="565"/>
        <v>كيلوگرم</v>
      </c>
      <c r="J2130" s="1" t="str">
        <f t="shared" si="566"/>
        <v>0000000091</v>
      </c>
      <c r="K2130" s="1" t="str">
        <f t="shared" si="567"/>
        <v>قير  PG64-22</v>
      </c>
      <c r="L2130" s="1">
        <v>100</v>
      </c>
      <c r="M2130" s="1" t="str">
        <f t="shared" si="570"/>
        <v>مخازن قير اصفهان</v>
      </c>
      <c r="N2130" s="1">
        <v>9480</v>
      </c>
      <c r="O2130" s="1">
        <v>50031655</v>
      </c>
      <c r="P2130" s="1" t="str">
        <f>"  راه گستراحسان بروجرد"</f>
        <v xml:space="preserve">  راه گستراحسان بروجرد</v>
      </c>
      <c r="Q2130" s="1">
        <v>18</v>
      </c>
      <c r="R2130" s="1" t="str">
        <f>"فروش داخلي تهران - وزارت راه - شرکت ساخت و توسعه راهها"</f>
        <v>فروش داخلي تهران - وزارت راه - شرکت ساخت و توسعه راهها</v>
      </c>
      <c r="S2130" s="1" t="str">
        <f t="shared" si="568"/>
        <v>قرارداد فروش</v>
      </c>
      <c r="T2130" s="1" t="str">
        <f t="shared" si="569"/>
        <v>ندارد</v>
      </c>
      <c r="U2130" s="1" t="str">
        <f>"ريسماني حسن(1007ج89)"</f>
        <v>ريسماني حسن(1007ج89)</v>
      </c>
      <c r="V2130" s="1">
        <v>951800060</v>
      </c>
      <c r="W2130" s="1">
        <v>951800060</v>
      </c>
      <c r="X2130" s="1" t="str">
        <f>"1395426709"</f>
        <v>1395426709</v>
      </c>
      <c r="Y2130" s="1" t="str">
        <f>"95/06/06"</f>
        <v>95/06/06</v>
      </c>
      <c r="Z2130" s="1" t="str">
        <f>"24609/510"</f>
        <v>24609/510</v>
      </c>
      <c r="AA2130" s="1" t="str">
        <f>"شركت  ساخت وتوسعه راهها"</f>
        <v>شركت  ساخت وتوسعه راهها</v>
      </c>
      <c r="AB2130" s="1" t="str">
        <f>"95/05/30"</f>
        <v>95/05/30</v>
      </c>
      <c r="AC2130" s="1" t="str">
        <f>"لرستان"</f>
        <v>لرستان</v>
      </c>
      <c r="AD2130" s="1" t="str">
        <f>"95/06/03"</f>
        <v>95/06/03</v>
      </c>
      <c r="AE2130" s="1" t="str">
        <f t="shared" si="571"/>
        <v>اختتام</v>
      </c>
      <c r="AF2130" s="1" t="str">
        <f>""</f>
        <v/>
      </c>
      <c r="AG2130" s="1" t="str">
        <f>""</f>
        <v/>
      </c>
      <c r="AH2130" s="1" t="str">
        <f>""</f>
        <v/>
      </c>
      <c r="AI2130" s="1" t="str">
        <f>""</f>
        <v/>
      </c>
      <c r="AJ2130" s="1" t="str">
        <f>""</f>
        <v/>
      </c>
      <c r="AK2130" s="1" t="str">
        <f>""</f>
        <v/>
      </c>
    </row>
    <row r="2131" spans="1:37" x14ac:dyDescent="0.2">
      <c r="A2131" s="1">
        <v>400000</v>
      </c>
      <c r="B2131" s="1">
        <v>951100078</v>
      </c>
      <c r="C2131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2131" s="1">
        <v>6250</v>
      </c>
      <c r="E2131" s="1">
        <v>400000</v>
      </c>
      <c r="F2131" s="1">
        <v>95</v>
      </c>
      <c r="G2131" s="1">
        <v>0</v>
      </c>
      <c r="H2131" s="1" t="str">
        <f>"95/04/08"</f>
        <v>95/04/08</v>
      </c>
      <c r="I2131" s="1" t="str">
        <f t="shared" si="565"/>
        <v>كيلوگرم</v>
      </c>
      <c r="J2131" s="1" t="str">
        <f t="shared" si="566"/>
        <v>0000000091</v>
      </c>
      <c r="K2131" s="1" t="str">
        <f t="shared" si="567"/>
        <v>قير  PG64-22</v>
      </c>
      <c r="L2131" s="1">
        <v>100</v>
      </c>
      <c r="M2131" s="1" t="str">
        <f t="shared" si="570"/>
        <v>مخازن قير اصفهان</v>
      </c>
      <c r="N2131" s="1">
        <v>9734</v>
      </c>
      <c r="O2131" s="1">
        <v>50031151</v>
      </c>
      <c r="P2131" s="1" t="str">
        <f>"  تيسفون راه زاگرس(زرين بام هليلان )"</f>
        <v xml:space="preserve">  تيسفون راه زاگرس(زرين بام هليلان )</v>
      </c>
      <c r="Q2131" s="1">
        <v>11</v>
      </c>
      <c r="R2131" s="1" t="str">
        <f>"فروش داخلي تهران - بورس"</f>
        <v>فروش داخلي تهران - بورس</v>
      </c>
      <c r="S2131" s="1" t="str">
        <f t="shared" si="568"/>
        <v>قرارداد فروش</v>
      </c>
      <c r="T2131" s="1" t="str">
        <f t="shared" si="569"/>
        <v>ندارد</v>
      </c>
      <c r="U2131" s="1" t="str">
        <f>"افراسيابي كيومرث(2842031)"</f>
        <v>افراسيابي كيومرث(2842031)</v>
      </c>
      <c r="V2131" s="1">
        <v>951100078</v>
      </c>
      <c r="W2131" s="1">
        <v>951100078</v>
      </c>
      <c r="X2131" s="1" t="str">
        <f>"1395411197"</f>
        <v>1395411197</v>
      </c>
      <c r="Y2131" s="1" t="str">
        <f>"95/04/06"</f>
        <v>95/04/06</v>
      </c>
      <c r="Z2131" s="1" t="str">
        <f>"95-34543"</f>
        <v>95-34543</v>
      </c>
      <c r="AA2131" s="1" t="str">
        <f>"راه سازي"</f>
        <v>راه سازي</v>
      </c>
      <c r="AB2131" s="1" t="str">
        <f>"95/04/06"</f>
        <v>95/04/06</v>
      </c>
      <c r="AC2131" s="1" t="str">
        <f>"استان كرمانشاه"</f>
        <v>استان كرمانشاه</v>
      </c>
      <c r="AD2131" s="1" t="str">
        <f>"95/04/05"</f>
        <v>95/04/05</v>
      </c>
      <c r="AE2131" s="1" t="str">
        <f>"تاييدشده"</f>
        <v>تاييدشده</v>
      </c>
      <c r="AF2131" s="1" t="str">
        <f>""</f>
        <v/>
      </c>
      <c r="AG2131" s="1" t="str">
        <f>""</f>
        <v/>
      </c>
      <c r="AH2131" s="1" t="str">
        <f>""</f>
        <v/>
      </c>
      <c r="AI2131" s="1" t="str">
        <f>""</f>
        <v/>
      </c>
      <c r="AJ2131" s="1" t="str">
        <f>""</f>
        <v/>
      </c>
      <c r="AK2131" s="1" t="str">
        <f>""</f>
        <v/>
      </c>
    </row>
    <row r="2132" spans="1:37" x14ac:dyDescent="0.2">
      <c r="A2132" s="1">
        <v>500000</v>
      </c>
      <c r="B2132" s="1">
        <v>951100086</v>
      </c>
      <c r="C2132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2132" s="1">
        <v>6250</v>
      </c>
      <c r="E2132" s="1">
        <v>495400</v>
      </c>
      <c r="F2132" s="1">
        <v>95</v>
      </c>
      <c r="G2132" s="1">
        <v>4600</v>
      </c>
      <c r="H2132" s="1" t="str">
        <f>"95/04/19"</f>
        <v>95/04/19</v>
      </c>
      <c r="I2132" s="1" t="str">
        <f t="shared" si="565"/>
        <v>كيلوگرم</v>
      </c>
      <c r="J2132" s="1" t="str">
        <f t="shared" si="566"/>
        <v>0000000091</v>
      </c>
      <c r="K2132" s="1" t="str">
        <f t="shared" si="567"/>
        <v>قير  PG64-22</v>
      </c>
      <c r="L2132" s="1">
        <v>100</v>
      </c>
      <c r="M2132" s="1" t="str">
        <f t="shared" si="570"/>
        <v>مخازن قير اصفهان</v>
      </c>
      <c r="N2132" s="1">
        <v>9734</v>
      </c>
      <c r="O2132" s="1">
        <v>50031210</v>
      </c>
      <c r="P2132" s="1" t="str">
        <f>"  تيسفون راه زاگرس(زرين بام هليلان )"</f>
        <v xml:space="preserve">  تيسفون راه زاگرس(زرين بام هليلان )</v>
      </c>
      <c r="Q2132" s="1">
        <v>11</v>
      </c>
      <c r="R2132" s="1" t="str">
        <f>"فروش داخلي تهران - بورس"</f>
        <v>فروش داخلي تهران - بورس</v>
      </c>
      <c r="S2132" s="1" t="str">
        <f t="shared" si="568"/>
        <v>قرارداد فروش</v>
      </c>
      <c r="T2132" s="1" t="str">
        <f t="shared" si="569"/>
        <v>ندارد</v>
      </c>
      <c r="U2132" s="1" t="str">
        <f>"افراسيابي كيومرث(2842031)"</f>
        <v>افراسيابي كيومرث(2842031)</v>
      </c>
      <c r="V2132" s="1">
        <v>951100086</v>
      </c>
      <c r="W2132" s="1">
        <v>951100086</v>
      </c>
      <c r="X2132" s="1" t="str">
        <f>"1395413066"</f>
        <v>1395413066</v>
      </c>
      <c r="Y2132" s="1" t="str">
        <f>"95/04/15"</f>
        <v>95/04/15</v>
      </c>
      <c r="Z2132" s="1" t="str">
        <f>"95-34585"</f>
        <v>95-34585</v>
      </c>
      <c r="AA2132" s="1" t="str">
        <f>"آسفالت سازان"</f>
        <v>آسفالت سازان</v>
      </c>
      <c r="AB2132" s="1" t="str">
        <f>"95/04/15"</f>
        <v>95/04/15</v>
      </c>
      <c r="AC2132" s="1" t="str">
        <f>"استان كرمانشاه"</f>
        <v>استان كرمانشاه</v>
      </c>
      <c r="AD2132" s="1" t="str">
        <f>"95/04/14"</f>
        <v>95/04/14</v>
      </c>
      <c r="AE2132" s="1" t="str">
        <f t="shared" ref="AE2132:AE2163" si="572">"اختتام"</f>
        <v>اختتام</v>
      </c>
      <c r="AF2132" s="1" t="str">
        <f>""</f>
        <v/>
      </c>
      <c r="AG2132" s="1" t="str">
        <f>""</f>
        <v/>
      </c>
      <c r="AH2132" s="1" t="str">
        <f>""</f>
        <v/>
      </c>
      <c r="AI2132" s="1" t="str">
        <f>""</f>
        <v/>
      </c>
      <c r="AJ2132" s="1" t="str">
        <f>""</f>
        <v/>
      </c>
      <c r="AK2132" s="1" t="str">
        <f>""</f>
        <v/>
      </c>
    </row>
    <row r="2133" spans="1:37" x14ac:dyDescent="0.2">
      <c r="A2133" s="1">
        <v>1300000</v>
      </c>
      <c r="B2133" s="1">
        <v>951900310</v>
      </c>
      <c r="C2133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2133" s="1">
        <v>9068</v>
      </c>
      <c r="E2133" s="1">
        <v>1298800</v>
      </c>
      <c r="F2133" s="1">
        <v>95</v>
      </c>
      <c r="G2133" s="1">
        <v>1200</v>
      </c>
      <c r="H2133" s="1" t="str">
        <f>"95/12/25"</f>
        <v>95/12/25</v>
      </c>
      <c r="I2133" s="1" t="str">
        <f t="shared" si="565"/>
        <v>كيلوگرم</v>
      </c>
      <c r="J2133" s="1" t="str">
        <f t="shared" si="566"/>
        <v>0000000091</v>
      </c>
      <c r="K2133" s="1" t="str">
        <f t="shared" si="567"/>
        <v>قير  PG64-22</v>
      </c>
      <c r="L2133" s="1">
        <v>100</v>
      </c>
      <c r="M2133" s="1" t="str">
        <f t="shared" si="570"/>
        <v>مخازن قير اصفهان</v>
      </c>
      <c r="N2133" s="1">
        <v>9734</v>
      </c>
      <c r="O2133" s="1">
        <v>50034227</v>
      </c>
      <c r="P2133" s="1" t="str">
        <f>"  تيسفون راه زاگرس(زرين بام هليلان )"</f>
        <v xml:space="preserve">  تيسفون راه زاگرس(زرين بام هليلان )</v>
      </c>
      <c r="Q2133" s="1">
        <v>19</v>
      </c>
      <c r="R21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33" s="1" t="str">
        <f t="shared" si="568"/>
        <v>قرارداد فروش</v>
      </c>
      <c r="T2133" s="1" t="str">
        <f t="shared" si="569"/>
        <v>ندارد</v>
      </c>
      <c r="U2133" s="1" t="str">
        <f>"قره باغي مجيد(1871065)"</f>
        <v>قره باغي مجيد(1871065)</v>
      </c>
      <c r="V2133" s="1">
        <v>951900310</v>
      </c>
      <c r="W2133" s="1">
        <v>951900310</v>
      </c>
      <c r="X2133" s="1" t="str">
        <f>"1395470941"</f>
        <v>1395470941</v>
      </c>
      <c r="Y2133" s="1" t="str">
        <f>"95/12/25"</f>
        <v>95/12/25</v>
      </c>
      <c r="Z2133" s="1" t="str">
        <f>"65971/710"</f>
        <v>65971/710</v>
      </c>
      <c r="AA2133" s="1" t="str">
        <f>"سازمان راهداري وحمل نقل جاده اي"</f>
        <v>سازمان راهداري وحمل نقل جاده اي</v>
      </c>
      <c r="AB2133" s="1" t="str">
        <f>"95/12/22"</f>
        <v>95/12/22</v>
      </c>
      <c r="AC2133" s="1" t="str">
        <f>"استان كرمانشاه"</f>
        <v>استان كرمانشاه</v>
      </c>
      <c r="AD2133" s="1" t="str">
        <f>"95/12/24"</f>
        <v>95/12/24</v>
      </c>
      <c r="AE2133" s="1" t="str">
        <f t="shared" si="572"/>
        <v>اختتام</v>
      </c>
      <c r="AF2133" s="1" t="str">
        <f>""</f>
        <v/>
      </c>
      <c r="AG2133" s="1" t="str">
        <f>""</f>
        <v/>
      </c>
      <c r="AH2133" s="1" t="str">
        <f>""</f>
        <v/>
      </c>
      <c r="AI2133" s="1" t="str">
        <f>""</f>
        <v/>
      </c>
      <c r="AJ2133" s="1" t="str">
        <f>""</f>
        <v/>
      </c>
      <c r="AK2133" s="1" t="str">
        <f>""</f>
        <v/>
      </c>
    </row>
    <row r="2134" spans="1:37" x14ac:dyDescent="0.2">
      <c r="A2134" s="1">
        <v>45320</v>
      </c>
      <c r="B2134" s="1">
        <v>951600041</v>
      </c>
      <c r="C2134" s="1" t="str">
        <f>"تخليه -خراسان جنوبي محورديهوك راورقبل ازدوراهي نايبندان روبه روي يخسازي"</f>
        <v>تخليه -خراسان جنوبي محورديهوك راورقبل ازدوراهي نايبندان روبه روي يخسازي</v>
      </c>
      <c r="D2134" s="1">
        <v>8323</v>
      </c>
      <c r="E2134" s="1">
        <v>44960</v>
      </c>
      <c r="F2134" s="1">
        <v>95</v>
      </c>
      <c r="G2134" s="1">
        <v>360</v>
      </c>
      <c r="H2134" s="1" t="str">
        <f>"95/08/08"</f>
        <v>95/08/08</v>
      </c>
      <c r="I2134" s="1" t="str">
        <f t="shared" si="565"/>
        <v>كيلوگرم</v>
      </c>
      <c r="J2134" s="1" t="str">
        <f t="shared" si="566"/>
        <v>0000000091</v>
      </c>
      <c r="K2134" s="1" t="str">
        <f t="shared" si="567"/>
        <v>قير  PG64-22</v>
      </c>
      <c r="L2134" s="1">
        <v>100</v>
      </c>
      <c r="M2134" s="1" t="str">
        <f t="shared" si="570"/>
        <v>مخازن قير اصفهان</v>
      </c>
      <c r="N2134" s="1">
        <v>10098</v>
      </c>
      <c r="O2134" s="1">
        <v>50032355</v>
      </c>
      <c r="P2134" s="1" t="str">
        <f>"  راه سازي کرمان فرا راه"</f>
        <v xml:space="preserve">  راه سازي کرمان فرا راه</v>
      </c>
      <c r="Q2134" s="1">
        <v>16</v>
      </c>
      <c r="R2134" s="1" t="str">
        <f>"فروش داخلي تهران - وزارت راه - معاونت اقتصاد"</f>
        <v>فروش داخلي تهران - وزارت راه - معاونت اقتصاد</v>
      </c>
      <c r="S2134" s="1" t="str">
        <f t="shared" si="568"/>
        <v>قرارداد فروش</v>
      </c>
      <c r="T2134" s="1" t="str">
        <f t="shared" si="569"/>
        <v>ندارد</v>
      </c>
      <c r="U2134" s="1" t="str">
        <f>"قانعي محمدرضا(1011ج89)"</f>
        <v>قانعي محمدرضا(1011ج89)</v>
      </c>
      <c r="V2134" s="1">
        <v>951600041</v>
      </c>
      <c r="W2134" s="1">
        <v>951600041</v>
      </c>
      <c r="X2134" s="1" t="str">
        <f>"1395429259"</f>
        <v>1395429259</v>
      </c>
      <c r="Y2134" s="1" t="str">
        <f>"95/08/08"</f>
        <v>95/08/08</v>
      </c>
      <c r="Z2134" s="1" t="str">
        <f>"27771/510"</f>
        <v>27771/510</v>
      </c>
      <c r="AA2134" s="1" t="str">
        <f>"معاونت اقتصادوزارت راه وشهرسازي"</f>
        <v>معاونت اقتصادوزارت راه وشهرسازي</v>
      </c>
      <c r="AB2134" s="1" t="str">
        <f>"95/06/13"</f>
        <v>95/06/13</v>
      </c>
      <c r="AC2134" s="1" t="str">
        <f>"خراسان جنوبي"</f>
        <v>خراسان جنوبي</v>
      </c>
      <c r="AD2134" s="1" t="str">
        <f>"95/06/16"</f>
        <v>95/06/16</v>
      </c>
      <c r="AE2134" s="1" t="str">
        <f t="shared" si="572"/>
        <v>اختتام</v>
      </c>
      <c r="AF2134" s="1" t="str">
        <f>""</f>
        <v/>
      </c>
      <c r="AG2134" s="1" t="str">
        <f>""</f>
        <v/>
      </c>
      <c r="AH2134" s="1" t="str">
        <f>""</f>
        <v/>
      </c>
      <c r="AI2134" s="1" t="str">
        <f>""</f>
        <v/>
      </c>
      <c r="AJ2134" s="1" t="str">
        <f>""</f>
        <v/>
      </c>
      <c r="AK2134" s="1" t="str">
        <f>""</f>
        <v/>
      </c>
    </row>
    <row r="2135" spans="1:37" x14ac:dyDescent="0.2">
      <c r="A2135" s="1">
        <v>1000000</v>
      </c>
      <c r="B2135" s="1">
        <v>951600051</v>
      </c>
      <c r="C2135" s="1" t="str">
        <f>"تخليه ايلام مخازن قيرشركت سي يول ارگ"</f>
        <v>تخليه ايلام مخازن قيرشركت سي يول ارگ</v>
      </c>
      <c r="D2135" s="1">
        <v>8323</v>
      </c>
      <c r="E2135" s="1">
        <v>998460</v>
      </c>
      <c r="F2135" s="1">
        <v>95</v>
      </c>
      <c r="G2135" s="1">
        <v>1540</v>
      </c>
      <c r="H2135" s="1" t="str">
        <f>"95/08/15"</f>
        <v>95/08/15</v>
      </c>
      <c r="I2135" s="1" t="str">
        <f t="shared" si="565"/>
        <v>كيلوگرم</v>
      </c>
      <c r="J2135" s="1" t="str">
        <f t="shared" si="566"/>
        <v>0000000091</v>
      </c>
      <c r="K2135" s="1" t="str">
        <f t="shared" si="567"/>
        <v>قير  PG64-22</v>
      </c>
      <c r="L2135" s="1">
        <v>100</v>
      </c>
      <c r="M2135" s="1" t="str">
        <f t="shared" si="570"/>
        <v>مخازن قير اصفهان</v>
      </c>
      <c r="N2135" s="1">
        <v>10303</v>
      </c>
      <c r="O2135" s="1">
        <v>50032549</v>
      </c>
      <c r="P2135" s="1" t="str">
        <f>"  سي يول ارگ"</f>
        <v xml:space="preserve">  سي يول ارگ</v>
      </c>
      <c r="Q2135" s="1">
        <v>16</v>
      </c>
      <c r="R2135" s="1" t="str">
        <f>"فروش داخلي تهران - وزارت راه - معاونت اقتصاد"</f>
        <v>فروش داخلي تهران - وزارت راه - معاونت اقتصاد</v>
      </c>
      <c r="S2135" s="1" t="str">
        <f t="shared" si="568"/>
        <v>قرارداد فروش</v>
      </c>
      <c r="T2135" s="1" t="str">
        <f t="shared" si="569"/>
        <v>ندارد</v>
      </c>
      <c r="U2135" s="1" t="str">
        <f>"عظيمي محمد(2842015)"</f>
        <v>عظيمي محمد(2842015)</v>
      </c>
      <c r="V2135" s="1">
        <v>951600051</v>
      </c>
      <c r="W2135" s="1">
        <v>951600051</v>
      </c>
      <c r="X2135" s="1" t="str">
        <f>"1395443211"</f>
        <v>1395443211</v>
      </c>
      <c r="Y2135" s="1" t="str">
        <f>"95/08/15"</f>
        <v>95/08/15</v>
      </c>
      <c r="Z2135" s="1" t="str">
        <f>"39218/710"</f>
        <v>39218/710</v>
      </c>
      <c r="AA2135" s="1" t="str">
        <f>"معاونت اقتصادوزارت راه وشهرسازي"</f>
        <v>معاونت اقتصادوزارت راه وشهرسازي</v>
      </c>
      <c r="AB2135" s="1" t="str">
        <f>"95/08/12"</f>
        <v>95/08/12</v>
      </c>
      <c r="AC2135" s="1" t="str">
        <f>"استان ايلام"</f>
        <v>استان ايلام</v>
      </c>
      <c r="AD2135" s="1" t="str">
        <f>"95/08/15"</f>
        <v>95/08/15</v>
      </c>
      <c r="AE2135" s="1" t="str">
        <f t="shared" si="572"/>
        <v>اختتام</v>
      </c>
      <c r="AF2135" s="1" t="str">
        <f>""</f>
        <v/>
      </c>
      <c r="AG2135" s="1" t="str">
        <f>""</f>
        <v/>
      </c>
      <c r="AH2135" s="1" t="str">
        <f>""</f>
        <v/>
      </c>
      <c r="AI2135" s="1" t="str">
        <f>""</f>
        <v/>
      </c>
      <c r="AJ2135" s="1" t="str">
        <f>""</f>
        <v/>
      </c>
      <c r="AK2135" s="1" t="str">
        <f>""</f>
        <v/>
      </c>
    </row>
    <row r="2136" spans="1:37" x14ac:dyDescent="0.2">
      <c r="A2136" s="1">
        <v>1000000</v>
      </c>
      <c r="B2136" s="1">
        <v>951800002</v>
      </c>
      <c r="C2136" s="1" t="str">
        <f>"تخليه -گرمساركيلومتر115آزادراه حرم تاحرم-شركت زرين سپاهان"</f>
        <v>تخليه -گرمساركيلومتر115آزادراه حرم تاحرم-شركت زرين سپاهان</v>
      </c>
      <c r="D2136" s="1">
        <v>5650</v>
      </c>
      <c r="E2136" s="1">
        <v>1000000</v>
      </c>
      <c r="F2136" s="1">
        <v>95</v>
      </c>
      <c r="G2136" s="1">
        <v>0</v>
      </c>
      <c r="H2136" s="1" t="str">
        <f>"95/02/13"</f>
        <v>95/02/13</v>
      </c>
      <c r="I2136" s="1" t="str">
        <f t="shared" si="565"/>
        <v>كيلوگرم</v>
      </c>
      <c r="J2136" s="1" t="str">
        <f t="shared" si="566"/>
        <v>0000000091</v>
      </c>
      <c r="K2136" s="1" t="str">
        <f t="shared" si="567"/>
        <v>قير  PG64-22</v>
      </c>
      <c r="L2136" s="1">
        <v>100</v>
      </c>
      <c r="M2136" s="1" t="str">
        <f t="shared" si="570"/>
        <v>مخازن قير اصفهان</v>
      </c>
      <c r="N2136" s="1">
        <v>10333</v>
      </c>
      <c r="O2136" s="1">
        <v>50030703</v>
      </c>
      <c r="P2136" s="1" t="str">
        <f>"  قرارگاه سازندگي خاتم الانبياء-قرب کربلا"</f>
        <v xml:space="preserve">  قرارگاه سازندگي خاتم الانبياء-قرب کربلا</v>
      </c>
      <c r="Q2136" s="1">
        <v>18</v>
      </c>
      <c r="R2136" s="1" t="str">
        <f>"فروش داخلي تهران - وزارت راه - شرکت ساخت و توسعه راهها"</f>
        <v>فروش داخلي تهران - وزارت راه - شرکت ساخت و توسعه راهها</v>
      </c>
      <c r="S2136" s="1" t="str">
        <f t="shared" si="568"/>
        <v>قرارداد فروش</v>
      </c>
      <c r="T2136" s="1" t="str">
        <f t="shared" si="569"/>
        <v>ندارد</v>
      </c>
      <c r="U2136" s="1" t="str">
        <f>"دهقانيان بهرام(4844012)"</f>
        <v>دهقانيان بهرام(4844012)</v>
      </c>
      <c r="V2136" s="1">
        <v>951800002</v>
      </c>
      <c r="W2136" s="1">
        <v>951800002</v>
      </c>
      <c r="X2136" s="1" t="str">
        <f>"1395401780"</f>
        <v>1395401780</v>
      </c>
      <c r="Y2136" s="1" t="str">
        <f>"95/02/13"</f>
        <v>95/02/13</v>
      </c>
      <c r="Z2136" s="1" t="str">
        <f>"66547/510"</f>
        <v>66547/510</v>
      </c>
      <c r="AA2136" s="1" t="str">
        <f>"شركت  ساخت وتوسعه راهها"</f>
        <v>شركت  ساخت وتوسعه راهها</v>
      </c>
      <c r="AB2136" s="1" t="str">
        <f>"94/12/03"</f>
        <v>94/12/03</v>
      </c>
      <c r="AC2136" s="1" t="str">
        <f>"استان تهران"</f>
        <v>استان تهران</v>
      </c>
      <c r="AD2136" s="1" t="str">
        <f>"95/02/08"</f>
        <v>95/02/08</v>
      </c>
      <c r="AE2136" s="1" t="str">
        <f t="shared" si="572"/>
        <v>اختتام</v>
      </c>
      <c r="AF2136" s="1" t="str">
        <f>""</f>
        <v/>
      </c>
      <c r="AG2136" s="1" t="str">
        <f>""</f>
        <v/>
      </c>
      <c r="AH2136" s="1" t="str">
        <f>""</f>
        <v/>
      </c>
      <c r="AI2136" s="1" t="str">
        <f>""</f>
        <v/>
      </c>
      <c r="AJ2136" s="1" t="str">
        <f>""</f>
        <v/>
      </c>
      <c r="AK2136" s="1" t="str">
        <f>""</f>
        <v/>
      </c>
    </row>
    <row r="2137" spans="1:37" x14ac:dyDescent="0.2">
      <c r="A2137" s="1">
        <v>245000</v>
      </c>
      <c r="B2137" s="1">
        <v>951700299</v>
      </c>
      <c r="C2137" s="1" t="str">
        <f>"تخليه كهگيلويه وبويراحمدشهرستان لنده كارخانه آسفالت شهرداري لنده"</f>
        <v>تخليه كهگيلويه وبويراحمدشهرستان لنده كارخانه آسفالت شهرداري لنده</v>
      </c>
      <c r="D2137" s="1">
        <v>9061</v>
      </c>
      <c r="E2137" s="1">
        <v>218800</v>
      </c>
      <c r="F2137" s="1">
        <v>95</v>
      </c>
      <c r="G2137" s="1">
        <v>26200</v>
      </c>
      <c r="H2137" s="1" t="str">
        <f>"95/10/18"</f>
        <v>95/10/18</v>
      </c>
      <c r="I2137" s="1" t="str">
        <f t="shared" si="565"/>
        <v>كيلوگرم</v>
      </c>
      <c r="J2137" s="1" t="str">
        <f t="shared" si="566"/>
        <v>0000000091</v>
      </c>
      <c r="K2137" s="1" t="str">
        <f t="shared" si="567"/>
        <v>قير  PG64-22</v>
      </c>
      <c r="L2137" s="1">
        <v>100</v>
      </c>
      <c r="M2137" s="1" t="str">
        <f t="shared" si="570"/>
        <v>مخازن قير اصفهان</v>
      </c>
      <c r="N2137" s="1">
        <v>10343</v>
      </c>
      <c r="O2137" s="1">
        <v>50033319</v>
      </c>
      <c r="P2137" s="1" t="str">
        <f>"  اداره كل راه وشهرسازي كهگيلويه وبويراحمد"</f>
        <v xml:space="preserve">  اداره كل راه وشهرسازي كهگيلويه وبويراحمد</v>
      </c>
      <c r="Q2137" s="1">
        <v>17</v>
      </c>
      <c r="R2137" s="1" t="str">
        <f>"فروش داخلي تهران - وزارت راه - راه روستايي - روکش"</f>
        <v>فروش داخلي تهران - وزارت راه - راه روستايي - روکش</v>
      </c>
      <c r="S2137" s="1" t="str">
        <f t="shared" si="568"/>
        <v>قرارداد فروش</v>
      </c>
      <c r="T2137" s="1" t="str">
        <f t="shared" si="569"/>
        <v>ندارد</v>
      </c>
      <c r="U2137" s="1" t="str">
        <f>"دشت بشي پودنگ وبرادران رضا(4844014)"</f>
        <v>دشت بشي پودنگ وبرادران رضا(4844014)</v>
      </c>
      <c r="V2137" s="1">
        <v>951700299</v>
      </c>
      <c r="W2137" s="1">
        <v>951700299</v>
      </c>
      <c r="X2137" s="1" t="str">
        <f>"1395457461"</f>
        <v>1395457461</v>
      </c>
      <c r="Y2137" s="1" t="str">
        <f>"95/10/18"</f>
        <v>95/10/18</v>
      </c>
      <c r="Z2137" s="1" t="str">
        <f>"50884/710"</f>
        <v>50884/710</v>
      </c>
      <c r="AA2137" s="1" t="str">
        <f>"راه روستائي -روكش"</f>
        <v>راه روستائي -روكش</v>
      </c>
      <c r="AB2137" s="1" t="str">
        <f>"95/10/15"</f>
        <v>95/10/15</v>
      </c>
      <c r="AC2137" s="1" t="str">
        <f>"كهكيلويه و بوير احمد"</f>
        <v>كهكيلويه و بوير احمد</v>
      </c>
      <c r="AD2137" s="1" t="str">
        <f>"95/10/18"</f>
        <v>95/10/18</v>
      </c>
      <c r="AE2137" s="1" t="str">
        <f t="shared" si="572"/>
        <v>اختتام</v>
      </c>
      <c r="AF2137" s="1" t="str">
        <f>""</f>
        <v/>
      </c>
      <c r="AG2137" s="1" t="str">
        <f>""</f>
        <v/>
      </c>
      <c r="AH2137" s="1" t="str">
        <f>""</f>
        <v/>
      </c>
      <c r="AI2137" s="1" t="str">
        <f>""</f>
        <v/>
      </c>
      <c r="AJ2137" s="1" t="str">
        <f>""</f>
        <v/>
      </c>
      <c r="AK2137" s="1" t="str">
        <f>""</f>
        <v/>
      </c>
    </row>
    <row r="2138" spans="1:37" x14ac:dyDescent="0.2">
      <c r="A2138" s="1">
        <v>500000</v>
      </c>
      <c r="B2138" s="1">
        <v>951600075</v>
      </c>
      <c r="C2138" s="1" t="str">
        <f>"تخليه خراسان جنوبي احداث محوردرح ماهيرودواريانت واحداث پل ماهيرودكارخانه فرازآب بيرجند"</f>
        <v>تخليه خراسان جنوبي احداث محوردرح ماهيرودواريانت واحداث پل ماهيرودكارخانه فرازآب بيرجند</v>
      </c>
      <c r="D2138" s="1">
        <v>9061</v>
      </c>
      <c r="E2138" s="1">
        <v>450940</v>
      </c>
      <c r="F2138" s="1">
        <v>95</v>
      </c>
      <c r="G2138" s="1">
        <v>49060</v>
      </c>
      <c r="H2138" s="1" t="str">
        <f>"95/10/20"</f>
        <v>95/10/20</v>
      </c>
      <c r="I2138" s="1" t="str">
        <f t="shared" si="565"/>
        <v>كيلوگرم</v>
      </c>
      <c r="J2138" s="1" t="str">
        <f t="shared" si="566"/>
        <v>0000000091</v>
      </c>
      <c r="K2138" s="1" t="str">
        <f t="shared" si="567"/>
        <v>قير  PG64-22</v>
      </c>
      <c r="L2138" s="1">
        <v>100</v>
      </c>
      <c r="M2138" s="1" t="str">
        <f t="shared" si="570"/>
        <v>مخازن قير اصفهان</v>
      </c>
      <c r="N2138" s="1">
        <v>10531</v>
      </c>
      <c r="O2138" s="1">
        <v>50033333</v>
      </c>
      <c r="P2138" s="1" t="str">
        <f>"  اساس سازه شرق بيرجند"</f>
        <v xml:space="preserve">  اساس سازه شرق بيرجند</v>
      </c>
      <c r="Q2138" s="1">
        <v>16</v>
      </c>
      <c r="R2138" s="1" t="str">
        <f>"فروش داخلي تهران - وزارت راه - معاونت اقتصاد"</f>
        <v>فروش داخلي تهران - وزارت راه - معاونت اقتصاد</v>
      </c>
      <c r="S2138" s="1" t="str">
        <f t="shared" si="568"/>
        <v>قرارداد فروش</v>
      </c>
      <c r="T2138" s="1" t="str">
        <f t="shared" si="569"/>
        <v>ندارد</v>
      </c>
      <c r="U2138" s="1" t="str">
        <f>"عزيزي صفر(1006ج 89)"</f>
        <v>عزيزي صفر(1006ج 89)</v>
      </c>
      <c r="V2138" s="1">
        <v>951600075</v>
      </c>
      <c r="W2138" s="1">
        <v>951600075</v>
      </c>
      <c r="X2138" s="1" t="str">
        <f>"1395457634"</f>
        <v>1395457634</v>
      </c>
      <c r="Y2138" s="1" t="str">
        <f>"95/10/20"</f>
        <v>95/10/20</v>
      </c>
      <c r="Z2138" s="1" t="str">
        <f>"50881/710"</f>
        <v>50881/710</v>
      </c>
      <c r="AA2138" s="1" t="str">
        <f>"معاونت اقتصادوزارت راه وشهرسازي"</f>
        <v>معاونت اقتصادوزارت راه وشهرسازي</v>
      </c>
      <c r="AB2138" s="1" t="str">
        <f>"95/10/15"</f>
        <v>95/10/15</v>
      </c>
      <c r="AC2138" s="1" t="str">
        <f>"خراسان جنوبي"</f>
        <v>خراسان جنوبي</v>
      </c>
      <c r="AD2138" s="1" t="str">
        <f>"95/10/19"</f>
        <v>95/10/19</v>
      </c>
      <c r="AE2138" s="1" t="str">
        <f t="shared" si="572"/>
        <v>اختتام</v>
      </c>
      <c r="AF2138" s="1" t="str">
        <f>""</f>
        <v/>
      </c>
      <c r="AG2138" s="1" t="str">
        <f>""</f>
        <v/>
      </c>
      <c r="AH2138" s="1" t="str">
        <f>""</f>
        <v/>
      </c>
      <c r="AI2138" s="1" t="str">
        <f>""</f>
        <v/>
      </c>
      <c r="AJ2138" s="1" t="str">
        <f>""</f>
        <v/>
      </c>
      <c r="AK2138" s="1" t="str">
        <f>""</f>
        <v/>
      </c>
    </row>
    <row r="2139" spans="1:37" x14ac:dyDescent="0.2">
      <c r="A2139" s="1">
        <v>200000</v>
      </c>
      <c r="B2139" s="1">
        <v>951900149</v>
      </c>
      <c r="C2139" s="1" t="str">
        <f>"تخليه - خراسان رضوي - بجستان-کيلومتر 5 جاده فردوس کارخانه شرق گستر"</f>
        <v>تخليه - خراسان رضوي - بجستان-کيلومتر 5 جاده فردوس کارخانه شرق گستر</v>
      </c>
      <c r="D2139" s="1">
        <v>7176</v>
      </c>
      <c r="E2139" s="1">
        <v>199100</v>
      </c>
      <c r="F2139" s="1">
        <v>95</v>
      </c>
      <c r="G2139" s="1">
        <v>900</v>
      </c>
      <c r="H2139" s="1" t="str">
        <f>"95/06/23"</f>
        <v>95/06/23</v>
      </c>
      <c r="I2139" s="1" t="str">
        <f t="shared" si="565"/>
        <v>كيلوگرم</v>
      </c>
      <c r="J2139" s="1" t="str">
        <f t="shared" si="566"/>
        <v>0000000091</v>
      </c>
      <c r="K2139" s="1" t="str">
        <f t="shared" si="567"/>
        <v>قير  PG64-22</v>
      </c>
      <c r="L2139" s="1">
        <v>100</v>
      </c>
      <c r="M2139" s="1" t="str">
        <f t="shared" si="570"/>
        <v>مخازن قير اصفهان</v>
      </c>
      <c r="N2139" s="1">
        <v>10964</v>
      </c>
      <c r="O2139" s="1">
        <v>50031855</v>
      </c>
      <c r="P2139" s="1" t="str">
        <f>"  ساختماني ماژان راه بيهق"</f>
        <v xml:space="preserve">  ساختماني ماژان راه بيهق</v>
      </c>
      <c r="Q2139" s="1">
        <v>19</v>
      </c>
      <c r="R213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39" s="1" t="str">
        <f t="shared" si="568"/>
        <v>قرارداد فروش</v>
      </c>
      <c r="T2139" s="1" t="str">
        <f t="shared" si="569"/>
        <v>ندارد</v>
      </c>
      <c r="U2139" s="1" t="str">
        <f>"معماريان سعيد(1004ج89)"</f>
        <v>معماريان سعيد(1004ج89)</v>
      </c>
      <c r="V2139" s="1">
        <v>951900149</v>
      </c>
      <c r="W2139" s="1">
        <v>951900149</v>
      </c>
      <c r="X2139" s="1" t="str">
        <f>"1395430747"</f>
        <v>1395430747</v>
      </c>
      <c r="Y2139" s="1" t="str">
        <f>"95/06/23"</f>
        <v>95/06/23</v>
      </c>
      <c r="Z2139" s="1" t="str">
        <f>"28785/510"</f>
        <v>28785/510</v>
      </c>
      <c r="AA2139" s="1" t="str">
        <f>"سازمان راهداري وحمل نقل جاده اي"</f>
        <v>سازمان راهداري وحمل نقل جاده اي</v>
      </c>
      <c r="AB2139" s="1" t="str">
        <f>"95/06/16"</f>
        <v>95/06/16</v>
      </c>
      <c r="AC2139" s="1" t="str">
        <f>"خراسان رضوي"</f>
        <v>خراسان رضوي</v>
      </c>
      <c r="AD2139" s="1" t="str">
        <f>"95/06/21"</f>
        <v>95/06/21</v>
      </c>
      <c r="AE2139" s="1" t="str">
        <f t="shared" si="572"/>
        <v>اختتام</v>
      </c>
      <c r="AF2139" s="1" t="str">
        <f>""</f>
        <v/>
      </c>
      <c r="AG2139" s="1" t="str">
        <f>""</f>
        <v/>
      </c>
      <c r="AH2139" s="1" t="str">
        <f>""</f>
        <v/>
      </c>
      <c r="AI2139" s="1" t="str">
        <f>""</f>
        <v/>
      </c>
      <c r="AJ2139" s="1" t="str">
        <f>""</f>
        <v/>
      </c>
      <c r="AK2139" s="1" t="str">
        <f>""</f>
        <v/>
      </c>
    </row>
    <row r="2140" spans="1:37" x14ac:dyDescent="0.2">
      <c r="A2140" s="1">
        <v>60000</v>
      </c>
      <c r="B2140" s="1">
        <v>951400051</v>
      </c>
      <c r="C2140" s="1" t="str">
        <f>"تخليه -کرمانشاه- دينور- کارخانه آسفالت دره سبز برناج"</f>
        <v>تخليه -کرمانشاه- دينور- کارخانه آسفالت دره سبز برناج</v>
      </c>
      <c r="D2140" s="1">
        <v>6726</v>
      </c>
      <c r="E2140" s="1">
        <v>60000</v>
      </c>
      <c r="F2140" s="1">
        <v>95</v>
      </c>
      <c r="G2140" s="1">
        <v>0</v>
      </c>
      <c r="H2140" s="1" t="str">
        <f>"95/05/12"</f>
        <v>95/05/12</v>
      </c>
      <c r="I2140" s="1" t="str">
        <f t="shared" si="565"/>
        <v>كيلوگرم</v>
      </c>
      <c r="J2140" s="1" t="str">
        <f t="shared" si="566"/>
        <v>0000000091</v>
      </c>
      <c r="K2140" s="1" t="str">
        <f t="shared" si="567"/>
        <v>قير  PG64-22</v>
      </c>
      <c r="L2140" s="1">
        <v>100</v>
      </c>
      <c r="M2140" s="1" t="str">
        <f t="shared" si="570"/>
        <v>مخازن قير اصفهان</v>
      </c>
      <c r="N2140" s="1">
        <v>11033</v>
      </c>
      <c r="O2140" s="1">
        <v>50031406</v>
      </c>
      <c r="P2140" s="1" t="str">
        <f>"  مرمت گران راه گستر"</f>
        <v xml:space="preserve">  مرمت گران راه گستر</v>
      </c>
      <c r="Q2140" s="1">
        <v>14</v>
      </c>
      <c r="R2140" s="1" t="str">
        <f>"فروش داخلي - وزارت راه - حوزه راه روستايي ساخت"</f>
        <v>فروش داخلي - وزارت راه - حوزه راه روستايي ساخت</v>
      </c>
      <c r="S2140" s="1" t="str">
        <f t="shared" si="568"/>
        <v>قرارداد فروش</v>
      </c>
      <c r="T2140" s="1" t="str">
        <f t="shared" si="569"/>
        <v>ندارد</v>
      </c>
      <c r="U2140" s="1" t="str">
        <f>"حاجيلوئي علي اصغر(2842019)"</f>
        <v>حاجيلوئي علي اصغر(2842019)</v>
      </c>
      <c r="V2140" s="1">
        <v>951400051</v>
      </c>
      <c r="W2140" s="1">
        <v>951400051</v>
      </c>
      <c r="X2140" s="1" t="str">
        <f>"1395419834"</f>
        <v>1395419834</v>
      </c>
      <c r="Y2140" s="1" t="str">
        <f>"95/05/12"</f>
        <v>95/05/12</v>
      </c>
      <c r="Z2140" s="1" t="str">
        <f>"17853/510"</f>
        <v>17853/510</v>
      </c>
      <c r="AA2140" s="1" t="str">
        <f>"راه وروستايي -ساخت"</f>
        <v>راه وروستايي -ساخت</v>
      </c>
      <c r="AB2140" s="1" t="str">
        <f>"95/04/26"</f>
        <v>95/04/26</v>
      </c>
      <c r="AC2140" s="1" t="str">
        <f>"استان كرمانشاه"</f>
        <v>استان كرمانشاه</v>
      </c>
      <c r="AD2140" s="1" t="str">
        <f>"95/05/11"</f>
        <v>95/05/11</v>
      </c>
      <c r="AE2140" s="1" t="str">
        <f t="shared" si="572"/>
        <v>اختتام</v>
      </c>
      <c r="AF2140" s="1" t="str">
        <f>""</f>
        <v/>
      </c>
      <c r="AG2140" s="1" t="str">
        <f>""</f>
        <v/>
      </c>
      <c r="AH2140" s="1" t="str">
        <f>""</f>
        <v/>
      </c>
      <c r="AI2140" s="1" t="str">
        <f>""</f>
        <v/>
      </c>
      <c r="AJ2140" s="1" t="str">
        <f>""</f>
        <v/>
      </c>
      <c r="AK2140" s="1" t="str">
        <f>""</f>
        <v/>
      </c>
    </row>
    <row r="2141" spans="1:37" x14ac:dyDescent="0.2">
      <c r="A2141" s="1">
        <v>600000</v>
      </c>
      <c r="B2141" s="1">
        <v>951900144</v>
      </c>
      <c r="C2141" s="1" t="str">
        <f>"تخليه -كهگيلويه وبويراحمد-گچساران -كارخانه آسفالت بيد زرد مهنائي"</f>
        <v>تخليه -كهگيلويه وبويراحمد-گچساران -كارخانه آسفالت بيد زرد مهنائي</v>
      </c>
      <c r="D2141" s="1">
        <v>7176</v>
      </c>
      <c r="E2141" s="1">
        <v>585440</v>
      </c>
      <c r="F2141" s="1">
        <v>95</v>
      </c>
      <c r="G2141" s="1">
        <v>14560</v>
      </c>
      <c r="H2141" s="1" t="str">
        <f>"95/06/14"</f>
        <v>95/06/14</v>
      </c>
      <c r="I2141" s="1" t="str">
        <f t="shared" si="565"/>
        <v>كيلوگرم</v>
      </c>
      <c r="J2141" s="1" t="str">
        <f t="shared" si="566"/>
        <v>0000000091</v>
      </c>
      <c r="K2141" s="1" t="str">
        <f t="shared" si="567"/>
        <v>قير  PG64-22</v>
      </c>
      <c r="L2141" s="1">
        <v>100</v>
      </c>
      <c r="M2141" s="1" t="str">
        <f t="shared" si="570"/>
        <v>مخازن قير اصفهان</v>
      </c>
      <c r="N2141" s="1">
        <v>11084</v>
      </c>
      <c r="O2141" s="1">
        <v>50031771</v>
      </c>
      <c r="P2141" s="1" t="str">
        <f>"  پرهون دژآپادانا"</f>
        <v xml:space="preserve">  پرهون دژآپادانا</v>
      </c>
      <c r="Q2141" s="1">
        <v>19</v>
      </c>
      <c r="R21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41" s="1" t="str">
        <f t="shared" si="568"/>
        <v>قرارداد فروش</v>
      </c>
      <c r="T2141" s="1" t="str">
        <f t="shared" si="569"/>
        <v>ندارد</v>
      </c>
      <c r="U2141" s="1" t="str">
        <f>"غلام نجفي سيامك‌‌‌‌‌‌(1881082)"</f>
        <v>غلام نجفي سيامك‌‌‌‌‌‌(1881082)</v>
      </c>
      <c r="V2141" s="1">
        <v>951900144</v>
      </c>
      <c r="W2141" s="1">
        <v>951900144</v>
      </c>
      <c r="X2141" s="1" t="str">
        <f>"1395428837"</f>
        <v>1395428837</v>
      </c>
      <c r="Y2141" s="1" t="str">
        <f>"95/06/14"</f>
        <v>95/06/14</v>
      </c>
      <c r="Z2141" s="1" t="str">
        <f>"27124/510"</f>
        <v>27124/510</v>
      </c>
      <c r="AA2141" s="1" t="str">
        <f>"سازمان راهداري وحمل نقل جاده اي"</f>
        <v>سازمان راهداري وحمل نقل جاده اي</v>
      </c>
      <c r="AB2141" s="1" t="str">
        <f>"95/06/09"</f>
        <v>95/06/09</v>
      </c>
      <c r="AC2141" s="1" t="str">
        <f>"كهكيلويه و بوير احمد"</f>
        <v>كهكيلويه و بوير احمد</v>
      </c>
      <c r="AD2141" s="1" t="str">
        <f>"95/06/14"</f>
        <v>95/06/14</v>
      </c>
      <c r="AE2141" s="1" t="str">
        <f t="shared" si="572"/>
        <v>اختتام</v>
      </c>
      <c r="AF2141" s="1" t="str">
        <f>""</f>
        <v/>
      </c>
      <c r="AG2141" s="1" t="str">
        <f>""</f>
        <v/>
      </c>
      <c r="AH2141" s="1" t="str">
        <f>""</f>
        <v/>
      </c>
      <c r="AI2141" s="1" t="str">
        <f>""</f>
        <v/>
      </c>
      <c r="AJ2141" s="1" t="str">
        <f>""</f>
        <v/>
      </c>
      <c r="AK2141" s="1" t="str">
        <f>""</f>
        <v/>
      </c>
    </row>
    <row r="2142" spans="1:37" x14ac:dyDescent="0.2">
      <c r="A2142" s="1">
        <v>70000</v>
      </c>
      <c r="B2142" s="1">
        <v>951400014</v>
      </c>
      <c r="C2142" s="1" t="str">
        <f>"تخليه كهگيلويه وبويراحمدياسوج -سفيدار-كارخانه ولايتي"</f>
        <v>تخليه كهگيلويه وبويراحمدياسوج -سفيدار-كارخانه ولايتي</v>
      </c>
      <c r="D2142" s="1">
        <v>6050</v>
      </c>
      <c r="E2142" s="1">
        <v>69420</v>
      </c>
      <c r="F2142" s="1">
        <v>95</v>
      </c>
      <c r="G2142" s="1">
        <v>580</v>
      </c>
      <c r="H2142" s="1" t="str">
        <f>"95/03/12"</f>
        <v>95/03/12</v>
      </c>
      <c r="I2142" s="1" t="str">
        <f t="shared" si="565"/>
        <v>كيلوگرم</v>
      </c>
      <c r="J2142" s="1" t="str">
        <f t="shared" si="566"/>
        <v>0000000091</v>
      </c>
      <c r="K2142" s="1" t="str">
        <f t="shared" si="567"/>
        <v>قير  PG64-22</v>
      </c>
      <c r="L2142" s="1">
        <v>100</v>
      </c>
      <c r="M2142" s="1" t="str">
        <f t="shared" si="570"/>
        <v>مخازن قير اصفهان</v>
      </c>
      <c r="N2142" s="1">
        <v>11100</v>
      </c>
      <c r="O2142" s="1">
        <v>50030951</v>
      </c>
      <c r="P2142" s="1" t="str">
        <f>"  آسفالت راه پليمر"</f>
        <v xml:space="preserve">  آسفالت راه پليمر</v>
      </c>
      <c r="Q2142" s="1">
        <v>14</v>
      </c>
      <c r="R2142" s="1" t="str">
        <f>"فروش داخلي - وزارت راه - حوزه راه روستايي ساخت"</f>
        <v>فروش داخلي - وزارت راه - حوزه راه روستايي ساخت</v>
      </c>
      <c r="S2142" s="1" t="str">
        <f t="shared" si="568"/>
        <v>قرارداد فروش</v>
      </c>
      <c r="T2142" s="1" t="str">
        <f t="shared" si="569"/>
        <v>ندارد</v>
      </c>
      <c r="U2142" s="1" t="str">
        <f>"غلام نجفي سيامك‌‌‌‌‌‌(1881082)"</f>
        <v>غلام نجفي سيامك‌‌‌‌‌‌(1881082)</v>
      </c>
      <c r="V2142" s="1">
        <v>951400014</v>
      </c>
      <c r="W2142" s="1">
        <v>951400014</v>
      </c>
      <c r="X2142" s="1" t="str">
        <f>"1395407391"</f>
        <v>1395407391</v>
      </c>
      <c r="Y2142" s="1" t="str">
        <f>"95/03/12"</f>
        <v>95/03/12</v>
      </c>
      <c r="Z2142" s="1" t="str">
        <f>"58046/510"</f>
        <v>58046/510</v>
      </c>
      <c r="AA2142" s="1" t="str">
        <f>"راه وروستايي -ساخت"</f>
        <v>راه وروستايي -ساخت</v>
      </c>
      <c r="AB2142" s="1" t="str">
        <f>"94/10/21"</f>
        <v>94/10/21</v>
      </c>
      <c r="AC2142" s="1" t="str">
        <f>"كهكيلويه و بوير احمد"</f>
        <v>كهكيلويه و بوير احمد</v>
      </c>
      <c r="AD2142" s="1" t="str">
        <f>"95/03/12"</f>
        <v>95/03/12</v>
      </c>
      <c r="AE2142" s="1" t="str">
        <f t="shared" si="572"/>
        <v>اختتام</v>
      </c>
      <c r="AF2142" s="1" t="str">
        <f>""</f>
        <v/>
      </c>
      <c r="AG2142" s="1" t="str">
        <f>""</f>
        <v/>
      </c>
      <c r="AH2142" s="1" t="str">
        <f>""</f>
        <v/>
      </c>
      <c r="AI2142" s="1" t="str">
        <f>""</f>
        <v/>
      </c>
      <c r="AJ2142" s="1" t="str">
        <f>""</f>
        <v/>
      </c>
      <c r="AK2142" s="1" t="str">
        <f>""</f>
        <v/>
      </c>
    </row>
    <row r="2143" spans="1:37" x14ac:dyDescent="0.2">
      <c r="A2143" s="1">
        <v>67360</v>
      </c>
      <c r="B2143" s="1">
        <v>951900163</v>
      </c>
      <c r="C2143" s="1" t="str">
        <f>"تخليه يزدكمربندي يزدبعدازپادگان شهيدصدوقي شركت تعاوني موحدين آسفالت"</f>
        <v>تخليه يزدكمربندي يزدبعدازپادگان شهيدصدوقي شركت تعاوني موحدين آسفالت</v>
      </c>
      <c r="D2143" s="1">
        <v>8323</v>
      </c>
      <c r="E2143" s="1">
        <v>66740</v>
      </c>
      <c r="F2143" s="1">
        <v>95</v>
      </c>
      <c r="G2143" s="1">
        <v>620</v>
      </c>
      <c r="H2143" s="1" t="str">
        <f>"95/08/06"</f>
        <v>95/08/06</v>
      </c>
      <c r="I2143" s="1" t="str">
        <f t="shared" si="565"/>
        <v>كيلوگرم</v>
      </c>
      <c r="J2143" s="1" t="str">
        <f t="shared" si="566"/>
        <v>0000000091</v>
      </c>
      <c r="K2143" s="1" t="str">
        <f t="shared" si="567"/>
        <v>قير  PG64-22</v>
      </c>
      <c r="L2143" s="1">
        <v>100</v>
      </c>
      <c r="M2143" s="1" t="str">
        <f t="shared" si="570"/>
        <v>مخازن قير اصفهان</v>
      </c>
      <c r="N2143" s="1">
        <v>11130</v>
      </c>
      <c r="O2143" s="1">
        <v>50032293</v>
      </c>
      <c r="P2143" s="1" t="str">
        <f>"  داريون راه بنا"</f>
        <v xml:space="preserve">  داريون راه بنا</v>
      </c>
      <c r="Q2143" s="1">
        <v>19</v>
      </c>
      <c r="R21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43" s="1" t="str">
        <f t="shared" si="568"/>
        <v>قرارداد فروش</v>
      </c>
      <c r="T2143" s="1" t="str">
        <f t="shared" si="569"/>
        <v>ندارد</v>
      </c>
      <c r="U2143" s="1" t="str">
        <f>"قانعي محمدرضا(1011ج89)"</f>
        <v>قانعي محمدرضا(1011ج89)</v>
      </c>
      <c r="V2143" s="1">
        <v>951900163</v>
      </c>
      <c r="W2143" s="1">
        <v>951900163</v>
      </c>
      <c r="X2143" s="1" t="str">
        <f>"1395412283"</f>
        <v>1395412283</v>
      </c>
      <c r="Y2143" s="1" t="str">
        <f>"95/08/06"</f>
        <v>95/08/06</v>
      </c>
      <c r="Z2143" s="1" t="str">
        <f>"14114/510"</f>
        <v>14114/510</v>
      </c>
      <c r="AA2143" s="1" t="str">
        <f>"سازمان راهداري وحمل نقل جاده اي"</f>
        <v>سازمان راهداري وحمل نقل جاده اي</v>
      </c>
      <c r="AB2143" s="1" t="str">
        <f>"95/04/02"</f>
        <v>95/04/02</v>
      </c>
      <c r="AC2143" s="1" t="str">
        <f>"استان يزد"</f>
        <v>استان يزد</v>
      </c>
      <c r="AD2143" s="1" t="str">
        <f>"95/04/09"</f>
        <v>95/04/09</v>
      </c>
      <c r="AE2143" s="1" t="str">
        <f t="shared" si="572"/>
        <v>اختتام</v>
      </c>
      <c r="AF2143" s="1" t="str">
        <f>""</f>
        <v/>
      </c>
      <c r="AG2143" s="1" t="str">
        <f>""</f>
        <v/>
      </c>
      <c r="AH2143" s="1" t="str">
        <f>""</f>
        <v/>
      </c>
      <c r="AI2143" s="1" t="str">
        <f>""</f>
        <v/>
      </c>
      <c r="AJ2143" s="1" t="str">
        <f>""</f>
        <v/>
      </c>
      <c r="AK2143" s="1" t="str">
        <f>""</f>
        <v/>
      </c>
    </row>
    <row r="2144" spans="1:37" x14ac:dyDescent="0.2">
      <c r="A2144" s="1">
        <v>150000</v>
      </c>
      <c r="B2144" s="1">
        <v>951400081</v>
      </c>
      <c r="C2144" s="1" t="str">
        <f>"تخليه - کهگيلويه-چرام-کارخانه آسفالت شهرداري"</f>
        <v>تخليه - کهگيلويه-چرام-کارخانه آسفالت شهرداري</v>
      </c>
      <c r="D2144" s="1">
        <v>8323</v>
      </c>
      <c r="E2144" s="1">
        <v>149340</v>
      </c>
      <c r="F2144" s="1">
        <v>95</v>
      </c>
      <c r="G2144" s="1">
        <v>660</v>
      </c>
      <c r="H2144" s="1" t="str">
        <f>"95/08/08"</f>
        <v>95/08/08</v>
      </c>
      <c r="I2144" s="1" t="str">
        <f t="shared" si="565"/>
        <v>كيلوگرم</v>
      </c>
      <c r="J2144" s="1" t="str">
        <f t="shared" si="566"/>
        <v>0000000091</v>
      </c>
      <c r="K2144" s="1" t="str">
        <f t="shared" si="567"/>
        <v>قير  PG64-22</v>
      </c>
      <c r="L2144" s="1">
        <v>100</v>
      </c>
      <c r="M2144" s="1" t="str">
        <f t="shared" si="570"/>
        <v>مخازن قير اصفهان</v>
      </c>
      <c r="N2144" s="1">
        <v>11143</v>
      </c>
      <c r="O2144" s="1">
        <v>50032334</v>
      </c>
      <c r="P2144" s="1" t="str">
        <f>"  تعاوني 2270فراگستر جنوب"</f>
        <v xml:space="preserve">  تعاوني 2270فراگستر جنوب</v>
      </c>
      <c r="Q2144" s="1">
        <v>14</v>
      </c>
      <c r="R2144" s="1" t="str">
        <f>"فروش داخلي - وزارت راه - حوزه راه روستايي ساخت"</f>
        <v>فروش داخلي - وزارت راه - حوزه راه روستايي ساخت</v>
      </c>
      <c r="S2144" s="1" t="str">
        <f t="shared" si="568"/>
        <v>قرارداد فروش</v>
      </c>
      <c r="T2144" s="1" t="str">
        <f t="shared" si="569"/>
        <v>ندارد</v>
      </c>
      <c r="U2144" s="1" t="str">
        <f>"غلام نجفي سيامك‌‌‌‌‌‌(1881082)"</f>
        <v>غلام نجفي سيامك‌‌‌‌‌‌(1881082)</v>
      </c>
      <c r="V2144" s="1">
        <v>951400081</v>
      </c>
      <c r="W2144" s="1">
        <v>951400081</v>
      </c>
      <c r="X2144" s="1" t="str">
        <f>"1395419175"</f>
        <v>1395419175</v>
      </c>
      <c r="Y2144" s="1" t="str">
        <f>"95/08/08"</f>
        <v>95/08/08</v>
      </c>
      <c r="Z2144" s="1" t="str">
        <f>"18729/510"</f>
        <v>18729/510</v>
      </c>
      <c r="AA2144" s="1" t="str">
        <f>"شركت  ساخت وتوسعه راهها"</f>
        <v>شركت  ساخت وتوسعه راهها</v>
      </c>
      <c r="AB2144" s="1" t="str">
        <f>"95/04/29"</f>
        <v>95/04/29</v>
      </c>
      <c r="AC2144" s="1" t="str">
        <f>"كهكيلويه و بوير احمد"</f>
        <v>كهكيلويه و بوير احمد</v>
      </c>
      <c r="AD2144" s="1" t="str">
        <f>"95/05/06"</f>
        <v>95/05/06</v>
      </c>
      <c r="AE2144" s="1" t="str">
        <f t="shared" si="572"/>
        <v>اختتام</v>
      </c>
      <c r="AF2144" s="1" t="str">
        <f>""</f>
        <v/>
      </c>
      <c r="AG2144" s="1" t="str">
        <f>""</f>
        <v/>
      </c>
      <c r="AH2144" s="1" t="str">
        <f>""</f>
        <v/>
      </c>
      <c r="AI2144" s="1" t="str">
        <f>""</f>
        <v/>
      </c>
      <c r="AJ2144" s="1" t="str">
        <f>""</f>
        <v/>
      </c>
      <c r="AK2144" s="1" t="str">
        <f>""</f>
        <v/>
      </c>
    </row>
    <row r="2145" spans="1:37" x14ac:dyDescent="0.2">
      <c r="A2145" s="1">
        <v>650000</v>
      </c>
      <c r="B2145" s="1">
        <v>951900213</v>
      </c>
      <c r="C2145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2145" s="1">
        <v>7276</v>
      </c>
      <c r="E2145" s="1">
        <v>100540</v>
      </c>
      <c r="F2145" s="1">
        <v>95</v>
      </c>
      <c r="G2145" s="1">
        <v>549460</v>
      </c>
      <c r="H2145" s="1" t="str">
        <f>"95/09/07"</f>
        <v>95/09/07</v>
      </c>
      <c r="I2145" s="1" t="str">
        <f t="shared" si="565"/>
        <v>كيلوگرم</v>
      </c>
      <c r="J2145" s="1" t="str">
        <f t="shared" si="566"/>
        <v>0000000091</v>
      </c>
      <c r="K2145" s="1" t="str">
        <f t="shared" si="567"/>
        <v>قير  PG64-22</v>
      </c>
      <c r="L2145" s="1">
        <v>100</v>
      </c>
      <c r="M2145" s="1" t="str">
        <f t="shared" si="570"/>
        <v>مخازن قير اصفهان</v>
      </c>
      <c r="N2145" s="1">
        <v>11163</v>
      </c>
      <c r="O2145" s="1">
        <v>50032716</v>
      </c>
      <c r="P2145" s="1" t="str">
        <f>"  ارتقاراه توس"</f>
        <v xml:space="preserve">  ارتقاراه توس</v>
      </c>
      <c r="Q2145" s="1">
        <v>19</v>
      </c>
      <c r="R214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45" s="1" t="str">
        <f t="shared" si="568"/>
        <v>قرارداد فروش</v>
      </c>
      <c r="T2145" s="1" t="str">
        <f t="shared" si="569"/>
        <v>ندارد</v>
      </c>
      <c r="U2145" s="1" t="str">
        <f>"فتحي حميد(1901090)"</f>
        <v>فتحي حميد(1901090)</v>
      </c>
      <c r="V2145" s="1">
        <v>951900213</v>
      </c>
      <c r="W2145" s="1">
        <v>951900213</v>
      </c>
      <c r="X2145" s="1" t="str">
        <f>"1395447794"</f>
        <v>1395447794</v>
      </c>
      <c r="Y2145" s="1" t="str">
        <f>"95/09/07"</f>
        <v>95/09/07</v>
      </c>
      <c r="Z2145" s="1" t="str">
        <f>"39749/710"</f>
        <v>39749/710</v>
      </c>
      <c r="AA2145" s="1" t="str">
        <f>"سازمان راهداري وحمل نقل جاده اي"</f>
        <v>سازمان راهداري وحمل نقل جاده اي</v>
      </c>
      <c r="AB2145" s="1" t="str">
        <f>"95/08/15"</f>
        <v>95/08/15</v>
      </c>
      <c r="AC2145" s="1" t="str">
        <f>"خراسان جنوبي"</f>
        <v>خراسان جنوبي</v>
      </c>
      <c r="AD2145" s="1" t="str">
        <f>"95/09/07"</f>
        <v>95/09/07</v>
      </c>
      <c r="AE2145" s="1" t="str">
        <f t="shared" si="572"/>
        <v>اختتام</v>
      </c>
      <c r="AF2145" s="1" t="str">
        <f>""</f>
        <v/>
      </c>
      <c r="AG2145" s="1" t="str">
        <f>""</f>
        <v/>
      </c>
      <c r="AH2145" s="1" t="str">
        <f>""</f>
        <v/>
      </c>
      <c r="AI2145" s="1" t="str">
        <f>""</f>
        <v/>
      </c>
      <c r="AJ2145" s="1" t="str">
        <f>""</f>
        <v/>
      </c>
      <c r="AK2145" s="1" t="str">
        <f>""</f>
        <v/>
      </c>
    </row>
    <row r="2146" spans="1:37" x14ac:dyDescent="0.2">
      <c r="A2146" s="1">
        <v>49500</v>
      </c>
      <c r="B2146" s="1">
        <v>951900245</v>
      </c>
      <c r="C2146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2146" s="1">
        <v>9511</v>
      </c>
      <c r="E2146" s="1">
        <v>48540</v>
      </c>
      <c r="F2146" s="1">
        <v>95</v>
      </c>
      <c r="G2146" s="1">
        <v>960</v>
      </c>
      <c r="H2146" s="1" t="str">
        <f>"95/11/03"</f>
        <v>95/11/03</v>
      </c>
      <c r="I2146" s="1" t="str">
        <f t="shared" si="565"/>
        <v>كيلوگرم</v>
      </c>
      <c r="J2146" s="1" t="str">
        <f t="shared" si="566"/>
        <v>0000000091</v>
      </c>
      <c r="K2146" s="1" t="str">
        <f t="shared" si="567"/>
        <v>قير  PG64-22</v>
      </c>
      <c r="L2146" s="1">
        <v>100</v>
      </c>
      <c r="M2146" s="1" t="str">
        <f t="shared" si="570"/>
        <v>مخازن قير اصفهان</v>
      </c>
      <c r="N2146" s="1">
        <v>11163</v>
      </c>
      <c r="O2146" s="1">
        <v>50033459</v>
      </c>
      <c r="P2146" s="1" t="str">
        <f>"  ارتقاراه توس"</f>
        <v xml:space="preserve">  ارتقاراه توس</v>
      </c>
      <c r="Q2146" s="1">
        <v>19</v>
      </c>
      <c r="R214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46" s="1" t="str">
        <f t="shared" si="568"/>
        <v>قرارداد فروش</v>
      </c>
      <c r="T2146" s="1" t="str">
        <f t="shared" si="569"/>
        <v>ندارد</v>
      </c>
      <c r="U2146" s="1" t="str">
        <f>"فتحي حميد(1901090)"</f>
        <v>فتحي حميد(1901090)</v>
      </c>
      <c r="V2146" s="1">
        <v>951900245</v>
      </c>
      <c r="W2146" s="1">
        <v>951900245</v>
      </c>
      <c r="X2146" s="1" t="str">
        <f>"1395447794"</f>
        <v>1395447794</v>
      </c>
      <c r="Y2146" s="1" t="str">
        <f>"95/11/03"</f>
        <v>95/11/03</v>
      </c>
      <c r="Z2146" s="1" t="str">
        <f>"39749/710"</f>
        <v>39749/710</v>
      </c>
      <c r="AA2146" s="1" t="str">
        <f>"سازمان راهداري وحمل نقل جاده اي"</f>
        <v>سازمان راهداري وحمل نقل جاده اي</v>
      </c>
      <c r="AB2146" s="1" t="str">
        <f>"95/08/15"</f>
        <v>95/08/15</v>
      </c>
      <c r="AC2146" s="1" t="str">
        <f>"خراسان جنوبي"</f>
        <v>خراسان جنوبي</v>
      </c>
      <c r="AD2146" s="1" t="str">
        <f>"95/09/07"</f>
        <v>95/09/07</v>
      </c>
      <c r="AE2146" s="1" t="str">
        <f t="shared" si="572"/>
        <v>اختتام</v>
      </c>
      <c r="AF2146" s="1" t="str">
        <f>""</f>
        <v/>
      </c>
      <c r="AG2146" s="1" t="str">
        <f>""</f>
        <v/>
      </c>
      <c r="AH2146" s="1" t="str">
        <f>""</f>
        <v/>
      </c>
      <c r="AI2146" s="1" t="str">
        <f>""</f>
        <v/>
      </c>
      <c r="AJ2146" s="1" t="str">
        <f>""</f>
        <v/>
      </c>
      <c r="AK2146" s="1" t="str">
        <f>""</f>
        <v/>
      </c>
    </row>
    <row r="2147" spans="1:37" x14ac:dyDescent="0.2">
      <c r="A2147" s="1">
        <v>2000000</v>
      </c>
      <c r="B2147" s="1">
        <v>951800067</v>
      </c>
      <c r="C2147" s="1" t="str">
        <f>"تخليه قم كيلومتر115آزادراه حرم تاحرم قطعه قم -گرمسارشركت زرين سپاهان"</f>
        <v>تخليه قم كيلومتر115آزادراه حرم تاحرم قطعه قم -گرمسارشركت زرين سپاهان</v>
      </c>
      <c r="D2147" s="1">
        <v>7176</v>
      </c>
      <c r="E2147" s="1">
        <v>1999400</v>
      </c>
      <c r="F2147" s="1">
        <v>95</v>
      </c>
      <c r="G2147" s="1">
        <v>600</v>
      </c>
      <c r="H2147" s="1" t="str">
        <f>"95/06/14"</f>
        <v>95/06/14</v>
      </c>
      <c r="I2147" s="1" t="str">
        <f t="shared" si="565"/>
        <v>كيلوگرم</v>
      </c>
      <c r="J2147" s="1" t="str">
        <f t="shared" si="566"/>
        <v>0000000091</v>
      </c>
      <c r="K2147" s="1" t="str">
        <f t="shared" si="567"/>
        <v>قير  PG64-22</v>
      </c>
      <c r="L2147" s="1">
        <v>100</v>
      </c>
      <c r="M2147" s="1" t="str">
        <f t="shared" si="570"/>
        <v>مخازن قير اصفهان</v>
      </c>
      <c r="N2147" s="1">
        <v>11164</v>
      </c>
      <c r="O2147" s="1">
        <v>50031780</v>
      </c>
      <c r="P2147" s="1" t="str">
        <f>"  قرارگاه سازندگي خاتم الانبياء(ص )"</f>
        <v xml:space="preserve">  قرارگاه سازندگي خاتم الانبياء(ص )</v>
      </c>
      <c r="Q2147" s="1">
        <v>18</v>
      </c>
      <c r="R2147" s="1" t="str">
        <f>"فروش داخلي تهران - وزارت راه - شرکت ساخت و توسعه راهها"</f>
        <v>فروش داخلي تهران - وزارت راه - شرکت ساخت و توسعه راهها</v>
      </c>
      <c r="S2147" s="1" t="str">
        <f t="shared" si="568"/>
        <v>قرارداد فروش</v>
      </c>
      <c r="T2147" s="1" t="str">
        <f t="shared" si="569"/>
        <v>ندارد</v>
      </c>
      <c r="U2147" s="1" t="str">
        <f>"دهقانيان بهرام(4844012)"</f>
        <v>دهقانيان بهرام(4844012)</v>
      </c>
      <c r="V2147" s="1">
        <v>951800067</v>
      </c>
      <c r="W2147" s="1">
        <v>951800067</v>
      </c>
      <c r="X2147" s="1" t="str">
        <f>"1395428998"</f>
        <v>1395428998</v>
      </c>
      <c r="Y2147" s="1" t="str">
        <f>"95/06/14"</f>
        <v>95/06/14</v>
      </c>
      <c r="Z2147" s="1" t="str">
        <f>"27749/510"</f>
        <v>27749/510</v>
      </c>
      <c r="AA2147" s="1" t="str">
        <f>"شركت  ساخت وتوسعه راهها"</f>
        <v>شركت  ساخت وتوسعه راهها</v>
      </c>
      <c r="AB2147" s="1" t="str">
        <f>"95/06/13"</f>
        <v>95/06/13</v>
      </c>
      <c r="AC2147" s="1" t="str">
        <f>"قم"</f>
        <v>قم</v>
      </c>
      <c r="AD2147" s="1" t="str">
        <f>"95/06/14"</f>
        <v>95/06/14</v>
      </c>
      <c r="AE2147" s="1" t="str">
        <f t="shared" si="572"/>
        <v>اختتام</v>
      </c>
      <c r="AF2147" s="1" t="str">
        <f>""</f>
        <v/>
      </c>
      <c r="AG2147" s="1" t="str">
        <f>""</f>
        <v/>
      </c>
      <c r="AH2147" s="1" t="str">
        <f>""</f>
        <v/>
      </c>
      <c r="AI2147" s="1" t="str">
        <f>""</f>
        <v/>
      </c>
      <c r="AJ2147" s="1" t="str">
        <f>""</f>
        <v/>
      </c>
      <c r="AK2147" s="1" t="str">
        <f>""</f>
        <v/>
      </c>
    </row>
    <row r="2148" spans="1:37" x14ac:dyDescent="0.2">
      <c r="A2148" s="1">
        <v>170000</v>
      </c>
      <c r="B2148" s="1">
        <v>951700335</v>
      </c>
      <c r="C2148" s="1" t="str">
        <f>"تخليه همدان كيلومتر54جاده همدان تهران كارخانه آسفالت سراوك"</f>
        <v>تخليه همدان كيلومتر54جاده همدان تهران كارخانه آسفالت سراوك</v>
      </c>
      <c r="D2148" s="1">
        <v>8998</v>
      </c>
      <c r="E2148" s="1">
        <v>168320</v>
      </c>
      <c r="F2148" s="1">
        <v>95</v>
      </c>
      <c r="G2148" s="1">
        <v>1680</v>
      </c>
      <c r="H2148" s="1" t="str">
        <f>"95/11/06"</f>
        <v>95/11/06</v>
      </c>
      <c r="I2148" s="1" t="str">
        <f t="shared" si="565"/>
        <v>كيلوگرم</v>
      </c>
      <c r="J2148" s="1" t="str">
        <f t="shared" si="566"/>
        <v>0000000091</v>
      </c>
      <c r="K2148" s="1" t="str">
        <f t="shared" si="567"/>
        <v>قير  PG64-22</v>
      </c>
      <c r="L2148" s="1">
        <v>100</v>
      </c>
      <c r="M2148" s="1" t="str">
        <f t="shared" si="570"/>
        <v>مخازن قير اصفهان</v>
      </c>
      <c r="N2148" s="1">
        <v>11240</v>
      </c>
      <c r="O2148" s="1">
        <v>50033547</v>
      </c>
      <c r="P2148" s="1" t="str">
        <f>"  خاتم پي پيكره"</f>
        <v xml:space="preserve">  خاتم پي پيكره</v>
      </c>
      <c r="Q2148" s="1">
        <v>17</v>
      </c>
      <c r="R2148" s="1" t="str">
        <f>"فروش داخلي تهران - وزارت راه - راه روستايي - روکش"</f>
        <v>فروش داخلي تهران - وزارت راه - راه روستايي - روکش</v>
      </c>
      <c r="S2148" s="1" t="str">
        <f t="shared" si="568"/>
        <v>قرارداد فروش</v>
      </c>
      <c r="T2148" s="1" t="str">
        <f t="shared" si="569"/>
        <v>ندارد</v>
      </c>
      <c r="U2148" s="1" t="str">
        <f>"حاجيلوئي علي اصغر(2842019)"</f>
        <v>حاجيلوئي علي اصغر(2842019)</v>
      </c>
      <c r="V2148" s="1">
        <v>951700335</v>
      </c>
      <c r="W2148" s="1">
        <v>951700335</v>
      </c>
      <c r="X2148" s="1" t="str">
        <f>"1395461167"</f>
        <v>1395461167</v>
      </c>
      <c r="Y2148" s="1" t="str">
        <f>"95/11/06"</f>
        <v>95/11/06</v>
      </c>
      <c r="Z2148" s="1" t="str">
        <f>"54365/710"</f>
        <v>54365/710</v>
      </c>
      <c r="AA2148" s="1" t="str">
        <f>"راه روستائي -روكش"</f>
        <v>راه روستائي -روكش</v>
      </c>
      <c r="AB2148" s="1" t="str">
        <f>"95/11/04"</f>
        <v>95/11/04</v>
      </c>
      <c r="AC2148" s="1" t="str">
        <f>"استان همدان"</f>
        <v>استان همدان</v>
      </c>
      <c r="AD2148" s="1" t="str">
        <f>"95/11/06"</f>
        <v>95/11/06</v>
      </c>
      <c r="AE2148" s="1" t="str">
        <f t="shared" si="572"/>
        <v>اختتام</v>
      </c>
      <c r="AF2148" s="1" t="str">
        <f>""</f>
        <v/>
      </c>
      <c r="AG2148" s="1" t="str">
        <f>""</f>
        <v/>
      </c>
      <c r="AH2148" s="1" t="str">
        <f>""</f>
        <v/>
      </c>
      <c r="AI2148" s="1" t="str">
        <f>""</f>
        <v/>
      </c>
      <c r="AJ2148" s="1" t="str">
        <f>""</f>
        <v/>
      </c>
      <c r="AK2148" s="1" t="str">
        <f>""</f>
        <v/>
      </c>
    </row>
    <row r="2149" spans="1:37" x14ac:dyDescent="0.2">
      <c r="A2149" s="1">
        <v>350000</v>
      </c>
      <c r="B2149" s="1">
        <v>951900281</v>
      </c>
      <c r="C2149" s="1" t="str">
        <f>"تخليه-يزد-کارخانه آسفالت سازمان همياري شهرداريهاي استان يزد"</f>
        <v>تخليه-يزد-کارخانه آسفالت سازمان همياري شهرداريهاي استان يزد</v>
      </c>
      <c r="D2149" s="1">
        <v>8854</v>
      </c>
      <c r="E2149" s="1">
        <v>350000</v>
      </c>
      <c r="F2149" s="1">
        <v>95</v>
      </c>
      <c r="G2149" s="1">
        <v>0</v>
      </c>
      <c r="H2149" s="1" t="str">
        <f>"95/12/14"</f>
        <v>95/12/14</v>
      </c>
      <c r="I2149" s="1" t="str">
        <f t="shared" si="565"/>
        <v>كيلوگرم</v>
      </c>
      <c r="J2149" s="1" t="str">
        <f t="shared" si="566"/>
        <v>0000000091</v>
      </c>
      <c r="K2149" s="1" t="str">
        <f t="shared" si="567"/>
        <v>قير  PG64-22</v>
      </c>
      <c r="L2149" s="1">
        <v>100</v>
      </c>
      <c r="M2149" s="1" t="str">
        <f t="shared" si="570"/>
        <v>مخازن قير اصفهان</v>
      </c>
      <c r="N2149" s="1">
        <v>11270</v>
      </c>
      <c r="O2149" s="1">
        <v>50033988</v>
      </c>
      <c r="P2149" s="1" t="str">
        <f>"  اداره كل راهداري وحمل ونقل جاده اي يزد"</f>
        <v xml:space="preserve">  اداره كل راهداري وحمل ونقل جاده اي يزد</v>
      </c>
      <c r="Q2149" s="1">
        <v>19</v>
      </c>
      <c r="R21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49" s="1" t="str">
        <f t="shared" si="568"/>
        <v>قرارداد فروش</v>
      </c>
      <c r="T2149" s="1" t="str">
        <f t="shared" si="569"/>
        <v>ندارد</v>
      </c>
      <c r="U2149" s="1" t="str">
        <f>"قانعي محمدرضا(1011ج89)"</f>
        <v>قانعي محمدرضا(1011ج89)</v>
      </c>
      <c r="V2149" s="1">
        <v>951900281</v>
      </c>
      <c r="W2149" s="1">
        <v>951900281</v>
      </c>
      <c r="X2149" s="1" t="str">
        <f>"1395468781"</f>
        <v>1395468781</v>
      </c>
      <c r="Y2149" s="1" t="str">
        <f>"95/12/14"</f>
        <v>95/12/14</v>
      </c>
      <c r="Z2149" s="1" t="str">
        <f>"62400/710"</f>
        <v>62400/710</v>
      </c>
      <c r="AA2149" s="1" t="str">
        <f>"سازمان راهداري وحمل نقل جاده اي"</f>
        <v>سازمان راهداري وحمل نقل جاده اي</v>
      </c>
      <c r="AB2149" s="1" t="str">
        <f>"95/12/09"</f>
        <v>95/12/09</v>
      </c>
      <c r="AC2149" s="1" t="str">
        <f>"استان يزد"</f>
        <v>استان يزد</v>
      </c>
      <c r="AD2149" s="1" t="str">
        <f>"95/12/11"</f>
        <v>95/12/11</v>
      </c>
      <c r="AE2149" s="1" t="str">
        <f t="shared" si="572"/>
        <v>اختتام</v>
      </c>
      <c r="AF2149" s="1" t="str">
        <f>""</f>
        <v/>
      </c>
      <c r="AG2149" s="1" t="str">
        <f>""</f>
        <v/>
      </c>
      <c r="AH2149" s="1" t="str">
        <f>""</f>
        <v/>
      </c>
      <c r="AI2149" s="1" t="str">
        <f>""</f>
        <v/>
      </c>
      <c r="AJ2149" s="1" t="str">
        <f>""</f>
        <v/>
      </c>
      <c r="AK2149" s="1" t="str">
        <f>""</f>
        <v/>
      </c>
    </row>
    <row r="2150" spans="1:37" x14ac:dyDescent="0.2">
      <c r="A2150" s="1">
        <v>1354000</v>
      </c>
      <c r="B2150" s="1">
        <v>956300024</v>
      </c>
      <c r="C2150" s="1" t="str">
        <f>"تخليه يزدكيلومتر15محوريزدمهريزشركت راهسازي فرش راه يزد"</f>
        <v>تخليه يزدكيلومتر15محوريزدمهريزشركت راهسازي فرش راه يزد</v>
      </c>
      <c r="D2150" s="1">
        <v>8998</v>
      </c>
      <c r="E2150" s="1">
        <v>1352100</v>
      </c>
      <c r="F2150" s="1">
        <v>95</v>
      </c>
      <c r="G2150" s="1">
        <v>1900</v>
      </c>
      <c r="H2150" s="1" t="str">
        <f>"95/12/05"</f>
        <v>95/12/05</v>
      </c>
      <c r="I2150" s="1" t="str">
        <f t="shared" si="565"/>
        <v>كيلوگرم</v>
      </c>
      <c r="J2150" s="1" t="str">
        <f t="shared" si="566"/>
        <v>0000000091</v>
      </c>
      <c r="K2150" s="1" t="str">
        <f t="shared" si="567"/>
        <v>قير  PG64-22</v>
      </c>
      <c r="L2150" s="1">
        <v>100</v>
      </c>
      <c r="M2150" s="1" t="str">
        <f t="shared" si="570"/>
        <v>مخازن قير اصفهان</v>
      </c>
      <c r="N2150" s="1">
        <v>11275</v>
      </c>
      <c r="O2150" s="1">
        <v>50033862</v>
      </c>
      <c r="P2150" s="1" t="str">
        <f>"  اداره كل نوسازي توسعه وتجهيزمدارس يزد"</f>
        <v xml:space="preserve">  اداره كل نوسازي توسعه وتجهيزمدارس يزد</v>
      </c>
      <c r="Q2150" s="1">
        <v>63</v>
      </c>
      <c r="R2150" s="1" t="str">
        <f>"سازمان نوسازي،توسعه و تجهيز مدارس كشور"</f>
        <v>سازمان نوسازي،توسعه و تجهيز مدارس كشور</v>
      </c>
      <c r="S2150" s="1" t="str">
        <f t="shared" si="568"/>
        <v>قرارداد فروش</v>
      </c>
      <c r="T2150" s="1" t="str">
        <f t="shared" si="569"/>
        <v>ندارد</v>
      </c>
      <c r="U2150" s="1" t="str">
        <f>"قانعي محمدرضا(1011ج89)"</f>
        <v>قانعي محمدرضا(1011ج89)</v>
      </c>
      <c r="V2150" s="1">
        <v>956300024</v>
      </c>
      <c r="W2150" s="1">
        <v>956300024</v>
      </c>
      <c r="X2150" s="1" t="str">
        <f>"1395466575"</f>
        <v>1395466575</v>
      </c>
      <c r="Y2150" s="1" t="str">
        <f>"95/12/05"</f>
        <v>95/12/05</v>
      </c>
      <c r="Z2150" s="1" t="str">
        <f>"8421/1"</f>
        <v>8421/1</v>
      </c>
      <c r="AA2150" s="1" t="str">
        <f>"سازمان نوسازي توسعه وتجهيزمدارس كشور"</f>
        <v>سازمان نوسازي توسعه وتجهيزمدارس كشور</v>
      </c>
      <c r="AB2150" s="1" t="str">
        <f>"95/11/11"</f>
        <v>95/11/11</v>
      </c>
      <c r="AC2150" s="1" t="str">
        <f>"استان يزد"</f>
        <v>استان يزد</v>
      </c>
      <c r="AD2150" s="1" t="str">
        <f>"95/12/03"</f>
        <v>95/12/03</v>
      </c>
      <c r="AE2150" s="1" t="str">
        <f t="shared" si="572"/>
        <v>اختتام</v>
      </c>
      <c r="AF2150" s="1" t="str">
        <f>""</f>
        <v/>
      </c>
      <c r="AG2150" s="1" t="str">
        <f>""</f>
        <v/>
      </c>
      <c r="AH2150" s="1" t="str">
        <f>""</f>
        <v/>
      </c>
      <c r="AI2150" s="1" t="str">
        <f>""</f>
        <v/>
      </c>
      <c r="AJ2150" s="1" t="str">
        <f>""</f>
        <v/>
      </c>
      <c r="AK2150" s="1" t="str">
        <f>""</f>
        <v/>
      </c>
    </row>
    <row r="2151" spans="1:37" x14ac:dyDescent="0.2">
      <c r="A2151" s="1">
        <v>750000</v>
      </c>
      <c r="B2151" s="1">
        <v>951800049</v>
      </c>
      <c r="C2151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2151" s="1">
        <v>6726</v>
      </c>
      <c r="E2151" s="1">
        <v>747960</v>
      </c>
      <c r="F2151" s="1">
        <v>95</v>
      </c>
      <c r="G2151" s="1">
        <v>2040</v>
      </c>
      <c r="H2151" s="1" t="str">
        <f>"95/05/23"</f>
        <v>95/05/23</v>
      </c>
      <c r="I2151" s="1" t="str">
        <f t="shared" si="565"/>
        <v>كيلوگرم</v>
      </c>
      <c r="J2151" s="1" t="str">
        <f t="shared" ref="J2151:J2180" si="573">"0000000092"</f>
        <v>0000000092</v>
      </c>
      <c r="K2151" s="1" t="str">
        <f t="shared" ref="K2151:K2180" si="574">"قير  PG64-16"</f>
        <v>قير  PG64-16</v>
      </c>
      <c r="L2151" s="1">
        <v>100</v>
      </c>
      <c r="M2151" s="1" t="str">
        <f t="shared" si="570"/>
        <v>مخازن قير اصفهان</v>
      </c>
      <c r="N2151" s="1">
        <v>1665</v>
      </c>
      <c r="O2151" s="1">
        <v>50031491</v>
      </c>
      <c r="P2151" s="1" t="str">
        <f>"  جهاد نصر يزد"</f>
        <v xml:space="preserve">  جهاد نصر يزد</v>
      </c>
      <c r="Q2151" s="1">
        <v>18</v>
      </c>
      <c r="R2151" s="1" t="str">
        <f>"فروش داخلي تهران - وزارت راه - شرکت ساخت و توسعه راهها"</f>
        <v>فروش داخلي تهران - وزارت راه - شرکت ساخت و توسعه راهها</v>
      </c>
      <c r="S2151" s="1" t="str">
        <f t="shared" si="568"/>
        <v>قرارداد فروش</v>
      </c>
      <c r="T2151" s="1" t="str">
        <f t="shared" si="569"/>
        <v>ندارد</v>
      </c>
      <c r="U2151" s="1" t="str">
        <f>"غلام نجفي سيامك‌‌‌‌‌‌(1881082)"</f>
        <v>غلام نجفي سيامك‌‌‌‌‌‌(1881082)</v>
      </c>
      <c r="V2151" s="1">
        <v>951800049</v>
      </c>
      <c r="W2151" s="1">
        <v>951800049</v>
      </c>
      <c r="X2151" s="1" t="str">
        <f>"1395421990"</f>
        <v>1395421990</v>
      </c>
      <c r="Y2151" s="1" t="str">
        <f>"95/05/23"</f>
        <v>95/05/23</v>
      </c>
      <c r="Z2151" s="1" t="str">
        <f>"21880/510"</f>
        <v>21880/510</v>
      </c>
      <c r="AA2151" s="1" t="str">
        <f>"شركت  ساخت وتوسعه راهها"</f>
        <v>شركت  ساخت وتوسعه راهها</v>
      </c>
      <c r="AB2151" s="1" t="str">
        <f>"95/05/16"</f>
        <v>95/05/16</v>
      </c>
      <c r="AC2151" s="1" t="str">
        <f>"خراسان جنوبي"</f>
        <v>خراسان جنوبي</v>
      </c>
      <c r="AD2151" s="1" t="str">
        <f>"95/05/18"</f>
        <v>95/05/18</v>
      </c>
      <c r="AE2151" s="1" t="str">
        <f t="shared" si="572"/>
        <v>اختتام</v>
      </c>
      <c r="AF2151" s="1" t="str">
        <f>""</f>
        <v/>
      </c>
      <c r="AG2151" s="1" t="str">
        <f>""</f>
        <v/>
      </c>
      <c r="AH2151" s="1" t="str">
        <f>""</f>
        <v/>
      </c>
      <c r="AI2151" s="1" t="str">
        <f>""</f>
        <v/>
      </c>
      <c r="AJ2151" s="1" t="str">
        <f>""</f>
        <v/>
      </c>
      <c r="AK2151" s="1" t="str">
        <f>""</f>
        <v/>
      </c>
    </row>
    <row r="2152" spans="1:37" x14ac:dyDescent="0.2">
      <c r="A2152" s="1">
        <v>400000</v>
      </c>
      <c r="B2152" s="1">
        <v>951300002</v>
      </c>
      <c r="C2152" s="1" t="str">
        <f>"تخليه خراسان رضوي گنابادبيدخت به سمت قاين كارخانه آسفالت شهرداري قاين"</f>
        <v>تخليه خراسان رضوي گنابادبيدخت به سمت قاين كارخانه آسفالت شهرداري قاين</v>
      </c>
      <c r="D2152" s="1">
        <v>5650</v>
      </c>
      <c r="E2152" s="1">
        <v>398480</v>
      </c>
      <c r="F2152" s="1">
        <v>95</v>
      </c>
      <c r="G2152" s="1">
        <v>1520</v>
      </c>
      <c r="H2152" s="1" t="str">
        <f>"95/02/15"</f>
        <v>95/02/15</v>
      </c>
      <c r="I2152" s="1" t="str">
        <f t="shared" si="565"/>
        <v>كيلوگرم</v>
      </c>
      <c r="J2152" s="1" t="str">
        <f t="shared" si="573"/>
        <v>0000000092</v>
      </c>
      <c r="K2152" s="1" t="str">
        <f t="shared" si="574"/>
        <v>قير  PG64-16</v>
      </c>
      <c r="L2152" s="1">
        <v>100</v>
      </c>
      <c r="M2152" s="1" t="str">
        <f t="shared" si="570"/>
        <v>مخازن قير اصفهان</v>
      </c>
      <c r="N2152" s="1">
        <v>4030</v>
      </c>
      <c r="O2152" s="1">
        <v>50030741</v>
      </c>
      <c r="P2152" s="1" t="str">
        <f>"  شهرداري بيدخت"</f>
        <v xml:space="preserve">  شهرداري بيدخت</v>
      </c>
      <c r="Q2152" s="1">
        <v>13</v>
      </c>
      <c r="R2152" s="1" t="str">
        <f>"فروش داخلي - وزارت راه - حوزه بنياد مسكن"</f>
        <v>فروش داخلي - وزارت راه - حوزه بنياد مسكن</v>
      </c>
      <c r="S2152" s="1" t="str">
        <f t="shared" si="568"/>
        <v>قرارداد فروش</v>
      </c>
      <c r="T2152" s="1" t="str">
        <f t="shared" si="569"/>
        <v>ندارد</v>
      </c>
      <c r="U2152" s="1" t="str">
        <f>"آقا علي منوچهر(1016ج89)"</f>
        <v>آقا علي منوچهر(1016ج89)</v>
      </c>
      <c r="V2152" s="1">
        <v>951300002</v>
      </c>
      <c r="W2152" s="1">
        <v>951300002</v>
      </c>
      <c r="X2152" s="1" t="str">
        <f>"1395401949"</f>
        <v>1395401949</v>
      </c>
      <c r="Y2152" s="1" t="str">
        <f>"95/02/15"</f>
        <v>95/02/15</v>
      </c>
      <c r="Z2152" s="1" t="str">
        <f>"48117/510"</f>
        <v>48117/510</v>
      </c>
      <c r="AA2152" s="1" t="str">
        <f>"بنياد مسكن -مسكن مهر"</f>
        <v>بنياد مسكن -مسكن مهر</v>
      </c>
      <c r="AB2152" s="1" t="str">
        <f>"94/08/30"</f>
        <v>94/08/30</v>
      </c>
      <c r="AC2152" s="1" t="str">
        <f>"خراسان رضوي"</f>
        <v>خراسان رضوي</v>
      </c>
      <c r="AD2152" s="1" t="str">
        <f>"95/02/11"</f>
        <v>95/02/11</v>
      </c>
      <c r="AE2152" s="1" t="str">
        <f t="shared" si="572"/>
        <v>اختتام</v>
      </c>
      <c r="AF2152" s="1" t="str">
        <f>""</f>
        <v/>
      </c>
      <c r="AG2152" s="1" t="str">
        <f>""</f>
        <v/>
      </c>
      <c r="AH2152" s="1" t="str">
        <f>""</f>
        <v/>
      </c>
      <c r="AI2152" s="1" t="str">
        <f>""</f>
        <v/>
      </c>
      <c r="AJ2152" s="1" t="str">
        <f>""</f>
        <v/>
      </c>
      <c r="AK2152" s="1" t="str">
        <f>""</f>
        <v/>
      </c>
    </row>
    <row r="2153" spans="1:37" x14ac:dyDescent="0.2">
      <c r="A2153" s="1">
        <v>932000</v>
      </c>
      <c r="B2153" s="1">
        <v>951400076</v>
      </c>
      <c r="C2153" s="1" t="str">
        <f>"تخليه -لرستان كيلومتر22نورآباد-بابابزرگ -شركت ايمن كارسمير"</f>
        <v>تخليه -لرستان كيلومتر22نورآباد-بابابزرگ -شركت ايمن كارسمير</v>
      </c>
      <c r="D2153" s="1">
        <v>7276</v>
      </c>
      <c r="E2153" s="1">
        <v>563380</v>
      </c>
      <c r="F2153" s="1">
        <v>95</v>
      </c>
      <c r="G2153" s="1">
        <v>368620</v>
      </c>
      <c r="H2153" s="1" t="str">
        <f>"95/07/17"</f>
        <v>95/07/17</v>
      </c>
      <c r="I2153" s="1" t="str">
        <f t="shared" si="565"/>
        <v>كيلوگرم</v>
      </c>
      <c r="J2153" s="1" t="str">
        <f t="shared" si="573"/>
        <v>0000000092</v>
      </c>
      <c r="K2153" s="1" t="str">
        <f t="shared" si="574"/>
        <v>قير  PG64-16</v>
      </c>
      <c r="L2153" s="1">
        <v>100</v>
      </c>
      <c r="M2153" s="1" t="str">
        <f t="shared" si="570"/>
        <v>مخازن قير اصفهان</v>
      </c>
      <c r="N2153" s="1">
        <v>4074</v>
      </c>
      <c r="O2153" s="1">
        <v>50032122</v>
      </c>
      <c r="P2153" s="1" t="str">
        <f>"  اداره كل راه و  شهرسازي لرستان"</f>
        <v xml:space="preserve">  اداره كل راه و  شهرسازي لرستان</v>
      </c>
      <c r="Q2153" s="1">
        <v>14</v>
      </c>
      <c r="R2153" s="1" t="str">
        <f>"فروش داخلي - وزارت راه - حوزه راه روستايي ساخت"</f>
        <v>فروش داخلي - وزارت راه - حوزه راه روستايي ساخت</v>
      </c>
      <c r="S2153" s="1" t="str">
        <f t="shared" si="568"/>
        <v>قرارداد فروش</v>
      </c>
      <c r="T2153" s="1" t="str">
        <f t="shared" si="569"/>
        <v>ندارد</v>
      </c>
      <c r="U2153" s="1" t="str">
        <f>"ريسماني حسن(1007ج89)"</f>
        <v>ريسماني حسن(1007ج89)</v>
      </c>
      <c r="V2153" s="1">
        <v>951400076</v>
      </c>
      <c r="W2153" s="1">
        <v>951400076</v>
      </c>
      <c r="X2153" s="1" t="str">
        <f>"1395436739"</f>
        <v>1395436739</v>
      </c>
      <c r="Y2153" s="1" t="str">
        <f>"95/07/17"</f>
        <v>95/07/17</v>
      </c>
      <c r="Z2153" s="1" t="str">
        <f>"34019/510"</f>
        <v>34019/510</v>
      </c>
      <c r="AA2153" s="1" t="str">
        <f>"راه وروستايي -ساخت"</f>
        <v>راه وروستايي -ساخت</v>
      </c>
      <c r="AB2153" s="1" t="str">
        <f>"95/07/14"</f>
        <v>95/07/14</v>
      </c>
      <c r="AC2153" s="1" t="str">
        <f>"لرستان"</f>
        <v>لرستان</v>
      </c>
      <c r="AD2153" s="1" t="str">
        <f>"95/07/17"</f>
        <v>95/07/17</v>
      </c>
      <c r="AE2153" s="1" t="str">
        <f t="shared" si="572"/>
        <v>اختتام</v>
      </c>
      <c r="AF2153" s="1" t="str">
        <f>""</f>
        <v/>
      </c>
      <c r="AG2153" s="1" t="str">
        <f>""</f>
        <v/>
      </c>
      <c r="AH2153" s="1" t="str">
        <f>""</f>
        <v/>
      </c>
      <c r="AI2153" s="1" t="str">
        <f>""</f>
        <v/>
      </c>
      <c r="AJ2153" s="1" t="str">
        <f>""</f>
        <v/>
      </c>
      <c r="AK2153" s="1" t="str">
        <f>""</f>
        <v/>
      </c>
    </row>
    <row r="2154" spans="1:37" x14ac:dyDescent="0.2">
      <c r="A2154" s="1">
        <v>361820</v>
      </c>
      <c r="B2154" s="1">
        <v>951800106</v>
      </c>
      <c r="C2154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2154" s="1">
        <v>9061</v>
      </c>
      <c r="E2154" s="1">
        <v>301920</v>
      </c>
      <c r="F2154" s="1">
        <v>95</v>
      </c>
      <c r="G2154" s="1">
        <v>59900</v>
      </c>
      <c r="H2154" s="1" t="str">
        <f>"95/10/02"</f>
        <v>95/10/02</v>
      </c>
      <c r="I2154" s="1" t="str">
        <f t="shared" si="565"/>
        <v>كيلوگرم</v>
      </c>
      <c r="J2154" s="1" t="str">
        <f t="shared" si="573"/>
        <v>0000000092</v>
      </c>
      <c r="K2154" s="1" t="str">
        <f t="shared" si="574"/>
        <v>قير  PG64-16</v>
      </c>
      <c r="L2154" s="1">
        <v>100</v>
      </c>
      <c r="M2154" s="1" t="str">
        <f t="shared" si="570"/>
        <v>مخازن قير اصفهان</v>
      </c>
      <c r="N2154" s="1">
        <v>4089</v>
      </c>
      <c r="O2154" s="1">
        <v>50033116</v>
      </c>
      <c r="P2154" s="1" t="str">
        <f>"  تعاوني خدمات زيربنائي رفسنجان"</f>
        <v xml:space="preserve">  تعاوني خدمات زيربنائي رفسنجان</v>
      </c>
      <c r="Q2154" s="1">
        <v>18</v>
      </c>
      <c r="R2154" s="1" t="str">
        <f>"فروش داخلي تهران - وزارت راه - شرکت ساخت و توسعه راهها"</f>
        <v>فروش داخلي تهران - وزارت راه - شرکت ساخت و توسعه راهها</v>
      </c>
      <c r="S2154" s="1" t="str">
        <f t="shared" si="568"/>
        <v>قرارداد فروش</v>
      </c>
      <c r="T2154" s="1" t="str">
        <f t="shared" si="569"/>
        <v>ندارد</v>
      </c>
      <c r="U2154" s="1" t="str">
        <f>"تعاوني خدمات زيربنايي رفسنجان (00109)"</f>
        <v>تعاوني خدمات زيربنايي رفسنجان (00109)</v>
      </c>
      <c r="V2154" s="1">
        <v>951800106</v>
      </c>
      <c r="W2154" s="1">
        <v>951800106</v>
      </c>
      <c r="X2154" s="1" t="str">
        <f>"1395447891"</f>
        <v>1395447891</v>
      </c>
      <c r="Y2154" s="1" t="str">
        <f>"95/10/02"</f>
        <v>95/10/02</v>
      </c>
      <c r="Z2154" s="1" t="str">
        <f>"42087/710"</f>
        <v>42087/710</v>
      </c>
      <c r="AA2154" s="1" t="str">
        <f>"شركت  ساخت وتوسعه راهها"</f>
        <v>شركت  ساخت وتوسعه راهها</v>
      </c>
      <c r="AB2154" s="1" t="str">
        <f>"95/08/29"</f>
        <v>95/08/29</v>
      </c>
      <c r="AC2154" s="1" t="str">
        <f>"استان كرمان"</f>
        <v>استان كرمان</v>
      </c>
      <c r="AD2154" s="1" t="str">
        <f>"95/09/09"</f>
        <v>95/09/09</v>
      </c>
      <c r="AE2154" s="1" t="str">
        <f t="shared" si="572"/>
        <v>اختتام</v>
      </c>
      <c r="AF2154" s="1" t="str">
        <f>""</f>
        <v/>
      </c>
      <c r="AG2154" s="1" t="str">
        <f>""</f>
        <v/>
      </c>
      <c r="AH2154" s="1" t="str">
        <f>""</f>
        <v/>
      </c>
      <c r="AI2154" s="1" t="str">
        <f>""</f>
        <v/>
      </c>
      <c r="AJ2154" s="1" t="str">
        <f>""</f>
        <v/>
      </c>
      <c r="AK2154" s="1" t="str">
        <f>""</f>
        <v/>
      </c>
    </row>
    <row r="2155" spans="1:37" x14ac:dyDescent="0.2">
      <c r="A2155" s="1">
        <v>525000</v>
      </c>
      <c r="B2155" s="1">
        <v>951700286</v>
      </c>
      <c r="C2155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2155" s="1">
        <v>8323</v>
      </c>
      <c r="E2155" s="1">
        <v>492100</v>
      </c>
      <c r="F2155" s="1">
        <v>95</v>
      </c>
      <c r="G2155" s="1">
        <v>32900</v>
      </c>
      <c r="H2155" s="1" t="str">
        <f>"95/08/10"</f>
        <v>95/08/10</v>
      </c>
      <c r="I2155" s="1" t="str">
        <f t="shared" si="565"/>
        <v>كيلوگرم</v>
      </c>
      <c r="J2155" s="1" t="str">
        <f t="shared" si="573"/>
        <v>0000000092</v>
      </c>
      <c r="K2155" s="1" t="str">
        <f t="shared" si="574"/>
        <v>قير  PG64-16</v>
      </c>
      <c r="L2155" s="1">
        <v>100</v>
      </c>
      <c r="M2155" s="1" t="str">
        <f t="shared" si="570"/>
        <v>مخازن قير اصفهان</v>
      </c>
      <c r="N2155" s="1">
        <v>8091</v>
      </c>
      <c r="O2155" s="1">
        <v>50032466</v>
      </c>
      <c r="P2155" s="1" t="str">
        <f>"  اداره كل راه وشهرسازي اصفهان"</f>
        <v xml:space="preserve">  اداره كل راه وشهرسازي اصفهان</v>
      </c>
      <c r="Q2155" s="1">
        <v>17</v>
      </c>
      <c r="R2155" s="1" t="str">
        <f>"فروش داخلي تهران - وزارت راه - راه روستايي - روکش"</f>
        <v>فروش داخلي تهران - وزارت راه - راه روستايي - روکش</v>
      </c>
      <c r="S2155" s="1" t="str">
        <f t="shared" si="568"/>
        <v>قرارداد فروش</v>
      </c>
      <c r="T2155" s="1" t="str">
        <f t="shared" si="569"/>
        <v>ندارد</v>
      </c>
      <c r="U2155" s="1" t="str">
        <f>"مرادي نجاتعلي(1020ج89)"</f>
        <v>مرادي نجاتعلي(1020ج89)</v>
      </c>
      <c r="V2155" s="1">
        <v>951700286</v>
      </c>
      <c r="W2155" s="1">
        <v>951700286</v>
      </c>
      <c r="X2155" s="1" t="str">
        <f>"1395441011"</f>
        <v>1395441011</v>
      </c>
      <c r="Y2155" s="1" t="str">
        <f>"95/08/10"</f>
        <v>95/08/10</v>
      </c>
      <c r="Z2155" s="1" t="str">
        <f>"37222/710"</f>
        <v>37222/710</v>
      </c>
      <c r="AA2155" s="1" t="str">
        <f>"راه روستائي -روكش"</f>
        <v>راه روستائي -روكش</v>
      </c>
      <c r="AB2155" s="1" t="str">
        <f>"95/08/03"</f>
        <v>95/08/03</v>
      </c>
      <c r="AC2155" s="1" t="str">
        <f>"استان اصفهان"</f>
        <v>استان اصفهان</v>
      </c>
      <c r="AD2155" s="1" t="str">
        <f>"95/08/05"</f>
        <v>95/08/05</v>
      </c>
      <c r="AE2155" s="1" t="str">
        <f t="shared" si="572"/>
        <v>اختتام</v>
      </c>
      <c r="AF2155" s="1" t="str">
        <f>""</f>
        <v/>
      </c>
      <c r="AG2155" s="1" t="str">
        <f>""</f>
        <v/>
      </c>
      <c r="AH2155" s="1" t="str">
        <f>""</f>
        <v/>
      </c>
      <c r="AI2155" s="1" t="str">
        <f>""</f>
        <v/>
      </c>
      <c r="AJ2155" s="1" t="str">
        <f>""</f>
        <v/>
      </c>
      <c r="AK2155" s="1" t="str">
        <f>""</f>
        <v/>
      </c>
    </row>
    <row r="2156" spans="1:37" x14ac:dyDescent="0.2">
      <c r="A2156" s="1">
        <v>500000</v>
      </c>
      <c r="B2156" s="1">
        <v>951900242</v>
      </c>
      <c r="C2156" s="1" t="str">
        <f>"تخليه - ايلام -روکش آسفالت محور شاهبداغ-پل سيمره حاج نوري"</f>
        <v>تخليه - ايلام -روکش آسفالت محور شاهبداغ-پل سيمره حاج نوري</v>
      </c>
      <c r="D2156" s="1">
        <v>9061</v>
      </c>
      <c r="E2156" s="1">
        <v>484700</v>
      </c>
      <c r="F2156" s="1">
        <v>95</v>
      </c>
      <c r="G2156" s="1">
        <v>15300</v>
      </c>
      <c r="H2156" s="1" t="str">
        <f>"95/10/26"</f>
        <v>95/10/26</v>
      </c>
      <c r="I2156" s="1" t="str">
        <f t="shared" si="565"/>
        <v>كيلوگرم</v>
      </c>
      <c r="J2156" s="1" t="str">
        <f t="shared" si="573"/>
        <v>0000000092</v>
      </c>
      <c r="K2156" s="1" t="str">
        <f t="shared" si="574"/>
        <v>قير  PG64-16</v>
      </c>
      <c r="L2156" s="1">
        <v>100</v>
      </c>
      <c r="M2156" s="1" t="str">
        <f t="shared" si="570"/>
        <v>مخازن قير اصفهان</v>
      </c>
      <c r="N2156" s="1">
        <v>8293</v>
      </c>
      <c r="O2156" s="1">
        <v>50033401</v>
      </c>
      <c r="P2156" s="1" t="str">
        <f>"  آج راه غرب"</f>
        <v xml:space="preserve">  آج راه غرب</v>
      </c>
      <c r="Q2156" s="1">
        <v>19</v>
      </c>
      <c r="R21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56" s="1" t="str">
        <f t="shared" si="568"/>
        <v>قرارداد فروش</v>
      </c>
      <c r="T2156" s="1" t="str">
        <f t="shared" si="569"/>
        <v>ندارد</v>
      </c>
      <c r="U2156" s="1" t="str">
        <f>"قره باغي مجيد(1871065)"</f>
        <v>قره باغي مجيد(1871065)</v>
      </c>
      <c r="V2156" s="1">
        <v>951900242</v>
      </c>
      <c r="W2156" s="1">
        <v>951900242</v>
      </c>
      <c r="X2156" s="1" t="str">
        <f>"1395458705"</f>
        <v>1395458705</v>
      </c>
      <c r="Y2156" s="1" t="str">
        <f>"95/10/26"</f>
        <v>95/10/26</v>
      </c>
      <c r="Z2156" s="1" t="str">
        <f>"52241/710"</f>
        <v>52241/710</v>
      </c>
      <c r="AA2156" s="1" t="str">
        <f>"سازمان راهداري وحمل نقل جاده اي"</f>
        <v>سازمان راهداري وحمل نقل جاده اي</v>
      </c>
      <c r="AB2156" s="1" t="str">
        <f>"95/10/22"</f>
        <v>95/10/22</v>
      </c>
      <c r="AC2156" s="1" t="str">
        <f>"استان ايلام"</f>
        <v>استان ايلام</v>
      </c>
      <c r="AD2156" s="1" t="str">
        <f>"95/10/25"</f>
        <v>95/10/25</v>
      </c>
      <c r="AE2156" s="1" t="str">
        <f t="shared" si="572"/>
        <v>اختتام</v>
      </c>
      <c r="AF2156" s="1" t="str">
        <f>""</f>
        <v/>
      </c>
      <c r="AG2156" s="1" t="str">
        <f>""</f>
        <v/>
      </c>
      <c r="AH2156" s="1" t="str">
        <f>""</f>
        <v/>
      </c>
      <c r="AI2156" s="1" t="str">
        <f>""</f>
        <v/>
      </c>
      <c r="AJ2156" s="1" t="str">
        <f>""</f>
        <v/>
      </c>
      <c r="AK2156" s="1" t="str">
        <f>""</f>
        <v/>
      </c>
    </row>
    <row r="2157" spans="1:37" x14ac:dyDescent="0.2">
      <c r="A2157" s="1">
        <v>1000000</v>
      </c>
      <c r="B2157" s="1">
        <v>951600018</v>
      </c>
      <c r="C2157" s="1" t="str">
        <f>"تخليه-خراسان جنوبي-کارخانه آسفالت راه و مکان ثامن"</f>
        <v>تخليه-خراسان جنوبي-کارخانه آسفالت راه و مکان ثامن</v>
      </c>
      <c r="D2157" s="1">
        <v>6726</v>
      </c>
      <c r="E2157" s="1">
        <v>996140</v>
      </c>
      <c r="F2157" s="1">
        <v>95</v>
      </c>
      <c r="G2157" s="1">
        <v>3860</v>
      </c>
      <c r="H2157" s="1" t="str">
        <f>"95/05/24"</f>
        <v>95/05/24</v>
      </c>
      <c r="I2157" s="1" t="str">
        <f t="shared" si="565"/>
        <v>كيلوگرم</v>
      </c>
      <c r="J2157" s="1" t="str">
        <f t="shared" si="573"/>
        <v>0000000092</v>
      </c>
      <c r="K2157" s="1" t="str">
        <f t="shared" si="574"/>
        <v>قير  PG64-16</v>
      </c>
      <c r="L2157" s="1">
        <v>100</v>
      </c>
      <c r="M2157" s="1" t="str">
        <f t="shared" si="570"/>
        <v>مخازن قير اصفهان</v>
      </c>
      <c r="N2157" s="1">
        <v>8349</v>
      </c>
      <c r="O2157" s="1">
        <v>50031523</v>
      </c>
      <c r="P2157" s="1" t="str">
        <f>"  راه مكان ثامن"</f>
        <v xml:space="preserve">  راه مكان ثامن</v>
      </c>
      <c r="Q2157" s="1">
        <v>16</v>
      </c>
      <c r="R2157" s="1" t="str">
        <f>"فروش داخلي تهران - وزارت راه - معاونت اقتصاد"</f>
        <v>فروش داخلي تهران - وزارت راه - معاونت اقتصاد</v>
      </c>
      <c r="S2157" s="1" t="str">
        <f t="shared" si="568"/>
        <v>قرارداد فروش</v>
      </c>
      <c r="T2157" s="1" t="str">
        <f t="shared" si="569"/>
        <v>ندارد</v>
      </c>
      <c r="U2157" s="1" t="str">
        <f>"بابامحمدي عنايت اله(4844000)"</f>
        <v>بابامحمدي عنايت اله(4844000)</v>
      </c>
      <c r="V2157" s="1">
        <v>951600018</v>
      </c>
      <c r="W2157" s="1">
        <v>951600018</v>
      </c>
      <c r="X2157" s="1" t="str">
        <f>"1395423457"</f>
        <v>1395423457</v>
      </c>
      <c r="Y2157" s="1" t="str">
        <f>"95/05/24"</f>
        <v>95/05/24</v>
      </c>
      <c r="Z2157" s="1" t="str">
        <f>"22200/510"</f>
        <v>22200/510</v>
      </c>
      <c r="AA2157" s="1" t="str">
        <f>"معاونت اقتصادوزارت راه وشهرسازي"</f>
        <v>معاونت اقتصادوزارت راه وشهرسازي</v>
      </c>
      <c r="AB2157" s="1" t="str">
        <f>"95/05/17"</f>
        <v>95/05/17</v>
      </c>
      <c r="AC2157" s="1" t="str">
        <f>"خراسان جنوبي"</f>
        <v>خراسان جنوبي</v>
      </c>
      <c r="AD2157" s="1" t="str">
        <f>"95/05/23"</f>
        <v>95/05/23</v>
      </c>
      <c r="AE2157" s="1" t="str">
        <f t="shared" si="572"/>
        <v>اختتام</v>
      </c>
      <c r="AF2157" s="1" t="str">
        <f>""</f>
        <v/>
      </c>
      <c r="AG2157" s="1" t="str">
        <f>""</f>
        <v/>
      </c>
      <c r="AH2157" s="1" t="str">
        <f>""</f>
        <v/>
      </c>
      <c r="AI2157" s="1" t="str">
        <f>""</f>
        <v/>
      </c>
      <c r="AJ2157" s="1" t="str">
        <f>""</f>
        <v/>
      </c>
      <c r="AK2157" s="1" t="str">
        <f>""</f>
        <v/>
      </c>
    </row>
    <row r="2158" spans="1:37" x14ac:dyDescent="0.2">
      <c r="A2158" s="1">
        <v>103700</v>
      </c>
      <c r="B2158" s="1">
        <v>951900170</v>
      </c>
      <c r="C2158" s="1" t="str">
        <f>"تخليه-آزادراه قم- کاشان-مقابل باغ فين-کارخانه تدبير راه صفاهان"</f>
        <v>تخليه-آزادراه قم- کاشان-مقابل باغ فين-کارخانه تدبير راه صفاهان</v>
      </c>
      <c r="D2158" s="1">
        <v>8323</v>
      </c>
      <c r="E2158" s="1">
        <v>103260</v>
      </c>
      <c r="F2158" s="1">
        <v>95</v>
      </c>
      <c r="G2158" s="1">
        <v>440</v>
      </c>
      <c r="H2158" s="1" t="str">
        <f>"95/08/06"</f>
        <v>95/08/06</v>
      </c>
      <c r="I2158" s="1" t="str">
        <f t="shared" si="565"/>
        <v>كيلوگرم</v>
      </c>
      <c r="J2158" s="1" t="str">
        <f t="shared" si="573"/>
        <v>0000000092</v>
      </c>
      <c r="K2158" s="1" t="str">
        <f t="shared" si="574"/>
        <v>قير  PG64-16</v>
      </c>
      <c r="L2158" s="1">
        <v>100</v>
      </c>
      <c r="M2158" s="1" t="str">
        <f t="shared" si="570"/>
        <v>مخازن قير اصفهان</v>
      </c>
      <c r="N2158" s="1">
        <v>8508</v>
      </c>
      <c r="O2158" s="1">
        <v>50032310</v>
      </c>
      <c r="P2158" s="1" t="str">
        <f>"  آزادراه اميركبير"</f>
        <v xml:space="preserve">  آزادراه اميركبير</v>
      </c>
      <c r="Q2158" s="1">
        <v>19</v>
      </c>
      <c r="R2158" s="1" t="str">
        <f t="shared" ref="R2158:R2163" si="575"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58" s="1" t="str">
        <f t="shared" si="568"/>
        <v>قرارداد فروش</v>
      </c>
      <c r="T2158" s="1" t="str">
        <f t="shared" si="569"/>
        <v>ندارد</v>
      </c>
      <c r="U2158" s="1" t="str">
        <f>"علي عابدي ابوالقاسم(1003ج89)"</f>
        <v>علي عابدي ابوالقاسم(1003ج89)</v>
      </c>
      <c r="V2158" s="1">
        <v>951900170</v>
      </c>
      <c r="W2158" s="1">
        <v>951900170</v>
      </c>
      <c r="X2158" s="1" t="str">
        <f>"1395426744"</f>
        <v>1395426744</v>
      </c>
      <c r="Y2158" s="1" t="str">
        <f>"95/08/06"</f>
        <v>95/08/06</v>
      </c>
      <c r="Z2158" s="1" t="str">
        <f>"24791/510"</f>
        <v>24791/510</v>
      </c>
      <c r="AA2158" s="1" t="str">
        <f>"سازمان راهداري وحمل نقل جاده اي"</f>
        <v>سازمان راهداري وحمل نقل جاده اي</v>
      </c>
      <c r="AB2158" s="1" t="str">
        <f>"95/05/31"</f>
        <v>95/05/31</v>
      </c>
      <c r="AC2158" s="1" t="str">
        <f>"استان اصفهان"</f>
        <v>استان اصفهان</v>
      </c>
      <c r="AD2158" s="1" t="str">
        <f>"95/06/03"</f>
        <v>95/06/03</v>
      </c>
      <c r="AE2158" s="1" t="str">
        <f t="shared" si="572"/>
        <v>اختتام</v>
      </c>
      <c r="AF2158" s="1" t="str">
        <f>""</f>
        <v/>
      </c>
      <c r="AG2158" s="1" t="str">
        <f>""</f>
        <v/>
      </c>
      <c r="AH2158" s="1" t="str">
        <f>""</f>
        <v/>
      </c>
      <c r="AI2158" s="1" t="str">
        <f>""</f>
        <v/>
      </c>
      <c r="AJ2158" s="1" t="str">
        <f>""</f>
        <v/>
      </c>
      <c r="AK2158" s="1" t="str">
        <f>""</f>
        <v/>
      </c>
    </row>
    <row r="2159" spans="1:37" x14ac:dyDescent="0.2">
      <c r="A2159" s="1">
        <v>14240</v>
      </c>
      <c r="B2159" s="1">
        <v>951900174</v>
      </c>
      <c r="C2159" s="1" t="str">
        <f>"تخليه -ايرانشهر-پروژه روكش آسفالت ايرانشهر-خاش"</f>
        <v>تخليه -ايرانشهر-پروژه روكش آسفالت ايرانشهر-خاش</v>
      </c>
      <c r="D2159" s="1">
        <v>8323</v>
      </c>
      <c r="E2159" s="1">
        <v>12720</v>
      </c>
      <c r="F2159" s="1">
        <v>95</v>
      </c>
      <c r="G2159" s="1">
        <v>1520</v>
      </c>
      <c r="H2159" s="1" t="str">
        <f>"95/08/06"</f>
        <v>95/08/06</v>
      </c>
      <c r="I2159" s="1" t="str">
        <f t="shared" si="565"/>
        <v>كيلوگرم</v>
      </c>
      <c r="J2159" s="1" t="str">
        <f t="shared" si="573"/>
        <v>0000000092</v>
      </c>
      <c r="K2159" s="1" t="str">
        <f t="shared" si="574"/>
        <v>قير  PG64-16</v>
      </c>
      <c r="L2159" s="1">
        <v>100</v>
      </c>
      <c r="M2159" s="1" t="str">
        <f t="shared" si="570"/>
        <v>مخازن قير اصفهان</v>
      </c>
      <c r="N2159" s="1">
        <v>8619</v>
      </c>
      <c r="O2159" s="1">
        <v>50032314</v>
      </c>
      <c r="P2159" s="1" t="str">
        <f>"  سبزصبحگاهان امين"</f>
        <v xml:space="preserve">  سبزصبحگاهان امين</v>
      </c>
      <c r="Q2159" s="1">
        <v>19</v>
      </c>
      <c r="R2159" s="1" t="str">
        <f t="shared" si="575"/>
        <v>فروش داخلي تهران - وزارت راه - سازمان راهداري و حمل و نقل جاده ايي</v>
      </c>
      <c r="S2159" s="1" t="str">
        <f t="shared" si="568"/>
        <v>قرارداد فروش</v>
      </c>
      <c r="T2159" s="1" t="str">
        <f t="shared" si="569"/>
        <v>ندارد</v>
      </c>
      <c r="U2159" s="1" t="str">
        <f>"حاصليان ترابرجنوب مرتضي حاصلي (4844006)"</f>
        <v>حاصليان ترابرجنوب مرتضي حاصلي (4844006)</v>
      </c>
      <c r="V2159" s="1">
        <v>951900174</v>
      </c>
      <c r="W2159" s="1">
        <v>951900174</v>
      </c>
      <c r="X2159" s="1" t="str">
        <f>"1395427131"</f>
        <v>1395427131</v>
      </c>
      <c r="Y2159" s="1" t="str">
        <f>"95/08/06"</f>
        <v>95/08/06</v>
      </c>
      <c r="Z2159" s="1" t="str">
        <f>"25005/510"</f>
        <v>25005/510</v>
      </c>
      <c r="AA2159" s="1" t="str">
        <f>"سازمان راهداري وحمل نقل جاده اي"</f>
        <v>سازمان راهداري وحمل نقل جاده اي</v>
      </c>
      <c r="AB2159" s="1" t="str">
        <f>"95/05/31"</f>
        <v>95/05/31</v>
      </c>
      <c r="AC2159" s="1" t="str">
        <f>"ايرانشهر"</f>
        <v>ايرانشهر</v>
      </c>
      <c r="AD2159" s="1" t="str">
        <f>"95/06/07"</f>
        <v>95/06/07</v>
      </c>
      <c r="AE2159" s="1" t="str">
        <f t="shared" si="572"/>
        <v>اختتام</v>
      </c>
      <c r="AF2159" s="1" t="str">
        <f>""</f>
        <v/>
      </c>
      <c r="AG2159" s="1" t="str">
        <f>""</f>
        <v/>
      </c>
      <c r="AH2159" s="1" t="str">
        <f>""</f>
        <v/>
      </c>
      <c r="AI2159" s="1" t="str">
        <f>""</f>
        <v/>
      </c>
      <c r="AJ2159" s="1" t="str">
        <f>""</f>
        <v/>
      </c>
      <c r="AK2159" s="1" t="str">
        <f>""</f>
        <v/>
      </c>
    </row>
    <row r="2160" spans="1:37" x14ac:dyDescent="0.2">
      <c r="A2160" s="1">
        <v>1000000</v>
      </c>
      <c r="B2160" s="1">
        <v>951900283</v>
      </c>
      <c r="C2160" s="1" t="str">
        <f>"تخليه -ايرانشهر-پشت پليس راه بمپور-شركت سبزصبحگاهان امين (خسروي )"</f>
        <v>تخليه -ايرانشهر-پشت پليس راه بمپور-شركت سبزصبحگاهان امين (خسروي )</v>
      </c>
      <c r="D2160" s="1">
        <v>8998</v>
      </c>
      <c r="E2160" s="1">
        <v>999900</v>
      </c>
      <c r="F2160" s="1">
        <v>95</v>
      </c>
      <c r="G2160" s="1">
        <v>100</v>
      </c>
      <c r="H2160" s="1" t="str">
        <f>"95/12/16"</f>
        <v>95/12/16</v>
      </c>
      <c r="I2160" s="1" t="str">
        <f t="shared" si="565"/>
        <v>كيلوگرم</v>
      </c>
      <c r="J2160" s="1" t="str">
        <f t="shared" si="573"/>
        <v>0000000092</v>
      </c>
      <c r="K2160" s="1" t="str">
        <f t="shared" si="574"/>
        <v>قير  PG64-16</v>
      </c>
      <c r="L2160" s="1">
        <v>100</v>
      </c>
      <c r="M2160" s="1" t="str">
        <f t="shared" si="570"/>
        <v>مخازن قير اصفهان</v>
      </c>
      <c r="N2160" s="1">
        <v>8619</v>
      </c>
      <c r="O2160" s="1">
        <v>50034018</v>
      </c>
      <c r="P2160" s="1" t="str">
        <f>"  سبزصبحگاهان امين"</f>
        <v xml:space="preserve">  سبزصبحگاهان امين</v>
      </c>
      <c r="Q2160" s="1">
        <v>19</v>
      </c>
      <c r="R2160" s="1" t="str">
        <f t="shared" si="575"/>
        <v>فروش داخلي تهران - وزارت راه - سازمان راهداري و حمل و نقل جاده ايي</v>
      </c>
      <c r="S2160" s="1" t="str">
        <f t="shared" si="568"/>
        <v>قرارداد فروش</v>
      </c>
      <c r="T2160" s="1" t="str">
        <f t="shared" si="569"/>
        <v>ندارد</v>
      </c>
      <c r="U2160" s="1" t="str">
        <f>"حاصليان ترابرجنوب مرتضي حاصلي (4844006)"</f>
        <v>حاصليان ترابرجنوب مرتضي حاصلي (4844006)</v>
      </c>
      <c r="V2160" s="1">
        <v>951900283</v>
      </c>
      <c r="W2160" s="1">
        <v>951900283</v>
      </c>
      <c r="X2160" s="1" t="str">
        <f>"1395469183"</f>
        <v>1395469183</v>
      </c>
      <c r="Y2160" s="1" t="str">
        <f>"95/12/16"</f>
        <v>95/12/16</v>
      </c>
      <c r="Z2160" s="1" t="str">
        <f>"61944/710"</f>
        <v>61944/710</v>
      </c>
      <c r="AA2160" s="1" t="str">
        <f>"راه روستائي -روكش"</f>
        <v>راه روستائي -روكش</v>
      </c>
      <c r="AB2160" s="1" t="str">
        <f>"95/12/08"</f>
        <v>95/12/08</v>
      </c>
      <c r="AC2160" s="1" t="str">
        <f>"ايرانشهر"</f>
        <v>ايرانشهر</v>
      </c>
      <c r="AD2160" s="1" t="str">
        <f>"95/12/16"</f>
        <v>95/12/16</v>
      </c>
      <c r="AE2160" s="1" t="str">
        <f t="shared" si="572"/>
        <v>اختتام</v>
      </c>
      <c r="AF2160" s="1" t="str">
        <f>""</f>
        <v/>
      </c>
      <c r="AG2160" s="1" t="str">
        <f>""</f>
        <v/>
      </c>
      <c r="AH2160" s="1" t="str">
        <f>""</f>
        <v/>
      </c>
      <c r="AI2160" s="1" t="str">
        <f>""</f>
        <v/>
      </c>
      <c r="AJ2160" s="1" t="str">
        <f>""</f>
        <v/>
      </c>
      <c r="AK2160" s="1" t="str">
        <f>""</f>
        <v/>
      </c>
    </row>
    <row r="2161" spans="1:37" x14ac:dyDescent="0.2">
      <c r="A2161" s="1">
        <v>500000</v>
      </c>
      <c r="B2161" s="1">
        <v>951900026</v>
      </c>
      <c r="C2161" s="1" t="str">
        <f>"تخليه -سيستان وبلوچستان محورخاش-ايرانشهرنرسيده به روستاي كاروندر-كارگاه شركت ابنيه فني تهران"</f>
        <v>تخليه -سيستان وبلوچستان محورخاش-ايرانشهرنرسيده به روستاي كاروندر-كارگاه شركت ابنيه فني تهران</v>
      </c>
      <c r="D2161" s="1">
        <v>6169.3879999999999</v>
      </c>
      <c r="E2161" s="1">
        <v>499400</v>
      </c>
      <c r="F2161" s="1">
        <v>95</v>
      </c>
      <c r="G2161" s="1">
        <v>600</v>
      </c>
      <c r="H2161" s="1" t="str">
        <f>"95/04/06"</f>
        <v>95/04/06</v>
      </c>
      <c r="I2161" s="1" t="str">
        <f t="shared" si="565"/>
        <v>كيلوگرم</v>
      </c>
      <c r="J2161" s="1" t="str">
        <f t="shared" si="573"/>
        <v>0000000092</v>
      </c>
      <c r="K2161" s="1" t="str">
        <f t="shared" si="574"/>
        <v>قير  PG64-16</v>
      </c>
      <c r="L2161" s="1">
        <v>100</v>
      </c>
      <c r="M2161" s="1" t="str">
        <f t="shared" si="570"/>
        <v>مخازن قير اصفهان</v>
      </c>
      <c r="N2161" s="1">
        <v>8694</v>
      </c>
      <c r="O2161" s="1">
        <v>50031186</v>
      </c>
      <c r="P2161" s="1" t="str">
        <f>"  ابنيه فني تهران"</f>
        <v xml:space="preserve">  ابنيه فني تهران</v>
      </c>
      <c r="Q2161" s="1">
        <v>19</v>
      </c>
      <c r="R2161" s="1" t="str">
        <f t="shared" si="575"/>
        <v>فروش داخلي تهران - وزارت راه - سازمان راهداري و حمل و نقل جاده ايي</v>
      </c>
      <c r="S2161" s="1" t="str">
        <f t="shared" si="568"/>
        <v>قرارداد فروش</v>
      </c>
      <c r="T2161" s="1" t="str">
        <f t="shared" si="569"/>
        <v>ندارد</v>
      </c>
      <c r="U2161" s="1" t="str">
        <f>"مظلوم فريبرز(1008ج89)"</f>
        <v>مظلوم فريبرز(1008ج89)</v>
      </c>
      <c r="V2161" s="1">
        <v>951900026</v>
      </c>
      <c r="W2161" s="1">
        <v>951900026</v>
      </c>
      <c r="X2161" s="1" t="str">
        <f>"1395410189"</f>
        <v>1395410189</v>
      </c>
      <c r="Y2161" s="1" t="str">
        <f>"95/04/06"</f>
        <v>95/04/06</v>
      </c>
      <c r="Z2161" s="1" t="str">
        <f>"42858/510"</f>
        <v>42858/510</v>
      </c>
      <c r="AA2161" s="1" t="str">
        <f>"سازمان راهداري وحمل نقل جاده اي"</f>
        <v>سازمان راهداري وحمل نقل جاده اي</v>
      </c>
      <c r="AB2161" s="1" t="str">
        <f>"94/08/05"</f>
        <v>94/08/05</v>
      </c>
      <c r="AC2161" s="1" t="str">
        <f>"استان سيستان بلوچستان"</f>
        <v>استان سيستان بلوچستان</v>
      </c>
      <c r="AD2161" s="1" t="str">
        <f>"95/03/30"</f>
        <v>95/03/30</v>
      </c>
      <c r="AE2161" s="1" t="str">
        <f t="shared" si="572"/>
        <v>اختتام</v>
      </c>
      <c r="AF2161" s="1" t="str">
        <f>""</f>
        <v/>
      </c>
      <c r="AG2161" s="1" t="str">
        <f>""</f>
        <v/>
      </c>
      <c r="AH2161" s="1" t="str">
        <f>""</f>
        <v/>
      </c>
      <c r="AI2161" s="1" t="str">
        <f>""</f>
        <v/>
      </c>
      <c r="AJ2161" s="1" t="str">
        <f>""</f>
        <v/>
      </c>
      <c r="AK2161" s="1" t="str">
        <f>""</f>
        <v/>
      </c>
    </row>
    <row r="2162" spans="1:37" x14ac:dyDescent="0.2">
      <c r="A2162" s="1">
        <v>300000</v>
      </c>
      <c r="B2162" s="1">
        <v>951900083</v>
      </c>
      <c r="C2162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2162" s="1">
        <v>6726</v>
      </c>
      <c r="E2162" s="1">
        <v>300000</v>
      </c>
      <c r="F2162" s="1">
        <v>95</v>
      </c>
      <c r="G2162" s="1">
        <v>0</v>
      </c>
      <c r="H2162" s="1" t="str">
        <f>"95/05/12"</f>
        <v>95/05/12</v>
      </c>
      <c r="I2162" s="1" t="str">
        <f t="shared" si="565"/>
        <v>كيلوگرم</v>
      </c>
      <c r="J2162" s="1" t="str">
        <f t="shared" si="573"/>
        <v>0000000092</v>
      </c>
      <c r="K2162" s="1" t="str">
        <f t="shared" si="574"/>
        <v>قير  PG64-16</v>
      </c>
      <c r="L2162" s="1">
        <v>100</v>
      </c>
      <c r="M2162" s="1" t="str">
        <f t="shared" si="570"/>
        <v>مخازن قير اصفهان</v>
      </c>
      <c r="N2162" s="1">
        <v>9485</v>
      </c>
      <c r="O2162" s="1">
        <v>50031403</v>
      </c>
      <c r="P2162" s="1" t="str">
        <f>"  بلوران سازه خرم"</f>
        <v xml:space="preserve">  بلوران سازه خرم</v>
      </c>
      <c r="Q2162" s="1">
        <v>19</v>
      </c>
      <c r="R2162" s="1" t="str">
        <f t="shared" si="575"/>
        <v>فروش داخلي تهران - وزارت راه - سازمان راهداري و حمل و نقل جاده ايي</v>
      </c>
      <c r="S2162" s="1" t="str">
        <f t="shared" si="568"/>
        <v>قرارداد فروش</v>
      </c>
      <c r="T2162" s="1" t="str">
        <f t="shared" si="569"/>
        <v>ندارد</v>
      </c>
      <c r="U2162" s="1" t="str">
        <f>"ريسماني حسن(1007ج89)"</f>
        <v>ريسماني حسن(1007ج89)</v>
      </c>
      <c r="V2162" s="1">
        <v>951900083</v>
      </c>
      <c r="W2162" s="1">
        <v>951900083</v>
      </c>
      <c r="X2162" s="1" t="str">
        <f>"1395419806"</f>
        <v>1395419806</v>
      </c>
      <c r="Y2162" s="1" t="str">
        <f>"95/05/12"</f>
        <v>95/05/12</v>
      </c>
      <c r="Z2162" s="1" t="str">
        <f>"19968/510"</f>
        <v>19968/510</v>
      </c>
      <c r="AA2162" s="1" t="str">
        <f>"سازمان راهداري وحمل نقل جاده اي"</f>
        <v>سازمان راهداري وحمل نقل جاده اي</v>
      </c>
      <c r="AB2162" s="1" t="str">
        <f>"95/05/05"</f>
        <v>95/05/05</v>
      </c>
      <c r="AC2162" s="1" t="str">
        <f>"لرستان"</f>
        <v>لرستان</v>
      </c>
      <c r="AD2162" s="1" t="str">
        <f>"95/05/11"</f>
        <v>95/05/11</v>
      </c>
      <c r="AE2162" s="1" t="str">
        <f t="shared" si="572"/>
        <v>اختتام</v>
      </c>
      <c r="AF2162" s="1" t="str">
        <f>""</f>
        <v/>
      </c>
      <c r="AG2162" s="1" t="str">
        <f>""</f>
        <v/>
      </c>
      <c r="AH2162" s="1" t="str">
        <f>""</f>
        <v/>
      </c>
      <c r="AI2162" s="1" t="str">
        <f>""</f>
        <v/>
      </c>
      <c r="AJ2162" s="1" t="str">
        <f>""</f>
        <v/>
      </c>
      <c r="AK2162" s="1" t="str">
        <f>""</f>
        <v/>
      </c>
    </row>
    <row r="2163" spans="1:37" x14ac:dyDescent="0.2">
      <c r="A2163" s="1">
        <v>400000</v>
      </c>
      <c r="B2163" s="1">
        <v>951900236</v>
      </c>
      <c r="C2163" s="1" t="str">
        <f>"تخليه -ايلام -محورمهران -دهلران كيلومتر23-شركت آبادگران خوزستان"</f>
        <v>تخليه -ايلام -محورمهران -دهلران كيلومتر23-شركت آبادگران خوزستان</v>
      </c>
      <c r="D2163" s="1">
        <v>9061</v>
      </c>
      <c r="E2163" s="1">
        <v>399040</v>
      </c>
      <c r="F2163" s="1">
        <v>95</v>
      </c>
      <c r="G2163" s="1">
        <v>960</v>
      </c>
      <c r="H2163" s="1" t="str">
        <f>"95/10/07"</f>
        <v>95/10/07</v>
      </c>
      <c r="I2163" s="1" t="str">
        <f t="shared" si="565"/>
        <v>كيلوگرم</v>
      </c>
      <c r="J2163" s="1" t="str">
        <f t="shared" si="573"/>
        <v>0000000092</v>
      </c>
      <c r="K2163" s="1" t="str">
        <f t="shared" si="574"/>
        <v>قير  PG64-16</v>
      </c>
      <c r="L2163" s="1">
        <v>100</v>
      </c>
      <c r="M2163" s="1" t="str">
        <f t="shared" si="570"/>
        <v>مخازن قير اصفهان</v>
      </c>
      <c r="N2163" s="1">
        <v>9546</v>
      </c>
      <c r="O2163" s="1">
        <v>50033195</v>
      </c>
      <c r="P2163" s="1" t="str">
        <f>"  آبادگران خوزستان"</f>
        <v xml:space="preserve">  آبادگران خوزستان</v>
      </c>
      <c r="Q2163" s="1">
        <v>19</v>
      </c>
      <c r="R2163" s="1" t="str">
        <f t="shared" si="575"/>
        <v>فروش داخلي تهران - وزارت راه - سازمان راهداري و حمل و نقل جاده ايي</v>
      </c>
      <c r="S2163" s="1" t="str">
        <f t="shared" si="568"/>
        <v>قرارداد فروش</v>
      </c>
      <c r="T2163" s="1" t="str">
        <f t="shared" si="569"/>
        <v>ندارد</v>
      </c>
      <c r="U2163" s="1" t="str">
        <f>"عظيمي محمد(2842015)"</f>
        <v>عظيمي محمد(2842015)</v>
      </c>
      <c r="V2163" s="1">
        <v>951900236</v>
      </c>
      <c r="W2163" s="1">
        <v>951900236</v>
      </c>
      <c r="X2163" s="1" t="str">
        <f>"1395454987"</f>
        <v>1395454987</v>
      </c>
      <c r="Y2163" s="1" t="str">
        <f>"95/10/07"</f>
        <v>95/10/07</v>
      </c>
      <c r="Z2163" s="1" t="str">
        <f>"47199/710"</f>
        <v>47199/710</v>
      </c>
      <c r="AA2163" s="1" t="str">
        <f>"سازمان راهداري وحمل نقل جاده اي"</f>
        <v>سازمان راهداري وحمل نقل جاده اي</v>
      </c>
      <c r="AB2163" s="1" t="str">
        <f>"95/09/29"</f>
        <v>95/09/29</v>
      </c>
      <c r="AC2163" s="1" t="str">
        <f>"استان ايلام"</f>
        <v>استان ايلام</v>
      </c>
      <c r="AD2163" s="1" t="str">
        <f>"95/10/07"</f>
        <v>95/10/07</v>
      </c>
      <c r="AE2163" s="1" t="str">
        <f t="shared" si="572"/>
        <v>اختتام</v>
      </c>
      <c r="AF2163" s="1" t="str">
        <f>""</f>
        <v/>
      </c>
      <c r="AG2163" s="1" t="str">
        <f>""</f>
        <v/>
      </c>
      <c r="AH2163" s="1" t="str">
        <f>""</f>
        <v/>
      </c>
      <c r="AI2163" s="1" t="str">
        <f>""</f>
        <v/>
      </c>
      <c r="AJ2163" s="1" t="str">
        <f>""</f>
        <v/>
      </c>
      <c r="AK2163" s="1" t="str">
        <f>""</f>
        <v/>
      </c>
    </row>
    <row r="2164" spans="1:37" x14ac:dyDescent="0.2">
      <c r="A2164" s="1">
        <v>150000</v>
      </c>
      <c r="B2164" s="1">
        <v>951300021</v>
      </c>
      <c r="C2164" s="1" t="str">
        <f>"تخليه-کارخانه آسفالت بنياد مسکن نجف آباد-جوزدان-جاده فولادشهر-نجف آباد"</f>
        <v>تخليه-کارخانه آسفالت بنياد مسکن نجف آباد-جوزدان-جاده فولادشهر-نجف آباد</v>
      </c>
      <c r="D2164" s="1">
        <v>9511</v>
      </c>
      <c r="E2164" s="1">
        <v>149820</v>
      </c>
      <c r="F2164" s="1">
        <v>95</v>
      </c>
      <c r="G2164" s="1">
        <v>180</v>
      </c>
      <c r="H2164" s="1" t="str">
        <f>"95/11/10"</f>
        <v>95/11/10</v>
      </c>
      <c r="I2164" s="1" t="str">
        <f t="shared" si="565"/>
        <v>كيلوگرم</v>
      </c>
      <c r="J2164" s="1" t="str">
        <f t="shared" si="573"/>
        <v>0000000092</v>
      </c>
      <c r="K2164" s="1" t="str">
        <f t="shared" si="574"/>
        <v>قير  PG64-16</v>
      </c>
      <c r="L2164" s="1">
        <v>100</v>
      </c>
      <c r="M2164" s="1" t="str">
        <f t="shared" si="570"/>
        <v>مخازن قير اصفهان</v>
      </c>
      <c r="N2164" s="1">
        <v>9814</v>
      </c>
      <c r="O2164" s="1">
        <v>50033564</v>
      </c>
      <c r="P2164" s="1" t="str">
        <f>"  بنيادمسكن انقلاب اسلامي اصفهان"</f>
        <v xml:space="preserve">  بنيادمسكن انقلاب اسلامي اصفهان</v>
      </c>
      <c r="Q2164" s="1">
        <v>13</v>
      </c>
      <c r="R2164" s="1" t="str">
        <f>"فروش داخلي - وزارت راه - حوزه بنياد مسكن"</f>
        <v>فروش داخلي - وزارت راه - حوزه بنياد مسكن</v>
      </c>
      <c r="S2164" s="1" t="str">
        <f t="shared" si="568"/>
        <v>قرارداد فروش</v>
      </c>
      <c r="T2164" s="1" t="str">
        <f t="shared" si="569"/>
        <v>ندارد</v>
      </c>
      <c r="U2164" s="1" t="str">
        <f>"سيفي پور عبدالمجيد(1009ج89)"</f>
        <v>سيفي پور عبدالمجيد(1009ج89)</v>
      </c>
      <c r="V2164" s="1">
        <v>951300021</v>
      </c>
      <c r="W2164" s="1">
        <v>951300021</v>
      </c>
      <c r="X2164" s="1" t="str">
        <f>"1395461524"</f>
        <v>1395461524</v>
      </c>
      <c r="Y2164" s="1" t="str">
        <f>"95/11/10"</f>
        <v>95/11/10</v>
      </c>
      <c r="Z2164" s="1" t="str">
        <f>"54370/710"</f>
        <v>54370/710</v>
      </c>
      <c r="AA2164" s="1" t="str">
        <f>"بنياد مسكن -مسكن مهر"</f>
        <v>بنياد مسكن -مسكن مهر</v>
      </c>
      <c r="AB2164" s="1" t="str">
        <f>"95/11/04"</f>
        <v>95/11/04</v>
      </c>
      <c r="AC2164" s="1" t="str">
        <f>"استان اصفهان"</f>
        <v>استان اصفهان</v>
      </c>
      <c r="AD2164" s="1" t="str">
        <f>"95/11/10"</f>
        <v>95/11/10</v>
      </c>
      <c r="AE2164" s="1" t="str">
        <f t="shared" ref="AE2164:AE2195" si="576">"اختتام"</f>
        <v>اختتام</v>
      </c>
      <c r="AF2164" s="1" t="str">
        <f>""</f>
        <v/>
      </c>
      <c r="AG2164" s="1" t="str">
        <f>""</f>
        <v/>
      </c>
      <c r="AH2164" s="1" t="str">
        <f>""</f>
        <v/>
      </c>
      <c r="AI2164" s="1" t="str">
        <f>""</f>
        <v/>
      </c>
      <c r="AJ2164" s="1" t="str">
        <f>""</f>
        <v/>
      </c>
      <c r="AK2164" s="1" t="str">
        <f>""</f>
        <v/>
      </c>
    </row>
    <row r="2165" spans="1:37" x14ac:dyDescent="0.2">
      <c r="A2165" s="1">
        <v>1000000</v>
      </c>
      <c r="B2165" s="1">
        <v>951600035</v>
      </c>
      <c r="C2165" s="1" t="str">
        <f>"تخليه -لرستان آسفالت سازمان همياري شهرداريهاي استان لرستان"</f>
        <v>تخليه -لرستان آسفالت سازمان همياري شهرداريهاي استان لرستان</v>
      </c>
      <c r="D2165" s="1">
        <v>7276</v>
      </c>
      <c r="E2165" s="1">
        <v>986320</v>
      </c>
      <c r="F2165" s="1">
        <v>95</v>
      </c>
      <c r="G2165" s="1">
        <v>13680</v>
      </c>
      <c r="H2165" s="1" t="str">
        <f>"95/07/10"</f>
        <v>95/07/10</v>
      </c>
      <c r="I2165" s="1" t="str">
        <f t="shared" si="565"/>
        <v>كيلوگرم</v>
      </c>
      <c r="J2165" s="1" t="str">
        <f t="shared" si="573"/>
        <v>0000000092</v>
      </c>
      <c r="K2165" s="1" t="str">
        <f t="shared" si="574"/>
        <v>قير  PG64-16</v>
      </c>
      <c r="L2165" s="1">
        <v>100</v>
      </c>
      <c r="M2165" s="1" t="str">
        <f t="shared" si="570"/>
        <v>مخازن قير اصفهان</v>
      </c>
      <c r="N2165" s="1">
        <v>9952</v>
      </c>
      <c r="O2165" s="1">
        <v>50032037</v>
      </c>
      <c r="P2165" s="1" t="str">
        <f>"  قرارگاه سازندگي خاتم الانبياء-موسسه اميدپارس"</f>
        <v xml:space="preserve">  قرارگاه سازندگي خاتم الانبياء-موسسه اميدپارس</v>
      </c>
      <c r="Q2165" s="1">
        <v>16</v>
      </c>
      <c r="R2165" s="1" t="str">
        <f>"فروش داخلي تهران - وزارت راه - معاونت اقتصاد"</f>
        <v>فروش داخلي تهران - وزارت راه - معاونت اقتصاد</v>
      </c>
      <c r="S2165" s="1" t="str">
        <f t="shared" si="568"/>
        <v>قرارداد فروش</v>
      </c>
      <c r="T2165" s="1" t="str">
        <f t="shared" si="569"/>
        <v>ندارد</v>
      </c>
      <c r="U2165" s="1" t="str">
        <f>"رضائي كلهر حسن (1901099)"</f>
        <v>رضائي كلهر حسن (1901099)</v>
      </c>
      <c r="V2165" s="1">
        <v>951600035</v>
      </c>
      <c r="W2165" s="1">
        <v>951600035</v>
      </c>
      <c r="X2165" s="1" t="str">
        <f>"1395435109"</f>
        <v>1395435109</v>
      </c>
      <c r="Y2165" s="1" t="str">
        <f>"95/07/10"</f>
        <v>95/07/10</v>
      </c>
      <c r="Z2165" s="1" t="str">
        <f>"32240/510"</f>
        <v>32240/510</v>
      </c>
      <c r="AA2165" s="1" t="str">
        <f>"معاونت اقتصادوزارت راه وشهرسازي"</f>
        <v>معاونت اقتصادوزارت راه وشهرسازي</v>
      </c>
      <c r="AB2165" s="1" t="str">
        <f>"95/07/06"</f>
        <v>95/07/06</v>
      </c>
      <c r="AC2165" s="1" t="str">
        <f>"لرستان"</f>
        <v>لرستان</v>
      </c>
      <c r="AD2165" s="1" t="str">
        <f>"95/07/10"</f>
        <v>95/07/10</v>
      </c>
      <c r="AE2165" s="1" t="str">
        <f t="shared" si="576"/>
        <v>اختتام</v>
      </c>
      <c r="AF2165" s="1" t="str">
        <f>""</f>
        <v/>
      </c>
      <c r="AG2165" s="1" t="str">
        <f>""</f>
        <v/>
      </c>
      <c r="AH2165" s="1" t="str">
        <f>""</f>
        <v/>
      </c>
      <c r="AI2165" s="1" t="str">
        <f>""</f>
        <v/>
      </c>
      <c r="AJ2165" s="1" t="str">
        <f>""</f>
        <v/>
      </c>
      <c r="AK2165" s="1" t="str">
        <f>""</f>
        <v/>
      </c>
    </row>
    <row r="2166" spans="1:37" x14ac:dyDescent="0.2">
      <c r="A2166" s="1">
        <v>400000</v>
      </c>
      <c r="B2166" s="1">
        <v>951900119</v>
      </c>
      <c r="C2166" s="1" t="str">
        <f>"تخليه -ايلام دهلران كيلومتر7بعدازپليس راه جنب سنگ شكن پيشروماسه شركت سي يول ارگ"</f>
        <v>تخليه -ايلام دهلران كيلومتر7بعدازپليس راه جنب سنگ شكن پيشروماسه شركت سي يول ارگ</v>
      </c>
      <c r="D2166" s="1">
        <v>6726</v>
      </c>
      <c r="E2166" s="1">
        <v>399300</v>
      </c>
      <c r="F2166" s="1">
        <v>95</v>
      </c>
      <c r="G2166" s="1">
        <v>700</v>
      </c>
      <c r="H2166" s="1" t="str">
        <f>"95/05/24"</f>
        <v>95/05/24</v>
      </c>
      <c r="I2166" s="1" t="str">
        <f t="shared" si="565"/>
        <v>كيلوگرم</v>
      </c>
      <c r="J2166" s="1" t="str">
        <f t="shared" si="573"/>
        <v>0000000092</v>
      </c>
      <c r="K2166" s="1" t="str">
        <f t="shared" si="574"/>
        <v>قير  PG64-16</v>
      </c>
      <c r="L2166" s="1">
        <v>100</v>
      </c>
      <c r="M2166" s="1" t="str">
        <f t="shared" si="570"/>
        <v>مخازن قير اصفهان</v>
      </c>
      <c r="N2166" s="1">
        <v>10303</v>
      </c>
      <c r="O2166" s="1">
        <v>50031517</v>
      </c>
      <c r="P2166" s="1" t="str">
        <f>"  سي يول ارگ"</f>
        <v xml:space="preserve">  سي يول ارگ</v>
      </c>
      <c r="Q2166" s="1">
        <v>19</v>
      </c>
      <c r="R216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66" s="1" t="str">
        <f t="shared" si="568"/>
        <v>قرارداد فروش</v>
      </c>
      <c r="T2166" s="1" t="str">
        <f t="shared" si="569"/>
        <v>ندارد</v>
      </c>
      <c r="U2166" s="1" t="str">
        <f>"عظيمي محمد(2842015)"</f>
        <v>عظيمي محمد(2842015)</v>
      </c>
      <c r="V2166" s="1">
        <v>951900119</v>
      </c>
      <c r="W2166" s="1">
        <v>951900119</v>
      </c>
      <c r="X2166" s="1" t="str">
        <f>"1395423466"</f>
        <v>1395423466</v>
      </c>
      <c r="Y2166" s="1" t="str">
        <f>"95/05/24"</f>
        <v>95/05/24</v>
      </c>
      <c r="Z2166" s="1" t="str">
        <f>"21924/510"</f>
        <v>21924/510</v>
      </c>
      <c r="AA2166" s="1" t="str">
        <f>"سازمان راهداري وحمل نقل جاده اي"</f>
        <v>سازمان راهداري وحمل نقل جاده اي</v>
      </c>
      <c r="AB2166" s="1" t="str">
        <f>"95/05/16"</f>
        <v>95/05/16</v>
      </c>
      <c r="AC2166" s="1" t="str">
        <f>"استان ايلام"</f>
        <v>استان ايلام</v>
      </c>
      <c r="AD2166" s="1" t="str">
        <f>"95/05/23"</f>
        <v>95/05/23</v>
      </c>
      <c r="AE2166" s="1" t="str">
        <f t="shared" si="576"/>
        <v>اختتام</v>
      </c>
      <c r="AF2166" s="1" t="str">
        <f>""</f>
        <v/>
      </c>
      <c r="AG2166" s="1" t="str">
        <f>""</f>
        <v/>
      </c>
      <c r="AH2166" s="1" t="str">
        <f>""</f>
        <v/>
      </c>
      <c r="AI2166" s="1" t="str">
        <f>""</f>
        <v/>
      </c>
      <c r="AJ2166" s="1" t="str">
        <f>""</f>
        <v/>
      </c>
      <c r="AK2166" s="1" t="str">
        <f>""</f>
        <v/>
      </c>
    </row>
    <row r="2167" spans="1:37" x14ac:dyDescent="0.2">
      <c r="A2167" s="1">
        <v>4000000</v>
      </c>
      <c r="B2167" s="1">
        <v>951800004</v>
      </c>
      <c r="C2167" s="1" t="str">
        <f>"تخليه -كيلومتر78جاده قم -گرمسار-شركت محمديان"</f>
        <v>تخليه -كيلومتر78جاده قم -گرمسار-شركت محمديان</v>
      </c>
      <c r="D2167" s="1">
        <v>5650</v>
      </c>
      <c r="E2167" s="1">
        <v>3999720</v>
      </c>
      <c r="F2167" s="1">
        <v>95</v>
      </c>
      <c r="G2167" s="1">
        <v>280</v>
      </c>
      <c r="H2167" s="1" t="str">
        <f>"95/02/14"</f>
        <v>95/02/14</v>
      </c>
      <c r="I2167" s="1" t="str">
        <f t="shared" si="565"/>
        <v>كيلوگرم</v>
      </c>
      <c r="J2167" s="1" t="str">
        <f t="shared" si="573"/>
        <v>0000000092</v>
      </c>
      <c r="K2167" s="1" t="str">
        <f t="shared" si="574"/>
        <v>قير  PG64-16</v>
      </c>
      <c r="L2167" s="1">
        <v>100</v>
      </c>
      <c r="M2167" s="1" t="str">
        <f t="shared" si="570"/>
        <v>مخازن قير اصفهان</v>
      </c>
      <c r="N2167" s="1">
        <v>10333</v>
      </c>
      <c r="O2167" s="1">
        <v>50030707</v>
      </c>
      <c r="P2167" s="1" t="str">
        <f>"  قرارگاه سازندگي خاتم الانبياء-قرب کربلا"</f>
        <v xml:space="preserve">  قرارگاه سازندگي خاتم الانبياء-قرب کربلا</v>
      </c>
      <c r="Q2167" s="1">
        <v>18</v>
      </c>
      <c r="R2167" s="1" t="str">
        <f>"فروش داخلي تهران - وزارت راه - شرکت ساخت و توسعه راهها"</f>
        <v>فروش داخلي تهران - وزارت راه - شرکت ساخت و توسعه راهها</v>
      </c>
      <c r="S2167" s="1" t="str">
        <f t="shared" si="568"/>
        <v>قرارداد فروش</v>
      </c>
      <c r="T2167" s="1" t="str">
        <f t="shared" si="569"/>
        <v>ندارد</v>
      </c>
      <c r="U2167" s="1" t="str">
        <f>"شيشه بر كريم(1841016)"</f>
        <v>شيشه بر كريم(1841016)</v>
      </c>
      <c r="V2167" s="1">
        <v>951800004</v>
      </c>
      <c r="W2167" s="1">
        <v>951800004</v>
      </c>
      <c r="X2167" s="1" t="str">
        <f>"1395401947"</f>
        <v>1395401947</v>
      </c>
      <c r="Y2167" s="1" t="str">
        <f>"95/02/14"</f>
        <v>95/02/14</v>
      </c>
      <c r="Z2167" s="1" t="str">
        <f>"61166/510"</f>
        <v>61166/510</v>
      </c>
      <c r="AA2167" s="1" t="str">
        <f>"شركت  ساخت وتوسعه راهها"</f>
        <v>شركت  ساخت وتوسعه راهها</v>
      </c>
      <c r="AB2167" s="1" t="str">
        <f>"94/11/06"</f>
        <v>94/11/06</v>
      </c>
      <c r="AC2167" s="1" t="str">
        <f>"استان تهران"</f>
        <v>استان تهران</v>
      </c>
      <c r="AD2167" s="1" t="str">
        <f>"95/02/11"</f>
        <v>95/02/11</v>
      </c>
      <c r="AE2167" s="1" t="str">
        <f t="shared" si="576"/>
        <v>اختتام</v>
      </c>
      <c r="AF2167" s="1" t="str">
        <f>""</f>
        <v/>
      </c>
      <c r="AG2167" s="1" t="str">
        <f>""</f>
        <v/>
      </c>
      <c r="AH2167" s="1" t="str">
        <f>""</f>
        <v/>
      </c>
      <c r="AI2167" s="1" t="str">
        <f>""</f>
        <v/>
      </c>
      <c r="AJ2167" s="1" t="str">
        <f>""</f>
        <v/>
      </c>
      <c r="AK2167" s="1" t="str">
        <f>""</f>
        <v/>
      </c>
    </row>
    <row r="2168" spans="1:37" x14ac:dyDescent="0.2">
      <c r="A2168" s="1">
        <v>150000</v>
      </c>
      <c r="B2168" s="1">
        <v>951400010</v>
      </c>
      <c r="C2168" s="1" t="str">
        <f>"تخليه-اصفهان-جرقويه محور نيک آباد حسن آباد-کارگاه شرکت گل راه نقش جهان"</f>
        <v>تخليه-اصفهان-جرقويه محور نيک آباد حسن آباد-کارگاه شرکت گل راه نقش جهان</v>
      </c>
      <c r="D2168" s="1">
        <v>5650</v>
      </c>
      <c r="E2168" s="1">
        <v>150000</v>
      </c>
      <c r="F2168" s="1">
        <v>95</v>
      </c>
      <c r="G2168" s="1">
        <v>0</v>
      </c>
      <c r="H2168" s="1" t="str">
        <f>"95/02/15"</f>
        <v>95/02/15</v>
      </c>
      <c r="I2168" s="1" t="str">
        <f t="shared" si="565"/>
        <v>كيلوگرم</v>
      </c>
      <c r="J2168" s="1" t="str">
        <f t="shared" si="573"/>
        <v>0000000092</v>
      </c>
      <c r="K2168" s="1" t="str">
        <f t="shared" si="574"/>
        <v>قير  PG64-16</v>
      </c>
      <c r="L2168" s="1">
        <v>100</v>
      </c>
      <c r="M2168" s="1" t="str">
        <f t="shared" si="570"/>
        <v>مخازن قير اصفهان</v>
      </c>
      <c r="N2168" s="1">
        <v>10451</v>
      </c>
      <c r="O2168" s="1">
        <v>50030738</v>
      </c>
      <c r="P2168" s="1" t="str">
        <f>"  گل راه نقش جهان"</f>
        <v xml:space="preserve">  گل راه نقش جهان</v>
      </c>
      <c r="Q2168" s="1">
        <v>14</v>
      </c>
      <c r="R2168" s="1" t="str">
        <f>"فروش داخلي - وزارت راه - حوزه راه روستايي ساخت"</f>
        <v>فروش داخلي - وزارت راه - حوزه راه روستايي ساخت</v>
      </c>
      <c r="S2168" s="1" t="str">
        <f t="shared" si="568"/>
        <v>قرارداد فروش</v>
      </c>
      <c r="T2168" s="1" t="str">
        <f t="shared" si="569"/>
        <v>ندارد</v>
      </c>
      <c r="U2168" s="1" t="str">
        <f>"اسماعيلي پور امين (1013ج89)"</f>
        <v>اسماعيلي پور امين (1013ج89)</v>
      </c>
      <c r="V2168" s="1">
        <v>951400010</v>
      </c>
      <c r="W2168" s="1">
        <v>951400010</v>
      </c>
      <c r="X2168" s="1" t="str">
        <f>"1395401960"</f>
        <v>1395401960</v>
      </c>
      <c r="Y2168" s="1" t="str">
        <f>"95/02/12"</f>
        <v>95/02/12</v>
      </c>
      <c r="Z2168" s="1" t="str">
        <f>"64042/510"</f>
        <v>64042/510</v>
      </c>
      <c r="AA2168" s="1" t="str">
        <f>"راه روستائي -روكش"</f>
        <v>راه روستائي -روكش</v>
      </c>
      <c r="AB2168" s="1" t="str">
        <f>"94/11/20"</f>
        <v>94/11/20</v>
      </c>
      <c r="AC2168" s="1" t="str">
        <f>"استان اصفهان"</f>
        <v>استان اصفهان</v>
      </c>
      <c r="AD2168" s="1" t="str">
        <f>"94/02/11"</f>
        <v>94/02/11</v>
      </c>
      <c r="AE2168" s="1" t="str">
        <f t="shared" si="576"/>
        <v>اختتام</v>
      </c>
      <c r="AF2168" s="1" t="str">
        <f>""</f>
        <v/>
      </c>
      <c r="AG2168" s="1" t="str">
        <f>""</f>
        <v/>
      </c>
      <c r="AH2168" s="1" t="str">
        <f>""</f>
        <v/>
      </c>
      <c r="AI2168" s="1" t="str">
        <f>""</f>
        <v/>
      </c>
      <c r="AJ2168" s="1" t="str">
        <f>""</f>
        <v/>
      </c>
      <c r="AK2168" s="1" t="str">
        <f>""</f>
        <v/>
      </c>
    </row>
    <row r="2169" spans="1:37" x14ac:dyDescent="0.2">
      <c r="A2169" s="1">
        <v>76000</v>
      </c>
      <c r="B2169" s="1">
        <v>951400027</v>
      </c>
      <c r="C2169" s="1" t="str">
        <f>"تخليه -خراسان رضوي كارخانه آسفالت شهرداري جغتاي واقع در5كيلومتري شهرستان جغتاي سبزوار"</f>
        <v>تخليه -خراسان رضوي كارخانه آسفالت شهرداري جغتاي واقع در5كيلومتري شهرستان جغتاي سبزوار</v>
      </c>
      <c r="D2169" s="1">
        <v>6250</v>
      </c>
      <c r="E2169" s="1">
        <v>73900</v>
      </c>
      <c r="F2169" s="1">
        <v>95</v>
      </c>
      <c r="G2169" s="1">
        <v>2100</v>
      </c>
      <c r="H2169" s="1" t="str">
        <f>"95/04/05"</f>
        <v>95/04/05</v>
      </c>
      <c r="I2169" s="1" t="str">
        <f t="shared" si="565"/>
        <v>كيلوگرم</v>
      </c>
      <c r="J2169" s="1" t="str">
        <f t="shared" si="573"/>
        <v>0000000092</v>
      </c>
      <c r="K2169" s="1" t="str">
        <f t="shared" si="574"/>
        <v>قير  PG64-16</v>
      </c>
      <c r="L2169" s="1">
        <v>100</v>
      </c>
      <c r="M2169" s="1" t="str">
        <f t="shared" si="570"/>
        <v>مخازن قير اصفهان</v>
      </c>
      <c r="N2169" s="1">
        <v>10470</v>
      </c>
      <c r="O2169" s="1">
        <v>50031108</v>
      </c>
      <c r="P2169" s="1" t="str">
        <f>"  مهندسي شايسته سازان بيهق"</f>
        <v xml:space="preserve">  مهندسي شايسته سازان بيهق</v>
      </c>
      <c r="Q2169" s="1">
        <v>14</v>
      </c>
      <c r="R2169" s="1" t="str">
        <f>"فروش داخلي - وزارت راه - حوزه راه روستايي ساخت"</f>
        <v>فروش داخلي - وزارت راه - حوزه راه روستايي ساخت</v>
      </c>
      <c r="S2169" s="1" t="str">
        <f t="shared" si="568"/>
        <v>قرارداد فروش</v>
      </c>
      <c r="T2169" s="1" t="str">
        <f t="shared" si="569"/>
        <v>ندارد</v>
      </c>
      <c r="U2169" s="1" t="str">
        <f>"حسيني سيدجواد(1841076)"</f>
        <v>حسيني سيدجواد(1841076)</v>
      </c>
      <c r="V2169" s="1">
        <v>951400027</v>
      </c>
      <c r="W2169" s="1">
        <v>951400027</v>
      </c>
      <c r="X2169" s="1" t="str">
        <f>"1395411207"</f>
        <v>1395411207</v>
      </c>
      <c r="Y2169" s="1" t="str">
        <f>"95/04/05"</f>
        <v>95/04/05</v>
      </c>
      <c r="Z2169" s="1" t="str">
        <f>"11614/510"</f>
        <v>11614/510</v>
      </c>
      <c r="AA2169" s="1" t="str">
        <f>"راه وروستايي -ساخت"</f>
        <v>راه وروستايي -ساخت</v>
      </c>
      <c r="AB2169" s="1" t="str">
        <f>"95/03/22"</f>
        <v>95/03/22</v>
      </c>
      <c r="AC2169" s="1" t="str">
        <f>"خراسان رضوي"</f>
        <v>خراسان رضوي</v>
      </c>
      <c r="AD2169" s="1" t="str">
        <f>"95/04/05"</f>
        <v>95/04/05</v>
      </c>
      <c r="AE2169" s="1" t="str">
        <f t="shared" si="576"/>
        <v>اختتام</v>
      </c>
      <c r="AF2169" s="1" t="str">
        <f>""</f>
        <v/>
      </c>
      <c r="AG2169" s="1" t="str">
        <f>""</f>
        <v/>
      </c>
      <c r="AH2169" s="1" t="str">
        <f>""</f>
        <v/>
      </c>
      <c r="AI2169" s="1" t="str">
        <f>""</f>
        <v/>
      </c>
      <c r="AJ2169" s="1" t="str">
        <f>""</f>
        <v/>
      </c>
      <c r="AK2169" s="1" t="str">
        <f>""</f>
        <v/>
      </c>
    </row>
    <row r="2170" spans="1:37" x14ac:dyDescent="0.2">
      <c r="A2170" s="1">
        <v>105740</v>
      </c>
      <c r="B2170" s="1">
        <v>951400092</v>
      </c>
      <c r="C2170" s="1" t="str">
        <f>"تخليه -لرستان -اليگودرز-شول آباد-جنب راهدارخانه -كارخانه آسفالت زيباسازان پايداراراك"</f>
        <v>تخليه -لرستان -اليگودرز-شول آباد-جنب راهدارخانه -كارخانه آسفالت زيباسازان پايداراراك</v>
      </c>
      <c r="D2170" s="1">
        <v>8323</v>
      </c>
      <c r="E2170" s="1">
        <v>104460</v>
      </c>
      <c r="F2170" s="1">
        <v>95</v>
      </c>
      <c r="G2170" s="1">
        <v>1280</v>
      </c>
      <c r="H2170" s="1" t="str">
        <f>"95/08/08"</f>
        <v>95/08/08</v>
      </c>
      <c r="I2170" s="1" t="str">
        <f t="shared" si="565"/>
        <v>كيلوگرم</v>
      </c>
      <c r="J2170" s="1" t="str">
        <f t="shared" si="573"/>
        <v>0000000092</v>
      </c>
      <c r="K2170" s="1" t="str">
        <f t="shared" si="574"/>
        <v>قير  PG64-16</v>
      </c>
      <c r="L2170" s="1">
        <v>100</v>
      </c>
      <c r="M2170" s="1" t="str">
        <f t="shared" si="570"/>
        <v>مخازن قير اصفهان</v>
      </c>
      <c r="N2170" s="1">
        <v>10507</v>
      </c>
      <c r="O2170" s="1">
        <v>50032410</v>
      </c>
      <c r="P2170" s="1" t="str">
        <f>"  زيباسازان پايداراراك"</f>
        <v xml:space="preserve">  زيباسازان پايداراراك</v>
      </c>
      <c r="Q2170" s="1">
        <v>14</v>
      </c>
      <c r="R2170" s="1" t="str">
        <f>"فروش داخلي - وزارت راه - حوزه راه روستايي ساخت"</f>
        <v>فروش داخلي - وزارت راه - حوزه راه روستايي ساخت</v>
      </c>
      <c r="S2170" s="1" t="str">
        <f t="shared" si="568"/>
        <v>قرارداد فروش</v>
      </c>
      <c r="T2170" s="1" t="str">
        <f t="shared" si="569"/>
        <v>ندارد</v>
      </c>
      <c r="U2170" s="1" t="str">
        <f>"اميري علي(2842011)"</f>
        <v>اميري علي(2842011)</v>
      </c>
      <c r="V2170" s="1">
        <v>951400092</v>
      </c>
      <c r="W2170" s="1">
        <v>951400092</v>
      </c>
      <c r="X2170" s="1" t="str">
        <f>"1395436850"</f>
        <v>1395436850</v>
      </c>
      <c r="Y2170" s="1" t="str">
        <f>"95/08/08"</f>
        <v>95/08/08</v>
      </c>
      <c r="Z2170" s="1" t="str">
        <f>"34208/510"</f>
        <v>34208/510</v>
      </c>
      <c r="AA2170" s="1" t="str">
        <f>"راه وروستايي -ساخت"</f>
        <v>راه وروستايي -ساخت</v>
      </c>
      <c r="AB2170" s="1" t="str">
        <f>"95/07/17"</f>
        <v>95/07/17</v>
      </c>
      <c r="AC2170" s="1" t="str">
        <f>"لرستان"</f>
        <v>لرستان</v>
      </c>
      <c r="AD2170" s="1" t="str">
        <f>"95/07/18"</f>
        <v>95/07/18</v>
      </c>
      <c r="AE2170" s="1" t="str">
        <f t="shared" si="576"/>
        <v>اختتام</v>
      </c>
      <c r="AF2170" s="1" t="str">
        <f>""</f>
        <v/>
      </c>
      <c r="AG2170" s="1" t="str">
        <f>""</f>
        <v/>
      </c>
      <c r="AH2170" s="1" t="str">
        <f>""</f>
        <v/>
      </c>
      <c r="AI2170" s="1" t="str">
        <f>""</f>
        <v/>
      </c>
      <c r="AJ2170" s="1" t="str">
        <f>""</f>
        <v/>
      </c>
      <c r="AK2170" s="1" t="str">
        <f>""</f>
        <v/>
      </c>
    </row>
    <row r="2171" spans="1:37" x14ac:dyDescent="0.2">
      <c r="A2171" s="1">
        <v>800000</v>
      </c>
      <c r="B2171" s="1">
        <v>951400019</v>
      </c>
      <c r="C2171" s="1" t="str">
        <f>"تخليه -لرستان -شهرستان دلفان -روستاي تنگ پري -شركت ايمن كارسمير"</f>
        <v>تخليه -لرستان -شهرستان دلفان -روستاي تنگ پري -شركت ايمن كارسمير</v>
      </c>
      <c r="D2171" s="1">
        <v>6050</v>
      </c>
      <c r="E2171" s="1">
        <v>800000</v>
      </c>
      <c r="F2171" s="1">
        <v>95</v>
      </c>
      <c r="G2171" s="1">
        <v>0</v>
      </c>
      <c r="H2171" s="1" t="str">
        <f>"95/03/26"</f>
        <v>95/03/26</v>
      </c>
      <c r="I2171" s="1" t="str">
        <f t="shared" si="565"/>
        <v>كيلوگرم</v>
      </c>
      <c r="J2171" s="1" t="str">
        <f t="shared" si="573"/>
        <v>0000000092</v>
      </c>
      <c r="K2171" s="1" t="str">
        <f t="shared" si="574"/>
        <v>قير  PG64-16</v>
      </c>
      <c r="L2171" s="1">
        <v>100</v>
      </c>
      <c r="M2171" s="1" t="str">
        <f t="shared" si="570"/>
        <v>مخازن قير اصفهان</v>
      </c>
      <c r="N2171" s="1">
        <v>10511</v>
      </c>
      <c r="O2171" s="1">
        <v>50031060</v>
      </c>
      <c r="P2171" s="1" t="str">
        <f>"  ايمن كارسمير"</f>
        <v xml:space="preserve">  ايمن كارسمير</v>
      </c>
      <c r="Q2171" s="1">
        <v>14</v>
      </c>
      <c r="R2171" s="1" t="str">
        <f>"فروش داخلي - وزارت راه - حوزه راه روستايي ساخت"</f>
        <v>فروش داخلي - وزارت راه - حوزه راه روستايي ساخت</v>
      </c>
      <c r="S2171" s="1" t="str">
        <f t="shared" si="568"/>
        <v>قرارداد فروش</v>
      </c>
      <c r="T2171" s="1" t="str">
        <f t="shared" si="569"/>
        <v>ندارد</v>
      </c>
      <c r="U2171" s="1" t="str">
        <f>"ريسماني حسن(1007ج89)"</f>
        <v>ريسماني حسن(1007ج89)</v>
      </c>
      <c r="V2171" s="1">
        <v>951400019</v>
      </c>
      <c r="W2171" s="1">
        <v>951400019</v>
      </c>
      <c r="X2171" s="1" t="str">
        <f>"1395409796"</f>
        <v>1395409796</v>
      </c>
      <c r="Y2171" s="1" t="str">
        <f>"95/03/26"</f>
        <v>95/03/26</v>
      </c>
      <c r="Z2171" s="1" t="str">
        <f>"12071/510"</f>
        <v>12071/510</v>
      </c>
      <c r="AA2171" s="1" t="str">
        <f>"راه وروستايي -ساخت"</f>
        <v>راه وروستايي -ساخت</v>
      </c>
      <c r="AB2171" s="1" t="str">
        <f>"95/03/24"</f>
        <v>95/03/24</v>
      </c>
      <c r="AC2171" s="1" t="str">
        <f>"لرستان"</f>
        <v>لرستان</v>
      </c>
      <c r="AD2171" s="1" t="str">
        <f>"95/03/26"</f>
        <v>95/03/26</v>
      </c>
      <c r="AE2171" s="1" t="str">
        <f t="shared" si="576"/>
        <v>اختتام</v>
      </c>
      <c r="AF2171" s="1" t="str">
        <f>""</f>
        <v/>
      </c>
      <c r="AG2171" s="1" t="str">
        <f>""</f>
        <v/>
      </c>
      <c r="AH2171" s="1" t="str">
        <f>""</f>
        <v/>
      </c>
      <c r="AI2171" s="1" t="str">
        <f>""</f>
        <v/>
      </c>
      <c r="AJ2171" s="1" t="str">
        <f>""</f>
        <v/>
      </c>
      <c r="AK2171" s="1" t="str">
        <f>""</f>
        <v/>
      </c>
    </row>
    <row r="2172" spans="1:37" x14ac:dyDescent="0.2">
      <c r="A2172" s="1">
        <v>1000000</v>
      </c>
      <c r="B2172" s="1">
        <v>951600067</v>
      </c>
      <c r="C2172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72" s="1">
        <v>9061</v>
      </c>
      <c r="E2172" s="1">
        <v>939740</v>
      </c>
      <c r="F2172" s="1">
        <v>95</v>
      </c>
      <c r="G2172" s="1">
        <v>60260</v>
      </c>
      <c r="H2172" s="1" t="str">
        <f>"95/10/06"</f>
        <v>95/10/06</v>
      </c>
      <c r="I2172" s="1" t="str">
        <f t="shared" si="565"/>
        <v>كيلوگرم</v>
      </c>
      <c r="J2172" s="1" t="str">
        <f t="shared" si="573"/>
        <v>0000000092</v>
      </c>
      <c r="K2172" s="1" t="str">
        <f t="shared" si="574"/>
        <v>قير  PG64-16</v>
      </c>
      <c r="L2172" s="1">
        <v>100</v>
      </c>
      <c r="M2172" s="1" t="str">
        <f t="shared" si="570"/>
        <v>مخازن قير اصفهان</v>
      </c>
      <c r="N2172" s="1">
        <v>10547</v>
      </c>
      <c r="O2172" s="1">
        <v>50033237</v>
      </c>
      <c r="P2172" s="1" t="str">
        <f>"  پي و پل جنوب"</f>
        <v xml:space="preserve">  پي و پل جنوب</v>
      </c>
      <c r="Q2172" s="1">
        <v>16</v>
      </c>
      <c r="R2172" s="1" t="str">
        <f>"فروش داخلي تهران - وزارت راه - معاونت اقتصاد"</f>
        <v>فروش داخلي تهران - وزارت راه - معاونت اقتصاد</v>
      </c>
      <c r="S2172" s="1" t="str">
        <f t="shared" si="568"/>
        <v>قرارداد فروش</v>
      </c>
      <c r="T2172" s="1" t="str">
        <f t="shared" si="569"/>
        <v>ندارد</v>
      </c>
      <c r="U2172" s="1" t="str">
        <f>"فتحي حميد(1901090)"</f>
        <v>فتحي حميد(1901090)</v>
      </c>
      <c r="V2172" s="1">
        <v>951600067</v>
      </c>
      <c r="W2172" s="1">
        <v>951600067</v>
      </c>
      <c r="X2172" s="1" t="str">
        <f>"1395454453"</f>
        <v>1395454453</v>
      </c>
      <c r="Y2172" s="1" t="str">
        <f>"95/10/06"</f>
        <v>95/10/06</v>
      </c>
      <c r="Z2172" s="1" t="str">
        <f>"46444/710"</f>
        <v>46444/710</v>
      </c>
      <c r="AA2172" s="1" t="str">
        <f>"معاونت اقتصادوزارت راه وشهرسازي"</f>
        <v>معاونت اقتصادوزارت راه وشهرسازي</v>
      </c>
      <c r="AB2172" s="1" t="str">
        <f>"95/09/23"</f>
        <v>95/09/23</v>
      </c>
      <c r="AC2172" s="1" t="str">
        <f>"جنوب کرمان"</f>
        <v>جنوب کرمان</v>
      </c>
      <c r="AD2172" s="1" t="str">
        <f>"95/10/05"</f>
        <v>95/10/05</v>
      </c>
      <c r="AE2172" s="1" t="str">
        <f t="shared" si="576"/>
        <v>اختتام</v>
      </c>
      <c r="AF2172" s="1" t="str">
        <f>""</f>
        <v/>
      </c>
      <c r="AG2172" s="1" t="str">
        <f>""</f>
        <v/>
      </c>
      <c r="AH2172" s="1" t="str">
        <f>""</f>
        <v/>
      </c>
      <c r="AI2172" s="1" t="str">
        <f>""</f>
        <v/>
      </c>
      <c r="AJ2172" s="1" t="str">
        <f>""</f>
        <v/>
      </c>
      <c r="AK2172" s="1" t="str">
        <f>""</f>
        <v/>
      </c>
    </row>
    <row r="2173" spans="1:37" x14ac:dyDescent="0.2">
      <c r="A2173" s="1">
        <v>60260</v>
      </c>
      <c r="B2173" s="1">
        <v>951600079</v>
      </c>
      <c r="C2173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73" s="1">
        <v>9511</v>
      </c>
      <c r="E2173" s="1">
        <v>59420</v>
      </c>
      <c r="F2173" s="1">
        <v>95</v>
      </c>
      <c r="G2173" s="1">
        <v>840</v>
      </c>
      <c r="H2173" s="1" t="str">
        <f>"95/11/03"</f>
        <v>95/11/03</v>
      </c>
      <c r="I2173" s="1" t="str">
        <f t="shared" si="565"/>
        <v>كيلوگرم</v>
      </c>
      <c r="J2173" s="1" t="str">
        <f t="shared" si="573"/>
        <v>0000000092</v>
      </c>
      <c r="K2173" s="1" t="str">
        <f t="shared" si="574"/>
        <v>قير  PG64-16</v>
      </c>
      <c r="L2173" s="1">
        <v>100</v>
      </c>
      <c r="M2173" s="1" t="str">
        <f t="shared" si="570"/>
        <v>مخازن قير اصفهان</v>
      </c>
      <c r="N2173" s="1">
        <v>10547</v>
      </c>
      <c r="O2173" s="1">
        <v>50033450</v>
      </c>
      <c r="P2173" s="1" t="str">
        <f>"  پي و پل جنوب"</f>
        <v xml:space="preserve">  پي و پل جنوب</v>
      </c>
      <c r="Q2173" s="1">
        <v>16</v>
      </c>
      <c r="R2173" s="1" t="str">
        <f>"فروش داخلي تهران - وزارت راه - معاونت اقتصاد"</f>
        <v>فروش داخلي تهران - وزارت راه - معاونت اقتصاد</v>
      </c>
      <c r="S2173" s="1" t="str">
        <f t="shared" si="568"/>
        <v>قرارداد فروش</v>
      </c>
      <c r="T2173" s="1" t="str">
        <f t="shared" si="569"/>
        <v>ندارد</v>
      </c>
      <c r="U2173" s="1" t="str">
        <f>"فتحي حميد(1901090)"</f>
        <v>فتحي حميد(1901090)</v>
      </c>
      <c r="V2173" s="1">
        <v>951600079</v>
      </c>
      <c r="W2173" s="1">
        <v>951600079</v>
      </c>
      <c r="X2173" s="1" t="str">
        <f>"1395454453"</f>
        <v>1395454453</v>
      </c>
      <c r="Y2173" s="1" t="str">
        <f>"95/11/03"</f>
        <v>95/11/03</v>
      </c>
      <c r="Z2173" s="1" t="str">
        <f>"46444/710"</f>
        <v>46444/710</v>
      </c>
      <c r="AA2173" s="1" t="str">
        <f>"معاونت اقتصادوزارت راه وشهرسازي"</f>
        <v>معاونت اقتصادوزارت راه وشهرسازي</v>
      </c>
      <c r="AB2173" s="1" t="str">
        <f>"95/09/23"</f>
        <v>95/09/23</v>
      </c>
      <c r="AC2173" s="1" t="str">
        <f>"جنوب کرمان"</f>
        <v>جنوب کرمان</v>
      </c>
      <c r="AD2173" s="1" t="str">
        <f>"95/10/05"</f>
        <v>95/10/05</v>
      </c>
      <c r="AE2173" s="1" t="str">
        <f t="shared" si="576"/>
        <v>اختتام</v>
      </c>
      <c r="AF2173" s="1" t="str">
        <f>""</f>
        <v/>
      </c>
      <c r="AG2173" s="1" t="str">
        <f>""</f>
        <v/>
      </c>
      <c r="AH2173" s="1" t="str">
        <f>""</f>
        <v/>
      </c>
      <c r="AI2173" s="1" t="str">
        <f>""</f>
        <v/>
      </c>
      <c r="AJ2173" s="1" t="str">
        <f>""</f>
        <v/>
      </c>
      <c r="AK2173" s="1" t="str">
        <f>""</f>
        <v/>
      </c>
    </row>
    <row r="2174" spans="1:37" x14ac:dyDescent="0.2">
      <c r="A2174" s="1">
        <v>200000</v>
      </c>
      <c r="B2174" s="1">
        <v>951900258</v>
      </c>
      <c r="C2174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74" s="1">
        <v>9511</v>
      </c>
      <c r="E2174" s="1">
        <v>200000</v>
      </c>
      <c r="F2174" s="1">
        <v>95</v>
      </c>
      <c r="G2174" s="1">
        <v>0</v>
      </c>
      <c r="H2174" s="1" t="str">
        <f>"95/11/04"</f>
        <v>95/11/04</v>
      </c>
      <c r="I2174" s="1" t="str">
        <f t="shared" si="565"/>
        <v>كيلوگرم</v>
      </c>
      <c r="J2174" s="1" t="str">
        <f t="shared" si="573"/>
        <v>0000000092</v>
      </c>
      <c r="K2174" s="1" t="str">
        <f t="shared" si="574"/>
        <v>قير  PG64-16</v>
      </c>
      <c r="L2174" s="1">
        <v>100</v>
      </c>
      <c r="M2174" s="1" t="str">
        <f t="shared" si="570"/>
        <v>مخازن قير اصفهان</v>
      </c>
      <c r="N2174" s="1">
        <v>10547</v>
      </c>
      <c r="O2174" s="1">
        <v>50033500</v>
      </c>
      <c r="P2174" s="1" t="str">
        <f>"  پي و پل جنوب"</f>
        <v xml:space="preserve">  پي و پل جنوب</v>
      </c>
      <c r="Q2174" s="1">
        <v>19</v>
      </c>
      <c r="R217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74" s="1" t="str">
        <f t="shared" si="568"/>
        <v>قرارداد فروش</v>
      </c>
      <c r="T2174" s="1" t="str">
        <f t="shared" si="569"/>
        <v>ندارد</v>
      </c>
      <c r="U2174" s="1" t="str">
        <f>"قره باغي مجيد(1871065)"</f>
        <v>قره باغي مجيد(1871065)</v>
      </c>
      <c r="V2174" s="1">
        <v>951900258</v>
      </c>
      <c r="W2174" s="1">
        <v>951900258</v>
      </c>
      <c r="X2174" s="1" t="str">
        <f>"1395460244"</f>
        <v>1395460244</v>
      </c>
      <c r="Y2174" s="1" t="str">
        <f>"95/11/04"</f>
        <v>95/11/04</v>
      </c>
      <c r="Z2174" s="1" t="str">
        <f>"53178/710"</f>
        <v>53178/710</v>
      </c>
      <c r="AA2174" s="1" t="str">
        <f>"سازمان راهداري وحمل نقل جاده اي"</f>
        <v>سازمان راهداري وحمل نقل جاده اي</v>
      </c>
      <c r="AB2174" s="1" t="str">
        <f>"95/10/26"</f>
        <v>95/10/26</v>
      </c>
      <c r="AC2174" s="1" t="str">
        <f>"جنوب کرمان"</f>
        <v>جنوب کرمان</v>
      </c>
      <c r="AD2174" s="1" t="str">
        <f>"95/11/04"</f>
        <v>95/11/04</v>
      </c>
      <c r="AE2174" s="1" t="str">
        <f t="shared" si="576"/>
        <v>اختتام</v>
      </c>
      <c r="AF2174" s="1" t="str">
        <f>""</f>
        <v/>
      </c>
      <c r="AG2174" s="1" t="str">
        <f>""</f>
        <v/>
      </c>
      <c r="AH2174" s="1" t="str">
        <f>""</f>
        <v/>
      </c>
      <c r="AI2174" s="1" t="str">
        <f>""</f>
        <v/>
      </c>
      <c r="AJ2174" s="1" t="str">
        <f>""</f>
        <v/>
      </c>
      <c r="AK2174" s="1" t="str">
        <f>""</f>
        <v/>
      </c>
    </row>
    <row r="2175" spans="1:37" x14ac:dyDescent="0.2">
      <c r="A2175" s="1">
        <v>126920</v>
      </c>
      <c r="B2175" s="1">
        <v>951400100</v>
      </c>
      <c r="C2175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2175" s="1">
        <v>9061</v>
      </c>
      <c r="E2175" s="1">
        <v>125840</v>
      </c>
      <c r="F2175" s="1">
        <v>95</v>
      </c>
      <c r="G2175" s="1">
        <v>1080</v>
      </c>
      <c r="H2175" s="1" t="str">
        <f>"95/10/02"</f>
        <v>95/10/02</v>
      </c>
      <c r="I2175" s="1" t="str">
        <f t="shared" si="565"/>
        <v>كيلوگرم</v>
      </c>
      <c r="J2175" s="1" t="str">
        <f t="shared" si="573"/>
        <v>0000000092</v>
      </c>
      <c r="K2175" s="1" t="str">
        <f t="shared" si="574"/>
        <v>قير  PG64-16</v>
      </c>
      <c r="L2175" s="1">
        <v>100</v>
      </c>
      <c r="M2175" s="1" t="str">
        <f t="shared" si="570"/>
        <v>مخازن قير اصفهان</v>
      </c>
      <c r="N2175" s="1">
        <v>10717</v>
      </c>
      <c r="O2175" s="1">
        <v>50033226</v>
      </c>
      <c r="P2175" s="1" t="str">
        <f>"  تعاوني نگين صحت جيرفت"</f>
        <v xml:space="preserve">  تعاوني نگين صحت جيرفت</v>
      </c>
      <c r="Q2175" s="1">
        <v>14</v>
      </c>
      <c r="R2175" s="1" t="str">
        <f>"فروش داخلي - وزارت راه - حوزه راه روستايي ساخت"</f>
        <v>فروش داخلي - وزارت راه - حوزه راه روستايي ساخت</v>
      </c>
      <c r="S2175" s="1" t="str">
        <f t="shared" si="568"/>
        <v>قرارداد فروش</v>
      </c>
      <c r="T2175" s="1" t="str">
        <f t="shared" si="569"/>
        <v>ندارد</v>
      </c>
      <c r="U2175" s="1" t="str">
        <f>"دشت بشي پودنگ وبرادران رضا(4844014)"</f>
        <v>دشت بشي پودنگ وبرادران رضا(4844014)</v>
      </c>
      <c r="V2175" s="1">
        <v>951400100</v>
      </c>
      <c r="W2175" s="1">
        <v>951400100</v>
      </c>
      <c r="X2175" s="1" t="str">
        <f>"1395451389"</f>
        <v>1395451389</v>
      </c>
      <c r="Y2175" s="1" t="str">
        <f>"95/10/02"</f>
        <v>95/10/02</v>
      </c>
      <c r="Z2175" s="1" t="str">
        <f>"45722/710"</f>
        <v>45722/710</v>
      </c>
      <c r="AA2175" s="1" t="str">
        <f>"راه وروستايي -ساخت"</f>
        <v>راه وروستايي -ساخت</v>
      </c>
      <c r="AB2175" s="1" t="str">
        <f>"95/09/21"</f>
        <v>95/09/21</v>
      </c>
      <c r="AC2175" s="1" t="str">
        <f>"جنوب کرمان"</f>
        <v>جنوب کرمان</v>
      </c>
      <c r="AD2175" s="1" t="str">
        <f>"95/09/22"</f>
        <v>95/09/22</v>
      </c>
      <c r="AE2175" s="1" t="str">
        <f t="shared" si="576"/>
        <v>اختتام</v>
      </c>
      <c r="AF2175" s="1" t="str">
        <f>""</f>
        <v/>
      </c>
      <c r="AG2175" s="1" t="str">
        <f>""</f>
        <v/>
      </c>
      <c r="AH2175" s="1" t="str">
        <f>""</f>
        <v/>
      </c>
      <c r="AI2175" s="1" t="str">
        <f>""</f>
        <v/>
      </c>
      <c r="AJ2175" s="1" t="str">
        <f>""</f>
        <v/>
      </c>
      <c r="AK2175" s="1" t="str">
        <f>""</f>
        <v/>
      </c>
    </row>
    <row r="2176" spans="1:37" x14ac:dyDescent="0.2">
      <c r="A2176" s="1">
        <v>104860</v>
      </c>
      <c r="B2176" s="1">
        <v>951600082</v>
      </c>
      <c r="C2176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2176" s="1">
        <v>8998</v>
      </c>
      <c r="E2176" s="1">
        <v>104860</v>
      </c>
      <c r="F2176" s="1">
        <v>95</v>
      </c>
      <c r="G2176" s="1">
        <v>0</v>
      </c>
      <c r="H2176" s="1" t="str">
        <f>"95/11/03"</f>
        <v>95/11/03</v>
      </c>
      <c r="I2176" s="1" t="str">
        <f t="shared" si="565"/>
        <v>كيلوگرم</v>
      </c>
      <c r="J2176" s="1" t="str">
        <f t="shared" si="573"/>
        <v>0000000092</v>
      </c>
      <c r="K2176" s="1" t="str">
        <f t="shared" si="574"/>
        <v>قير  PG64-16</v>
      </c>
      <c r="L2176" s="1">
        <v>100</v>
      </c>
      <c r="M2176" s="1" t="str">
        <f t="shared" si="570"/>
        <v>مخازن قير اصفهان</v>
      </c>
      <c r="N2176" s="1">
        <v>11038</v>
      </c>
      <c r="O2176" s="1">
        <v>50033453</v>
      </c>
      <c r="P2176" s="1" t="str">
        <f>"  پل پي ساحل"</f>
        <v xml:space="preserve">  پل پي ساحل</v>
      </c>
      <c r="Q2176" s="1">
        <v>16</v>
      </c>
      <c r="R2176" s="1" t="str">
        <f>"فروش داخلي تهران - وزارت راه - معاونت اقتصاد"</f>
        <v>فروش داخلي تهران - وزارت راه - معاونت اقتصاد</v>
      </c>
      <c r="S2176" s="1" t="str">
        <f t="shared" si="568"/>
        <v>قرارداد فروش</v>
      </c>
      <c r="T2176" s="1" t="str">
        <f t="shared" si="569"/>
        <v>ندارد</v>
      </c>
      <c r="U2176" s="1" t="str">
        <f>"حاصليان ترابرجنوب مرتضي حاصلي (4844006)"</f>
        <v>حاصليان ترابرجنوب مرتضي حاصلي (4844006)</v>
      </c>
      <c r="V2176" s="1">
        <v>951600082</v>
      </c>
      <c r="W2176" s="1">
        <v>951600082</v>
      </c>
      <c r="X2176" s="1" t="str">
        <f>"1395457297"</f>
        <v>1395457297</v>
      </c>
      <c r="Y2176" s="1" t="str">
        <f>"95/11/03"</f>
        <v>95/11/03</v>
      </c>
      <c r="Z2176" s="1" t="str">
        <f>"50330/710"</f>
        <v>50330/710</v>
      </c>
      <c r="AA2176" s="1" t="str">
        <f>"معاونت اقتصادوزارت راه وشهرسازي"</f>
        <v>معاونت اقتصادوزارت راه وشهرسازي</v>
      </c>
      <c r="AB2176" s="1" t="str">
        <f>"95/10/13"</f>
        <v>95/10/13</v>
      </c>
      <c r="AC2176" s="1" t="str">
        <f>"استان هرمزگان"</f>
        <v>استان هرمزگان</v>
      </c>
      <c r="AD2176" s="1" t="str">
        <f>"95/10/15"</f>
        <v>95/10/15</v>
      </c>
      <c r="AE2176" s="1" t="str">
        <f t="shared" si="576"/>
        <v>اختتام</v>
      </c>
      <c r="AF2176" s="1" t="str">
        <f>""</f>
        <v/>
      </c>
      <c r="AG2176" s="1" t="str">
        <f>""</f>
        <v/>
      </c>
      <c r="AH2176" s="1" t="str">
        <f>""</f>
        <v/>
      </c>
      <c r="AI2176" s="1" t="str">
        <f>""</f>
        <v/>
      </c>
      <c r="AJ2176" s="1" t="str">
        <f>""</f>
        <v/>
      </c>
      <c r="AK2176" s="1" t="str">
        <f>""</f>
        <v/>
      </c>
    </row>
    <row r="2177" spans="1:37" x14ac:dyDescent="0.2">
      <c r="A2177" s="1">
        <v>200000</v>
      </c>
      <c r="B2177" s="1">
        <v>951900134</v>
      </c>
      <c r="C2177" s="1" t="str">
        <f>"تخليه شركت زرين سپاهان  اصفهان"</f>
        <v>تخليه شركت زرين سپاهان  اصفهان</v>
      </c>
      <c r="D2177" s="1">
        <v>7176</v>
      </c>
      <c r="E2177" s="1">
        <v>199280</v>
      </c>
      <c r="F2177" s="1">
        <v>95</v>
      </c>
      <c r="G2177" s="1">
        <v>720</v>
      </c>
      <c r="H2177" s="1" t="str">
        <f>"95/06/04"</f>
        <v>95/06/04</v>
      </c>
      <c r="I2177" s="1" t="str">
        <f t="shared" si="565"/>
        <v>كيلوگرم</v>
      </c>
      <c r="J2177" s="1" t="str">
        <f t="shared" si="573"/>
        <v>0000000092</v>
      </c>
      <c r="K2177" s="1" t="str">
        <f t="shared" si="574"/>
        <v>قير  PG64-16</v>
      </c>
      <c r="L2177" s="1">
        <v>100</v>
      </c>
      <c r="M2177" s="1" t="str">
        <f t="shared" si="570"/>
        <v>مخازن قير اصفهان</v>
      </c>
      <c r="N2177" s="1">
        <v>11066</v>
      </c>
      <c r="O2177" s="1">
        <v>50031644</v>
      </c>
      <c r="P2177" s="1" t="str">
        <f>"  برج سازان شاهوار"</f>
        <v xml:space="preserve">  برج سازان شاهوار</v>
      </c>
      <c r="Q2177" s="1">
        <v>19</v>
      </c>
      <c r="R217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77" s="1" t="str">
        <f t="shared" si="568"/>
        <v>قرارداد فروش</v>
      </c>
      <c r="T2177" s="1" t="str">
        <f t="shared" si="569"/>
        <v>ندارد</v>
      </c>
      <c r="U2177" s="1" t="str">
        <f>"حاصليان ترابرجنوب مرتضي حاصلي (4844006)"</f>
        <v>حاصليان ترابرجنوب مرتضي حاصلي (4844006)</v>
      </c>
      <c r="V2177" s="1">
        <v>951900134</v>
      </c>
      <c r="W2177" s="1">
        <v>951900134</v>
      </c>
      <c r="X2177" s="1" t="str">
        <f>"1395426702"</f>
        <v>1395426702</v>
      </c>
      <c r="Y2177" s="1" t="str">
        <f>"95/06/04"</f>
        <v>95/06/04</v>
      </c>
      <c r="Z2177" s="1" t="str">
        <f>"23521/510"</f>
        <v>23521/510</v>
      </c>
      <c r="AA2177" s="1" t="str">
        <f>"سازمان راهداري وحمل نقل جاده اي"</f>
        <v>سازمان راهداري وحمل نقل جاده اي</v>
      </c>
      <c r="AB2177" s="1" t="str">
        <f>"95/05/24"</f>
        <v>95/05/24</v>
      </c>
      <c r="AC2177" s="1" t="str">
        <f>"استان كرمان"</f>
        <v>استان كرمان</v>
      </c>
      <c r="AD2177" s="1" t="str">
        <f>"95/06/03"</f>
        <v>95/06/03</v>
      </c>
      <c r="AE2177" s="1" t="str">
        <f t="shared" si="576"/>
        <v>اختتام</v>
      </c>
      <c r="AF2177" s="1" t="str">
        <f>""</f>
        <v/>
      </c>
      <c r="AG2177" s="1" t="str">
        <f>""</f>
        <v/>
      </c>
      <c r="AH2177" s="1" t="str">
        <f>""</f>
        <v/>
      </c>
      <c r="AI2177" s="1" t="str">
        <f>""</f>
        <v/>
      </c>
      <c r="AJ2177" s="1" t="str">
        <f>""</f>
        <v/>
      </c>
      <c r="AK2177" s="1" t="str">
        <f>""</f>
        <v/>
      </c>
    </row>
    <row r="2178" spans="1:37" x14ac:dyDescent="0.2">
      <c r="A2178" s="1">
        <v>350000</v>
      </c>
      <c r="B2178" s="1">
        <v>951900317</v>
      </c>
      <c r="C2178" s="1" t="str">
        <f>"تخليه كرمان محوركوهپايه كارخانه آسفالت شركت برج سازان شاهوار"</f>
        <v>تخليه كرمان محوركوهپايه كارخانه آسفالت شركت برج سازان شاهوار</v>
      </c>
      <c r="D2178" s="1">
        <v>8348</v>
      </c>
      <c r="E2178" s="1">
        <v>348160</v>
      </c>
      <c r="F2178" s="1">
        <v>95</v>
      </c>
      <c r="G2178" s="1">
        <v>1840</v>
      </c>
      <c r="H2178" s="1" t="str">
        <f>"95/12/25"</f>
        <v>95/12/25</v>
      </c>
      <c r="I2178" s="1" t="str">
        <f t="shared" ref="I2178:I2220" si="577">"كيلوگرم"</f>
        <v>كيلوگرم</v>
      </c>
      <c r="J2178" s="1" t="str">
        <f t="shared" si="573"/>
        <v>0000000092</v>
      </c>
      <c r="K2178" s="1" t="str">
        <f t="shared" si="574"/>
        <v>قير  PG64-16</v>
      </c>
      <c r="L2178" s="1">
        <v>100</v>
      </c>
      <c r="M2178" s="1" t="str">
        <f t="shared" si="570"/>
        <v>مخازن قير اصفهان</v>
      </c>
      <c r="N2178" s="1">
        <v>11066</v>
      </c>
      <c r="O2178" s="1">
        <v>50034266</v>
      </c>
      <c r="P2178" s="1" t="str">
        <f>"  برج سازان شاهوار"</f>
        <v xml:space="preserve">  برج سازان شاهوار</v>
      </c>
      <c r="Q2178" s="1">
        <v>19</v>
      </c>
      <c r="R21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78" s="1" t="str">
        <f t="shared" ref="S2178:S2220" si="578">"قرارداد فروش"</f>
        <v>قرارداد فروش</v>
      </c>
      <c r="T2178" s="1" t="str">
        <f t="shared" ref="T2178:T2220" si="579">"ندارد"</f>
        <v>ندارد</v>
      </c>
      <c r="U2178" s="1" t="str">
        <f>"حاصليان ترابرجنوب مرتضي حاصلي (4844006)"</f>
        <v>حاصليان ترابرجنوب مرتضي حاصلي (4844006)</v>
      </c>
      <c r="V2178" s="1">
        <v>951900317</v>
      </c>
      <c r="W2178" s="1">
        <v>951900317</v>
      </c>
      <c r="X2178" s="1" t="str">
        <f>"1395470944"</f>
        <v>1395470944</v>
      </c>
      <c r="Y2178" s="1" t="str">
        <f>"95/12/25"</f>
        <v>95/12/25</v>
      </c>
      <c r="Z2178" s="1" t="str">
        <f>"65490/710"</f>
        <v>65490/710</v>
      </c>
      <c r="AA2178" s="1" t="str">
        <f>"سازمان راهداري وحمل نقل جاده اي"</f>
        <v>سازمان راهداري وحمل نقل جاده اي</v>
      </c>
      <c r="AB2178" s="1" t="str">
        <f>"95/12/21"</f>
        <v>95/12/21</v>
      </c>
      <c r="AC2178" s="1" t="str">
        <f>"استان كرمان"</f>
        <v>استان كرمان</v>
      </c>
      <c r="AD2178" s="1" t="str">
        <f>"95/12/24"</f>
        <v>95/12/24</v>
      </c>
      <c r="AE2178" s="1" t="str">
        <f t="shared" si="576"/>
        <v>اختتام</v>
      </c>
      <c r="AF2178" s="1" t="str">
        <f>""</f>
        <v/>
      </c>
      <c r="AG2178" s="1" t="str">
        <f>""</f>
        <v/>
      </c>
      <c r="AH2178" s="1" t="str">
        <f>""</f>
        <v/>
      </c>
      <c r="AI2178" s="1" t="str">
        <f>""</f>
        <v/>
      </c>
      <c r="AJ2178" s="1" t="str">
        <f>""</f>
        <v/>
      </c>
      <c r="AK2178" s="1" t="str">
        <f>""</f>
        <v/>
      </c>
    </row>
    <row r="2179" spans="1:37" x14ac:dyDescent="0.2">
      <c r="A2179" s="1">
        <v>918000</v>
      </c>
      <c r="B2179" s="1">
        <v>956100024</v>
      </c>
      <c r="C2179" s="1" t="str">
        <f>"تخليه - اصفهان - فولادشهر-کيلومتر 7 اتوبان شهيد کاظمي-مقابل مسکن مهر فولاد شهر"</f>
        <v>تخليه - اصفهان - فولادشهر-کيلومتر 7 اتوبان شهيد کاظمي-مقابل مسکن مهر فولاد شهر</v>
      </c>
      <c r="D2179" s="1">
        <v>8348</v>
      </c>
      <c r="E2179" s="1">
        <v>916780</v>
      </c>
      <c r="F2179" s="1">
        <v>95</v>
      </c>
      <c r="G2179" s="1">
        <v>1220</v>
      </c>
      <c r="H2179" s="1" t="str">
        <f>"95/12/14"</f>
        <v>95/12/14</v>
      </c>
      <c r="I2179" s="1" t="str">
        <f t="shared" si="577"/>
        <v>كيلوگرم</v>
      </c>
      <c r="J2179" s="1" t="str">
        <f t="shared" si="573"/>
        <v>0000000092</v>
      </c>
      <c r="K2179" s="1" t="str">
        <f t="shared" si="574"/>
        <v>قير  PG64-16</v>
      </c>
      <c r="L2179" s="1">
        <v>100</v>
      </c>
      <c r="M2179" s="1" t="str">
        <f t="shared" si="570"/>
        <v>مخازن قير اصفهان</v>
      </c>
      <c r="N2179" s="1">
        <v>11282</v>
      </c>
      <c r="O2179" s="1">
        <v>50033990</v>
      </c>
      <c r="P2179" s="1" t="str">
        <f>"  نمابتن مهاب"</f>
        <v xml:space="preserve">  نمابتن مهاب</v>
      </c>
      <c r="Q2179" s="1">
        <v>61</v>
      </c>
      <c r="R2179" s="1" t="str">
        <f>"فروش داخلي - وزارت راه - مسكن مهر"</f>
        <v>فروش داخلي - وزارت راه - مسكن مهر</v>
      </c>
      <c r="S2179" s="1" t="str">
        <f t="shared" si="578"/>
        <v>قرارداد فروش</v>
      </c>
      <c r="T2179" s="1" t="str">
        <f t="shared" si="579"/>
        <v>ندارد</v>
      </c>
      <c r="U2179" s="1" t="str">
        <f>"سيفي پور عبدالمجيد(1009ج89)"</f>
        <v>سيفي پور عبدالمجيد(1009ج89)</v>
      </c>
      <c r="V2179" s="1">
        <v>956100024</v>
      </c>
      <c r="W2179" s="1">
        <v>956100024</v>
      </c>
      <c r="X2179" s="1" t="str">
        <f>"1395467971"</f>
        <v>1395467971</v>
      </c>
      <c r="Y2179" s="1" t="str">
        <f>"95/12/14"</f>
        <v>95/12/14</v>
      </c>
      <c r="Z2179" s="1" t="str">
        <f>"60169/710"</f>
        <v>60169/710</v>
      </c>
      <c r="AA2179" s="1" t="str">
        <f>"مسكن مهر-وزارت راه"</f>
        <v>مسكن مهر-وزارت راه</v>
      </c>
      <c r="AB2179" s="1" t="str">
        <f>"95/11/30"</f>
        <v>95/11/30</v>
      </c>
      <c r="AC2179" s="1" t="str">
        <f>"استان اصفهان"</f>
        <v>استان اصفهان</v>
      </c>
      <c r="AD2179" s="1" t="str">
        <f>"95/12/09"</f>
        <v>95/12/09</v>
      </c>
      <c r="AE2179" s="1" t="str">
        <f t="shared" si="576"/>
        <v>اختتام</v>
      </c>
      <c r="AF2179" s="1" t="str">
        <f>""</f>
        <v/>
      </c>
      <c r="AG2179" s="1" t="str">
        <f>""</f>
        <v/>
      </c>
      <c r="AH2179" s="1" t="str">
        <f>""</f>
        <v/>
      </c>
      <c r="AI2179" s="1" t="str">
        <f>""</f>
        <v/>
      </c>
      <c r="AJ2179" s="1" t="str">
        <f>""</f>
        <v/>
      </c>
      <c r="AK2179" s="1" t="str">
        <f>""</f>
        <v/>
      </c>
    </row>
    <row r="2180" spans="1:37" x14ac:dyDescent="0.2">
      <c r="A2180" s="1">
        <v>400000</v>
      </c>
      <c r="B2180" s="1">
        <v>951900320</v>
      </c>
      <c r="C2180" s="1" t="str">
        <f>"تخليه ايرانشهركارخانه آسفالت شركت مهام بناي آروين"</f>
        <v>تخليه ايرانشهركارخانه آسفالت شركت مهام بناي آروين</v>
      </c>
      <c r="D2180" s="1">
        <v>9068</v>
      </c>
      <c r="E2180" s="1">
        <v>400000</v>
      </c>
      <c r="F2180" s="1">
        <v>95</v>
      </c>
      <c r="G2180" s="1">
        <v>0</v>
      </c>
      <c r="H2180" s="1" t="str">
        <f>"95/12/26"</f>
        <v>95/12/26</v>
      </c>
      <c r="I2180" s="1" t="str">
        <f t="shared" si="577"/>
        <v>كيلوگرم</v>
      </c>
      <c r="J2180" s="1" t="str">
        <f t="shared" si="573"/>
        <v>0000000092</v>
      </c>
      <c r="K2180" s="1" t="str">
        <f t="shared" si="574"/>
        <v>قير  PG64-16</v>
      </c>
      <c r="L2180" s="1">
        <v>100</v>
      </c>
      <c r="M2180" s="1" t="str">
        <f t="shared" si="570"/>
        <v>مخازن قير اصفهان</v>
      </c>
      <c r="N2180" s="1">
        <v>11315</v>
      </c>
      <c r="O2180" s="1">
        <v>50034272</v>
      </c>
      <c r="P2180" s="1" t="str">
        <f>"  مهام بناي آروين"</f>
        <v xml:space="preserve">  مهام بناي آروين</v>
      </c>
      <c r="Q2180" s="1">
        <v>19</v>
      </c>
      <c r="R21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80" s="1" t="str">
        <f t="shared" si="578"/>
        <v>قرارداد فروش</v>
      </c>
      <c r="T2180" s="1" t="str">
        <f t="shared" si="579"/>
        <v>ندارد</v>
      </c>
      <c r="U2180" s="1" t="str">
        <f>"پورباقري ترابر (4914036)"</f>
        <v>پورباقري ترابر (4914036)</v>
      </c>
      <c r="V2180" s="1">
        <v>951900320</v>
      </c>
      <c r="W2180" s="1">
        <v>951900320</v>
      </c>
      <c r="X2180" s="1" t="str">
        <f>"1395471041"</f>
        <v>1395471041</v>
      </c>
      <c r="Y2180" s="1" t="str">
        <f>"95/12/26"</f>
        <v>95/12/26</v>
      </c>
      <c r="Z2180" s="1" t="str">
        <f>"66007/710"</f>
        <v>66007/710</v>
      </c>
      <c r="AA2180" s="1" t="str">
        <f>"سازمان راهداري وحمل نقل جاده اي"</f>
        <v>سازمان راهداري وحمل نقل جاده اي</v>
      </c>
      <c r="AB2180" s="1" t="str">
        <f>"95/12/23"</f>
        <v>95/12/23</v>
      </c>
      <c r="AC2180" s="1" t="str">
        <f>"ايرانشهر"</f>
        <v>ايرانشهر</v>
      </c>
      <c r="AD2180" s="1" t="str">
        <f>"95/12/25"</f>
        <v>95/12/25</v>
      </c>
      <c r="AE2180" s="1" t="str">
        <f t="shared" si="576"/>
        <v>اختتام</v>
      </c>
      <c r="AF2180" s="1" t="str">
        <f>""</f>
        <v/>
      </c>
      <c r="AG2180" s="1" t="str">
        <f>""</f>
        <v/>
      </c>
      <c r="AH2180" s="1" t="str">
        <f>""</f>
        <v/>
      </c>
      <c r="AI2180" s="1" t="str">
        <f>""</f>
        <v/>
      </c>
      <c r="AJ2180" s="1" t="str">
        <f>""</f>
        <v/>
      </c>
      <c r="AK2180" s="1" t="str">
        <f>""</f>
        <v/>
      </c>
    </row>
    <row r="2181" spans="1:37" x14ac:dyDescent="0.2">
      <c r="A2181" s="1">
        <v>700000</v>
      </c>
      <c r="B2181" s="1">
        <v>951800044</v>
      </c>
      <c r="C2181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2181" s="1">
        <v>6726</v>
      </c>
      <c r="E2181" s="1">
        <v>698900</v>
      </c>
      <c r="F2181" s="1">
        <v>95</v>
      </c>
      <c r="G2181" s="1">
        <v>1100</v>
      </c>
      <c r="H2181" s="1" t="str">
        <f>"95/05/18"</f>
        <v>95/05/18</v>
      </c>
      <c r="I2181" s="1" t="str">
        <f t="shared" si="577"/>
        <v>كيلوگرم</v>
      </c>
      <c r="J2181" s="1" t="str">
        <f t="shared" ref="J2181:J2188" si="580">"0000000093"</f>
        <v>0000000093</v>
      </c>
      <c r="K2181" s="1" t="str">
        <f t="shared" ref="K2181:K2188" si="581">"قير  PG64-10"</f>
        <v>قير  PG64-10</v>
      </c>
      <c r="L2181" s="1">
        <v>100</v>
      </c>
      <c r="M2181" s="1" t="str">
        <f t="shared" si="570"/>
        <v>مخازن قير اصفهان</v>
      </c>
      <c r="N2181" s="1">
        <v>1665</v>
      </c>
      <c r="O2181" s="1">
        <v>50031466</v>
      </c>
      <c r="P2181" s="1" t="str">
        <f>"  جهاد نصر يزد"</f>
        <v xml:space="preserve">  جهاد نصر يزد</v>
      </c>
      <c r="Q2181" s="1">
        <v>18</v>
      </c>
      <c r="R2181" s="1" t="str">
        <f>"فروش داخلي تهران - وزارت راه - شرکت ساخت و توسعه راهها"</f>
        <v>فروش داخلي تهران - وزارت راه - شرکت ساخت و توسعه راهها</v>
      </c>
      <c r="S2181" s="1" t="str">
        <f t="shared" si="578"/>
        <v>قرارداد فروش</v>
      </c>
      <c r="T2181" s="1" t="str">
        <f t="shared" si="579"/>
        <v>ندارد</v>
      </c>
      <c r="U2181" s="1" t="str">
        <f>"غلام نجفي سيامك‌‌‌‌‌‌(1881082)"</f>
        <v>غلام نجفي سيامك‌‌‌‌‌‌(1881082)</v>
      </c>
      <c r="V2181" s="1">
        <v>951800044</v>
      </c>
      <c r="W2181" s="1">
        <v>951800044</v>
      </c>
      <c r="X2181" s="1" t="str">
        <f>"1395421749"</f>
        <v>1395421749</v>
      </c>
      <c r="Y2181" s="1" t="str">
        <f>"95/05/18"</f>
        <v>95/05/18</v>
      </c>
      <c r="Z2181" s="1" t="str">
        <f>"21141/510"</f>
        <v>21141/510</v>
      </c>
      <c r="AA2181" s="1" t="str">
        <f>"شركت  ساخت وتوسعه راهها"</f>
        <v>شركت  ساخت وتوسعه راهها</v>
      </c>
      <c r="AB2181" s="1" t="str">
        <f>"95/05/12"</f>
        <v>95/05/12</v>
      </c>
      <c r="AC2181" s="1" t="str">
        <f>"استان گلستان"</f>
        <v>استان گلستان</v>
      </c>
      <c r="AD2181" s="1" t="str">
        <f>"95/05/17"</f>
        <v>95/05/17</v>
      </c>
      <c r="AE2181" s="1" t="str">
        <f t="shared" si="576"/>
        <v>اختتام</v>
      </c>
      <c r="AF2181" s="1" t="str">
        <f>""</f>
        <v/>
      </c>
      <c r="AG2181" s="1" t="str">
        <f>""</f>
        <v/>
      </c>
      <c r="AH2181" s="1" t="str">
        <f>""</f>
        <v/>
      </c>
      <c r="AI2181" s="1" t="str">
        <f>""</f>
        <v/>
      </c>
      <c r="AJ2181" s="1" t="str">
        <f>""</f>
        <v/>
      </c>
      <c r="AK2181" s="1" t="str">
        <f>""</f>
        <v/>
      </c>
    </row>
    <row r="2182" spans="1:37" x14ac:dyDescent="0.2">
      <c r="A2182" s="1">
        <v>420000</v>
      </c>
      <c r="B2182" s="1">
        <v>951900314</v>
      </c>
      <c r="C2182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2182" s="1">
        <v>9068</v>
      </c>
      <c r="E2182" s="1">
        <v>419060</v>
      </c>
      <c r="F2182" s="1">
        <v>95</v>
      </c>
      <c r="G2182" s="1">
        <v>940</v>
      </c>
      <c r="H2182" s="1" t="str">
        <f>"95/12/25"</f>
        <v>95/12/25</v>
      </c>
      <c r="I2182" s="1" t="str">
        <f t="shared" si="577"/>
        <v>كيلوگرم</v>
      </c>
      <c r="J2182" s="1" t="str">
        <f t="shared" si="580"/>
        <v>0000000093</v>
      </c>
      <c r="K2182" s="1" t="str">
        <f t="shared" si="581"/>
        <v>قير  PG64-10</v>
      </c>
      <c r="L2182" s="1">
        <v>100</v>
      </c>
      <c r="M2182" s="1" t="str">
        <f t="shared" si="570"/>
        <v>مخازن قير اصفهان</v>
      </c>
      <c r="N2182" s="1">
        <v>7140</v>
      </c>
      <c r="O2182" s="1">
        <v>50034251</v>
      </c>
      <c r="P2182" s="1" t="str">
        <f>"  زرين سپاهان"</f>
        <v xml:space="preserve">  زرين سپاهان</v>
      </c>
      <c r="Q2182" s="1">
        <v>19</v>
      </c>
      <c r="R218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82" s="1" t="str">
        <f t="shared" si="578"/>
        <v>قرارداد فروش</v>
      </c>
      <c r="T2182" s="1" t="str">
        <f t="shared" si="579"/>
        <v>ندارد</v>
      </c>
      <c r="U2182" s="1" t="str">
        <f>"دهقانيان بيژن (4954038)"</f>
        <v>دهقانيان بيژن (4954038)</v>
      </c>
      <c r="V2182" s="1">
        <v>951900314</v>
      </c>
      <c r="W2182" s="1">
        <v>951900314</v>
      </c>
      <c r="X2182" s="1" t="str">
        <f>"1395471035"</f>
        <v>1395471035</v>
      </c>
      <c r="Y2182" s="1" t="str">
        <f>"95/12/25"</f>
        <v>95/12/25</v>
      </c>
      <c r="Z2182" s="1" t="str">
        <f>"66479/710"</f>
        <v>66479/710</v>
      </c>
      <c r="AA2182" s="1" t="str">
        <f>"سازمان راهداري وحمل نقل جاده اي"</f>
        <v>سازمان راهداري وحمل نقل جاده اي</v>
      </c>
      <c r="AB2182" s="1" t="str">
        <f>"95/12/24"</f>
        <v>95/12/24</v>
      </c>
      <c r="AC2182" s="1" t="str">
        <f>"استان سمنان"</f>
        <v>استان سمنان</v>
      </c>
      <c r="AD2182" s="1" t="str">
        <f>"95/12/25"</f>
        <v>95/12/25</v>
      </c>
      <c r="AE2182" s="1" t="str">
        <f t="shared" si="576"/>
        <v>اختتام</v>
      </c>
      <c r="AF2182" s="1" t="str">
        <f>""</f>
        <v/>
      </c>
      <c r="AG2182" s="1" t="str">
        <f>""</f>
        <v/>
      </c>
      <c r="AH2182" s="1" t="str">
        <f>""</f>
        <v/>
      </c>
      <c r="AI2182" s="1" t="str">
        <f>""</f>
        <v/>
      </c>
      <c r="AJ2182" s="1" t="str">
        <f>""</f>
        <v/>
      </c>
      <c r="AK2182" s="1" t="str">
        <f>""</f>
        <v/>
      </c>
    </row>
    <row r="2183" spans="1:37" x14ac:dyDescent="0.2">
      <c r="A2183" s="1">
        <v>198500</v>
      </c>
      <c r="B2183" s="1">
        <v>951800128</v>
      </c>
      <c r="C2183" s="1" t="str">
        <f>"تخليه گيلان لوشان شهرك صنعتي لوشان آسمان سراي 5شركت عمران دژالماس"</f>
        <v>تخليه گيلان لوشان شهرك صنعتي لوشان آسمان سراي 5شركت عمران دژالماس</v>
      </c>
      <c r="D2183" s="1">
        <v>8998</v>
      </c>
      <c r="E2183" s="1">
        <v>196420</v>
      </c>
      <c r="F2183" s="1">
        <v>95</v>
      </c>
      <c r="G2183" s="1">
        <v>2080</v>
      </c>
      <c r="H2183" s="1" t="str">
        <f>"95/11/03"</f>
        <v>95/11/03</v>
      </c>
      <c r="I2183" s="1" t="str">
        <f t="shared" si="577"/>
        <v>كيلوگرم</v>
      </c>
      <c r="J2183" s="1" t="str">
        <f t="shared" si="580"/>
        <v>0000000093</v>
      </c>
      <c r="K2183" s="1" t="str">
        <f t="shared" si="581"/>
        <v>قير  PG64-10</v>
      </c>
      <c r="L2183" s="1">
        <v>100</v>
      </c>
      <c r="M2183" s="1" t="str">
        <f t="shared" si="570"/>
        <v>مخازن قير اصفهان</v>
      </c>
      <c r="N2183" s="1">
        <v>8029</v>
      </c>
      <c r="O2183" s="1">
        <v>50033442</v>
      </c>
      <c r="P2183" s="1" t="str">
        <f>"  خلخال دشت"</f>
        <v xml:space="preserve">  خلخال دشت</v>
      </c>
      <c r="Q2183" s="1">
        <v>18</v>
      </c>
      <c r="R2183" s="1" t="str">
        <f>"فروش داخلي تهران - وزارت راه - شرکت ساخت و توسعه راهها"</f>
        <v>فروش داخلي تهران - وزارت راه - شرکت ساخت و توسعه راهها</v>
      </c>
      <c r="S2183" s="1" t="str">
        <f t="shared" si="578"/>
        <v>قرارداد فروش</v>
      </c>
      <c r="T2183" s="1" t="str">
        <f t="shared" si="579"/>
        <v>ندارد</v>
      </c>
      <c r="U2183" s="1" t="str">
        <f>"خليل الهي حسن(1841005)"</f>
        <v>خليل الهي حسن(1841005)</v>
      </c>
      <c r="V2183" s="1">
        <v>951800128</v>
      </c>
      <c r="W2183" s="1">
        <v>951800128</v>
      </c>
      <c r="X2183" s="1" t="str">
        <f>"1395449861"</f>
        <v>1395449861</v>
      </c>
      <c r="Y2183" s="1" t="str">
        <f>"95/11/03"</f>
        <v>95/11/03</v>
      </c>
      <c r="Z2183" s="1" t="str">
        <f>"43646/710"</f>
        <v>43646/710</v>
      </c>
      <c r="AA2183" s="1" t="str">
        <f>"شركت  ساخت وتوسعه راهها"</f>
        <v>شركت  ساخت وتوسعه راهها</v>
      </c>
      <c r="AB2183" s="1" t="str">
        <f>"95/09/07"</f>
        <v>95/09/07</v>
      </c>
      <c r="AC2183" s="1" t="str">
        <f>"استان گيلان"</f>
        <v>استان گيلان</v>
      </c>
      <c r="AD2183" s="1" t="str">
        <f>"95/09/16"</f>
        <v>95/09/16</v>
      </c>
      <c r="AE2183" s="1" t="str">
        <f t="shared" si="576"/>
        <v>اختتام</v>
      </c>
      <c r="AF2183" s="1" t="str">
        <f>""</f>
        <v/>
      </c>
      <c r="AG2183" s="1" t="str">
        <f>""</f>
        <v/>
      </c>
      <c r="AH2183" s="1" t="str">
        <f>""</f>
        <v/>
      </c>
      <c r="AI2183" s="1" t="str">
        <f>""</f>
        <v/>
      </c>
      <c r="AJ2183" s="1" t="str">
        <f>""</f>
        <v/>
      </c>
      <c r="AK2183" s="1" t="str">
        <f>""</f>
        <v/>
      </c>
    </row>
    <row r="2184" spans="1:37" x14ac:dyDescent="0.2">
      <c r="A2184" s="1">
        <v>1000000</v>
      </c>
      <c r="B2184" s="1">
        <v>951600096</v>
      </c>
      <c r="C2184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2184" s="1">
        <v>9354</v>
      </c>
      <c r="E2184" s="1">
        <v>999360</v>
      </c>
      <c r="F2184" s="1">
        <v>95</v>
      </c>
      <c r="G2184" s="1">
        <v>640</v>
      </c>
      <c r="H2184" s="1" t="str">
        <f>"95/12/25"</f>
        <v>95/12/25</v>
      </c>
      <c r="I2184" s="1" t="str">
        <f t="shared" si="577"/>
        <v>كيلوگرم</v>
      </c>
      <c r="J2184" s="1" t="str">
        <f t="shared" si="580"/>
        <v>0000000093</v>
      </c>
      <c r="K2184" s="1" t="str">
        <f t="shared" si="581"/>
        <v>قير  PG64-10</v>
      </c>
      <c r="L2184" s="1">
        <v>100</v>
      </c>
      <c r="M2184" s="1" t="str">
        <f t="shared" ref="M2184:M2220" si="582">"مخازن قير اصفهان"</f>
        <v>مخازن قير اصفهان</v>
      </c>
      <c r="N2184" s="1">
        <v>9459</v>
      </c>
      <c r="O2184" s="1">
        <v>50034239</v>
      </c>
      <c r="P2184" s="1" t="str">
        <f>"  عمران سازه كاشيگري"</f>
        <v xml:space="preserve">  عمران سازه كاشيگري</v>
      </c>
      <c r="Q2184" s="1">
        <v>16</v>
      </c>
      <c r="R2184" s="1" t="str">
        <f>"فروش داخلي تهران - وزارت راه - معاونت اقتصاد"</f>
        <v>فروش داخلي تهران - وزارت راه - معاونت اقتصاد</v>
      </c>
      <c r="S2184" s="1" t="str">
        <f t="shared" si="578"/>
        <v>قرارداد فروش</v>
      </c>
      <c r="T2184" s="1" t="str">
        <f t="shared" si="579"/>
        <v>ندارد</v>
      </c>
      <c r="U2184" s="1" t="str">
        <f>"شيخي خيراله (1841012)"</f>
        <v>شيخي خيراله (1841012)</v>
      </c>
      <c r="V2184" s="1">
        <v>951600096</v>
      </c>
      <c r="W2184" s="1">
        <v>951600096</v>
      </c>
      <c r="X2184" s="1" t="str">
        <f>"1395470955"</f>
        <v>1395470955</v>
      </c>
      <c r="Y2184" s="1" t="str">
        <f>"95/12/25"</f>
        <v>95/12/25</v>
      </c>
      <c r="Z2184" s="1" t="str">
        <f>"66052/710"</f>
        <v>66052/710</v>
      </c>
      <c r="AA2184" s="1" t="str">
        <f>"معاونت اقتصادوزارت راه وشهرسازي"</f>
        <v>معاونت اقتصادوزارت راه وشهرسازي</v>
      </c>
      <c r="AB2184" s="1" t="str">
        <f>"95/12/23"</f>
        <v>95/12/23</v>
      </c>
      <c r="AC2184" s="1" t="str">
        <f>"استان هرمزگان"</f>
        <v>استان هرمزگان</v>
      </c>
      <c r="AD2184" s="1" t="str">
        <f>"95/12/24"</f>
        <v>95/12/24</v>
      </c>
      <c r="AE2184" s="1" t="str">
        <f t="shared" si="576"/>
        <v>اختتام</v>
      </c>
      <c r="AF2184" s="1" t="str">
        <f>""</f>
        <v/>
      </c>
      <c r="AG2184" s="1" t="str">
        <f>""</f>
        <v/>
      </c>
      <c r="AH2184" s="1" t="str">
        <f>""</f>
        <v/>
      </c>
      <c r="AI2184" s="1" t="str">
        <f>""</f>
        <v/>
      </c>
      <c r="AJ2184" s="1" t="str">
        <f>""</f>
        <v/>
      </c>
      <c r="AK2184" s="1" t="str">
        <f>""</f>
        <v/>
      </c>
    </row>
    <row r="2185" spans="1:37" x14ac:dyDescent="0.2">
      <c r="A2185" s="1">
        <v>500000</v>
      </c>
      <c r="B2185" s="1">
        <v>951600026</v>
      </c>
      <c r="C2185" s="1" t="str">
        <f>"تخليه - کهگيلويه و بوير احمد-ياسوج-سفيدار"</f>
        <v>تخليه - کهگيلويه و بوير احمد-ياسوج-سفيدار</v>
      </c>
      <c r="D2185" s="1">
        <v>7176</v>
      </c>
      <c r="E2185" s="1">
        <v>449780</v>
      </c>
      <c r="F2185" s="1">
        <v>95</v>
      </c>
      <c r="G2185" s="1">
        <v>50220</v>
      </c>
      <c r="H2185" s="1" t="str">
        <f>"95/06/17"</f>
        <v>95/06/17</v>
      </c>
      <c r="I2185" s="1" t="str">
        <f t="shared" si="577"/>
        <v>كيلوگرم</v>
      </c>
      <c r="J2185" s="1" t="str">
        <f t="shared" si="580"/>
        <v>0000000093</v>
      </c>
      <c r="K2185" s="1" t="str">
        <f t="shared" si="581"/>
        <v>قير  PG64-10</v>
      </c>
      <c r="L2185" s="1">
        <v>100</v>
      </c>
      <c r="M2185" s="1" t="str">
        <f t="shared" si="582"/>
        <v>مخازن قير اصفهان</v>
      </c>
      <c r="N2185" s="1">
        <v>11002</v>
      </c>
      <c r="O2185" s="1">
        <v>50031817</v>
      </c>
      <c r="P2185" s="1" t="str">
        <f>"  قلعه پيمان ياسوج"</f>
        <v xml:space="preserve">  قلعه پيمان ياسوج</v>
      </c>
      <c r="Q2185" s="1">
        <v>16</v>
      </c>
      <c r="R2185" s="1" t="str">
        <f>"فروش داخلي تهران - وزارت راه - معاونت اقتصاد"</f>
        <v>فروش داخلي تهران - وزارت راه - معاونت اقتصاد</v>
      </c>
      <c r="S2185" s="1" t="str">
        <f t="shared" si="578"/>
        <v>قرارداد فروش</v>
      </c>
      <c r="T2185" s="1" t="str">
        <f t="shared" si="579"/>
        <v>ندارد</v>
      </c>
      <c r="U2185" s="1" t="str">
        <f>"غلام نجفي سيامك‌‌‌‌‌‌(1881082)"</f>
        <v>غلام نجفي سيامك‌‌‌‌‌‌(1881082)</v>
      </c>
      <c r="V2185" s="1">
        <v>951600026</v>
      </c>
      <c r="W2185" s="1">
        <v>951600026</v>
      </c>
      <c r="X2185" s="1" t="str">
        <f>"1395429259"</f>
        <v>1395429259</v>
      </c>
      <c r="Y2185" s="1" t="str">
        <f>"95/06/17"</f>
        <v>95/06/17</v>
      </c>
      <c r="Z2185" s="1" t="str">
        <f>"27156/510"</f>
        <v>27156/510</v>
      </c>
      <c r="AA2185" s="1" t="str">
        <f>"معاونت اقتصادوزارت راه وشهرسازي"</f>
        <v>معاونت اقتصادوزارت راه وشهرسازي</v>
      </c>
      <c r="AB2185" s="1" t="str">
        <f>"95/06/09"</f>
        <v>95/06/09</v>
      </c>
      <c r="AC2185" s="1" t="str">
        <f>"كهكيلويه و بوير احمد"</f>
        <v>كهكيلويه و بوير احمد</v>
      </c>
      <c r="AD2185" s="1" t="str">
        <f>"95/06/16"</f>
        <v>95/06/16</v>
      </c>
      <c r="AE2185" s="1" t="str">
        <f t="shared" si="576"/>
        <v>اختتام</v>
      </c>
      <c r="AF2185" s="1" t="str">
        <f>""</f>
        <v/>
      </c>
      <c r="AG2185" s="1" t="str">
        <f>""</f>
        <v/>
      </c>
      <c r="AH2185" s="1" t="str">
        <f>""</f>
        <v/>
      </c>
      <c r="AI2185" s="1" t="str">
        <f>""</f>
        <v/>
      </c>
      <c r="AJ2185" s="1" t="str">
        <f>""</f>
        <v/>
      </c>
      <c r="AK2185" s="1" t="str">
        <f>""</f>
        <v/>
      </c>
    </row>
    <row r="2186" spans="1:37" x14ac:dyDescent="0.2">
      <c r="A2186" s="1">
        <v>200000</v>
      </c>
      <c r="B2186" s="1">
        <v>951900158</v>
      </c>
      <c r="C2186" s="1" t="str">
        <f>"تخليه- ياسوج کارخانه دارشاهي"</f>
        <v>تخليه- ياسوج کارخانه دارشاهي</v>
      </c>
      <c r="D2186" s="1">
        <v>7276</v>
      </c>
      <c r="E2186" s="1">
        <v>91680</v>
      </c>
      <c r="F2186" s="1">
        <v>95</v>
      </c>
      <c r="G2186" s="1">
        <v>108320</v>
      </c>
      <c r="H2186" s="1" t="str">
        <f>"95/07/07"</f>
        <v>95/07/07</v>
      </c>
      <c r="I2186" s="1" t="str">
        <f t="shared" si="577"/>
        <v>كيلوگرم</v>
      </c>
      <c r="J2186" s="1" t="str">
        <f t="shared" si="580"/>
        <v>0000000093</v>
      </c>
      <c r="K2186" s="1" t="str">
        <f t="shared" si="581"/>
        <v>قير  PG64-10</v>
      </c>
      <c r="L2186" s="1">
        <v>100</v>
      </c>
      <c r="M2186" s="1" t="str">
        <f t="shared" si="582"/>
        <v>مخازن قير اصفهان</v>
      </c>
      <c r="N2186" s="1">
        <v>11135</v>
      </c>
      <c r="O2186" s="1">
        <v>50032027</v>
      </c>
      <c r="P2186" s="1" t="str">
        <f>"  آسمان خراش آپادانا"</f>
        <v xml:space="preserve">  آسمان خراش آپادانا</v>
      </c>
      <c r="Q2186" s="1">
        <v>19</v>
      </c>
      <c r="R218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86" s="1" t="str">
        <f t="shared" si="578"/>
        <v>قرارداد فروش</v>
      </c>
      <c r="T2186" s="1" t="str">
        <f t="shared" si="579"/>
        <v>ندارد</v>
      </c>
      <c r="U2186" s="1" t="str">
        <f>"غلام نجفي سيامك‌‌‌‌‌‌(1881082)"</f>
        <v>غلام نجفي سيامك‌‌‌‌‌‌(1881082)</v>
      </c>
      <c r="V2186" s="1">
        <v>951900158</v>
      </c>
      <c r="W2186" s="1">
        <v>951900158</v>
      </c>
      <c r="X2186" s="1" t="str">
        <f>"1395434116"</f>
        <v>1395434116</v>
      </c>
      <c r="Y2186" s="1" t="str">
        <f>"95/07/07"</f>
        <v>95/07/07</v>
      </c>
      <c r="Z2186" s="1" t="str">
        <f>"30929/510"</f>
        <v>30929/510</v>
      </c>
      <c r="AA2186" s="1" t="str">
        <f>"سازمان راهداري وحمل نقل جاده اي"</f>
        <v>سازمان راهداري وحمل نقل جاده اي</v>
      </c>
      <c r="AB2186" s="1" t="str">
        <f>"95/06/29"</f>
        <v>95/06/29</v>
      </c>
      <c r="AC2186" s="1" t="str">
        <f>"كهكيلويه و بوير احمد"</f>
        <v>كهكيلويه و بوير احمد</v>
      </c>
      <c r="AD2186" s="1" t="str">
        <f>"95/07/06"</f>
        <v>95/07/06</v>
      </c>
      <c r="AE2186" s="1" t="str">
        <f t="shared" si="576"/>
        <v>اختتام</v>
      </c>
      <c r="AF2186" s="1" t="str">
        <f>""</f>
        <v/>
      </c>
      <c r="AG2186" s="1" t="str">
        <f>""</f>
        <v/>
      </c>
      <c r="AH2186" s="1" t="str">
        <f>""</f>
        <v/>
      </c>
      <c r="AI2186" s="1" t="str">
        <f>""</f>
        <v/>
      </c>
      <c r="AJ2186" s="1" t="str">
        <f>""</f>
        <v/>
      </c>
      <c r="AK2186" s="1" t="str">
        <f>""</f>
        <v/>
      </c>
    </row>
    <row r="2187" spans="1:37" x14ac:dyDescent="0.2">
      <c r="A2187" s="1">
        <v>100000</v>
      </c>
      <c r="B2187" s="1">
        <v>951400054</v>
      </c>
      <c r="C2187" s="1" t="str">
        <f>"تخليه - ياسوج-جاده اصفهان-دارشاهي-کارخانه آسفالت"</f>
        <v>تخليه - ياسوج-جاده اصفهان-دارشاهي-کارخانه آسفالت</v>
      </c>
      <c r="D2187" s="1">
        <v>6726</v>
      </c>
      <c r="E2187" s="1">
        <v>98160</v>
      </c>
      <c r="F2187" s="1">
        <v>95</v>
      </c>
      <c r="G2187" s="1">
        <v>1840</v>
      </c>
      <c r="H2187" s="1" t="str">
        <f>"95/05/18"</f>
        <v>95/05/18</v>
      </c>
      <c r="I2187" s="1" t="str">
        <f t="shared" si="577"/>
        <v>كيلوگرم</v>
      </c>
      <c r="J2187" s="1" t="str">
        <f t="shared" si="580"/>
        <v>0000000093</v>
      </c>
      <c r="K2187" s="1" t="str">
        <f t="shared" si="581"/>
        <v>قير  PG64-10</v>
      </c>
      <c r="L2187" s="1">
        <v>100</v>
      </c>
      <c r="M2187" s="1" t="str">
        <f t="shared" si="582"/>
        <v>مخازن قير اصفهان</v>
      </c>
      <c r="N2187" s="1">
        <v>11149</v>
      </c>
      <c r="O2187" s="1">
        <v>50031469</v>
      </c>
      <c r="P2187" s="1" t="str">
        <f>"  پارس راه جليل"</f>
        <v xml:space="preserve">  پارس راه جليل</v>
      </c>
      <c r="Q2187" s="1">
        <v>14</v>
      </c>
      <c r="R2187" s="1" t="str">
        <f>"فروش داخلي - وزارت راه - حوزه راه روستايي ساخت"</f>
        <v>فروش داخلي - وزارت راه - حوزه راه روستايي ساخت</v>
      </c>
      <c r="S2187" s="1" t="str">
        <f t="shared" si="578"/>
        <v>قرارداد فروش</v>
      </c>
      <c r="T2187" s="1" t="str">
        <f t="shared" si="579"/>
        <v>ندارد</v>
      </c>
      <c r="U2187" s="1" t="str">
        <f>"غلام نجفي سيامك‌‌‌‌‌‌(1881082)"</f>
        <v>غلام نجفي سيامك‌‌‌‌‌‌(1881082)</v>
      </c>
      <c r="V2187" s="1">
        <v>951400054</v>
      </c>
      <c r="W2187" s="1">
        <v>951400054</v>
      </c>
      <c r="X2187" s="1" t="str">
        <f>"1395421754"</f>
        <v>1395421754</v>
      </c>
      <c r="Y2187" s="1" t="str">
        <f>"95/05/18"</f>
        <v>95/05/18</v>
      </c>
      <c r="Z2187" s="1" t="str">
        <f>"50794/510"</f>
        <v>50794/510</v>
      </c>
      <c r="AA2187" s="1" t="str">
        <f>"راه وروستايي -ساخت"</f>
        <v>راه وروستايي -ساخت</v>
      </c>
      <c r="AB2187" s="1" t="str">
        <f>"94/09/14"</f>
        <v>94/09/14</v>
      </c>
      <c r="AC2187" s="1" t="str">
        <f>"كهكيلويه و بوير احمد"</f>
        <v>كهكيلويه و بوير احمد</v>
      </c>
      <c r="AD2187" s="1" t="str">
        <f>"95/05/17"</f>
        <v>95/05/17</v>
      </c>
      <c r="AE2187" s="1" t="str">
        <f t="shared" si="576"/>
        <v>اختتام</v>
      </c>
      <c r="AF2187" s="1" t="str">
        <f>""</f>
        <v/>
      </c>
      <c r="AG2187" s="1" t="str">
        <f>""</f>
        <v/>
      </c>
      <c r="AH2187" s="1" t="str">
        <f>""</f>
        <v/>
      </c>
      <c r="AI2187" s="1" t="str">
        <f>""</f>
        <v/>
      </c>
      <c r="AJ2187" s="1" t="str">
        <f>""</f>
        <v/>
      </c>
      <c r="AK2187" s="1" t="str">
        <f>""</f>
        <v/>
      </c>
    </row>
    <row r="2188" spans="1:37" x14ac:dyDescent="0.2">
      <c r="A2188" s="1">
        <v>243000</v>
      </c>
      <c r="B2188" s="1">
        <v>956200437</v>
      </c>
      <c r="C2188" s="1" t="str">
        <f>"تخليه - گيلان-رضوانشهر-پره سر-دينال چال -کوچه آزادگان"</f>
        <v>تخليه - گيلان-رضوانشهر-پره سر-دينال چال -کوچه آزادگان</v>
      </c>
      <c r="D2188" s="1">
        <v>8998</v>
      </c>
      <c r="E2188" s="1">
        <v>241840</v>
      </c>
      <c r="F2188" s="1">
        <v>95</v>
      </c>
      <c r="G2188" s="1">
        <v>1160</v>
      </c>
      <c r="H2188" s="1" t="str">
        <f>"95/12/28"</f>
        <v>95/12/28</v>
      </c>
      <c r="I2188" s="1" t="str">
        <f t="shared" si="577"/>
        <v>كيلوگرم</v>
      </c>
      <c r="J2188" s="1" t="str">
        <f t="shared" si="580"/>
        <v>0000000093</v>
      </c>
      <c r="K2188" s="1" t="str">
        <f t="shared" si="581"/>
        <v>قير  PG64-10</v>
      </c>
      <c r="L2188" s="1">
        <v>100</v>
      </c>
      <c r="M2188" s="1" t="str">
        <f t="shared" si="582"/>
        <v>مخازن قير اصفهان</v>
      </c>
      <c r="N2188" s="1">
        <v>11326</v>
      </c>
      <c r="O2188" s="1">
        <v>50034326</v>
      </c>
      <c r="P2188" s="1" t="str">
        <f>"  گيلسار پايا پي"</f>
        <v xml:space="preserve">  گيلسار پايا پي</v>
      </c>
      <c r="Q2188" s="1">
        <v>62</v>
      </c>
      <c r="R2188" s="1" t="str">
        <f>"فروش داخلي - سازمان بنيادمسكن انقلاب اسلامي"</f>
        <v>فروش داخلي - سازمان بنيادمسكن انقلاب اسلامي</v>
      </c>
      <c r="S2188" s="1" t="str">
        <f t="shared" si="578"/>
        <v>قرارداد فروش</v>
      </c>
      <c r="T2188" s="1" t="str">
        <f t="shared" si="579"/>
        <v>ندارد</v>
      </c>
      <c r="U2188" s="1" t="str">
        <f>"حاج صادقي باقر(1841027)"</f>
        <v>حاج صادقي باقر(1841027)</v>
      </c>
      <c r="V2188" s="1">
        <v>956200437</v>
      </c>
      <c r="W2188" s="1">
        <v>956200437</v>
      </c>
      <c r="X2188" s="1" t="str">
        <f>"1395471093"</f>
        <v>1395471093</v>
      </c>
      <c r="Y2188" s="1" t="str">
        <f>"95/12/28"</f>
        <v>95/12/28</v>
      </c>
      <c r="Z2188" s="1" t="str">
        <f>"58167/د"</f>
        <v>58167/د</v>
      </c>
      <c r="AA2188" s="1" t="str">
        <f>"بنيادمسكن انقلاب اسلامي"</f>
        <v>بنيادمسكن انقلاب اسلامي</v>
      </c>
      <c r="AB2188" s="1" t="str">
        <f>"95/12/25"</f>
        <v>95/12/25</v>
      </c>
      <c r="AC2188" s="1" t="str">
        <f>"استان گيلان"</f>
        <v>استان گيلان</v>
      </c>
      <c r="AD2188" s="1" t="str">
        <f>"95/12/28"</f>
        <v>95/12/28</v>
      </c>
      <c r="AE2188" s="1" t="str">
        <f t="shared" si="576"/>
        <v>اختتام</v>
      </c>
      <c r="AF2188" s="1" t="str">
        <f>""</f>
        <v/>
      </c>
      <c r="AG2188" s="1" t="str">
        <f>""</f>
        <v/>
      </c>
      <c r="AH2188" s="1" t="str">
        <f>""</f>
        <v/>
      </c>
      <c r="AI2188" s="1" t="str">
        <f>""</f>
        <v/>
      </c>
      <c r="AJ2188" s="1" t="str">
        <f>""</f>
        <v/>
      </c>
      <c r="AK2188" s="1" t="str">
        <f>""</f>
        <v/>
      </c>
    </row>
    <row r="2189" spans="1:37" x14ac:dyDescent="0.2">
      <c r="A2189" s="1">
        <v>300000</v>
      </c>
      <c r="B2189" s="1">
        <v>951100077</v>
      </c>
      <c r="C2189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2189" s="1">
        <v>6550</v>
      </c>
      <c r="E2189" s="1">
        <v>298540</v>
      </c>
      <c r="F2189" s="1">
        <v>95</v>
      </c>
      <c r="G2189" s="1">
        <v>1460</v>
      </c>
      <c r="H2189" s="1" t="str">
        <f>"95/04/08"</f>
        <v>95/04/08</v>
      </c>
      <c r="I2189" s="1" t="str">
        <f t="shared" si="577"/>
        <v>كيلوگرم</v>
      </c>
      <c r="J2189" s="1" t="str">
        <f>"0000000094"</f>
        <v>0000000094</v>
      </c>
      <c r="K2189" s="1" t="str">
        <f>"قير  PG70-10"</f>
        <v>قير  PG70-10</v>
      </c>
      <c r="L2189" s="1">
        <v>100</v>
      </c>
      <c r="M2189" s="1" t="str">
        <f t="shared" si="582"/>
        <v>مخازن قير اصفهان</v>
      </c>
      <c r="N2189" s="1">
        <v>9143</v>
      </c>
      <c r="O2189" s="1">
        <v>50031148</v>
      </c>
      <c r="P2189" s="1" t="str">
        <f>"  بتن پيكر زاگرس"</f>
        <v xml:space="preserve">  بتن پيكر زاگرس</v>
      </c>
      <c r="Q2189" s="1">
        <v>11</v>
      </c>
      <c r="R2189" s="1" t="str">
        <f>"فروش داخلي تهران - بورس"</f>
        <v>فروش داخلي تهران - بورس</v>
      </c>
      <c r="S2189" s="1" t="str">
        <f t="shared" si="578"/>
        <v>قرارداد فروش</v>
      </c>
      <c r="T2189" s="1" t="str">
        <f t="shared" si="579"/>
        <v>ندارد</v>
      </c>
      <c r="U2189" s="1" t="str">
        <f>"افراسيابي كيومرث(2842031)"</f>
        <v>افراسيابي كيومرث(2842031)</v>
      </c>
      <c r="V2189" s="1">
        <v>951100077</v>
      </c>
      <c r="W2189" s="1">
        <v>951100077</v>
      </c>
      <c r="X2189" s="1" t="str">
        <f>"1395411194"</f>
        <v>1395411194</v>
      </c>
      <c r="Y2189" s="1" t="str">
        <f>"95/04/06"</f>
        <v>95/04/06</v>
      </c>
      <c r="Z2189" s="1" t="str">
        <f>"95-34542"</f>
        <v>95-34542</v>
      </c>
      <c r="AA2189" s="1" t="str">
        <f>"آسفالت سازان"</f>
        <v>آسفالت سازان</v>
      </c>
      <c r="AB2189" s="1" t="str">
        <f>"95/04/06"</f>
        <v>95/04/06</v>
      </c>
      <c r="AC2189" s="1" t="str">
        <f>"استان كرمانشاه"</f>
        <v>استان كرمانشاه</v>
      </c>
      <c r="AD2189" s="1" t="str">
        <f>"95/04/05"</f>
        <v>95/04/05</v>
      </c>
      <c r="AE2189" s="1" t="str">
        <f t="shared" si="576"/>
        <v>اختتام</v>
      </c>
      <c r="AF2189" s="1" t="str">
        <f>""</f>
        <v/>
      </c>
      <c r="AG2189" s="1" t="str">
        <f>""</f>
        <v/>
      </c>
      <c r="AH2189" s="1" t="str">
        <f>""</f>
        <v/>
      </c>
      <c r="AI2189" s="1" t="str">
        <f>""</f>
        <v/>
      </c>
      <c r="AJ2189" s="1" t="str">
        <f>""</f>
        <v/>
      </c>
      <c r="AK2189" s="1" t="str">
        <f>""</f>
        <v/>
      </c>
    </row>
    <row r="2190" spans="1:37" x14ac:dyDescent="0.2">
      <c r="A2190" s="1">
        <v>500000</v>
      </c>
      <c r="B2190" s="1">
        <v>951900048</v>
      </c>
      <c r="C2190" s="1" t="str">
        <f>"تخليه-سرپل ذهاب روستاي کلاشي کارخانه راه قدس"</f>
        <v>تخليه-سرپل ذهاب روستاي کلاشي کارخانه راه قدس</v>
      </c>
      <c r="D2190" s="1">
        <v>6550</v>
      </c>
      <c r="E2190" s="1">
        <v>496100</v>
      </c>
      <c r="F2190" s="1">
        <v>95</v>
      </c>
      <c r="G2190" s="1">
        <v>3900</v>
      </c>
      <c r="H2190" s="1" t="str">
        <f>"95/04/22"</f>
        <v>95/04/22</v>
      </c>
      <c r="I2190" s="1" t="str">
        <f t="shared" si="577"/>
        <v>كيلوگرم</v>
      </c>
      <c r="J2190" s="1" t="str">
        <f>"0000000094"</f>
        <v>0000000094</v>
      </c>
      <c r="K2190" s="1" t="str">
        <f>"قير  PG70-10"</f>
        <v>قير  PG70-10</v>
      </c>
      <c r="L2190" s="1">
        <v>100</v>
      </c>
      <c r="M2190" s="1" t="str">
        <f t="shared" si="582"/>
        <v>مخازن قير اصفهان</v>
      </c>
      <c r="N2190" s="1">
        <v>10976</v>
      </c>
      <c r="O2190" s="1">
        <v>50031278</v>
      </c>
      <c r="P2190" s="1" t="str">
        <f>"  پي سازان كلهرزاگرس"</f>
        <v xml:space="preserve">  پي سازان كلهرزاگرس</v>
      </c>
      <c r="Q2190" s="1">
        <v>19</v>
      </c>
      <c r="R21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90" s="1" t="str">
        <f t="shared" si="578"/>
        <v>قرارداد فروش</v>
      </c>
      <c r="T2190" s="1" t="str">
        <f t="shared" si="579"/>
        <v>ندارد</v>
      </c>
      <c r="U2190" s="1" t="str">
        <f>"ميري عباس(2842027)"</f>
        <v>ميري عباس(2842027)</v>
      </c>
      <c r="V2190" s="1">
        <v>951900048</v>
      </c>
      <c r="W2190" s="1">
        <v>951900048</v>
      </c>
      <c r="X2190" s="1" t="str">
        <f>"1395414675"</f>
        <v>1395414675</v>
      </c>
      <c r="Y2190" s="1" t="str">
        <f>"95/04/22"</f>
        <v>95/04/22</v>
      </c>
      <c r="Z2190" s="1" t="str">
        <f>"16076/510"</f>
        <v>16076/510</v>
      </c>
      <c r="AA2190" s="1" t="str">
        <f>"سازمان راهداري وحمل نقل جاده اي"</f>
        <v>سازمان راهداري وحمل نقل جاده اي</v>
      </c>
      <c r="AB2190" s="1" t="str">
        <f>"95/04/14"</f>
        <v>95/04/14</v>
      </c>
      <c r="AC2190" s="1" t="str">
        <f>"استان كرمانشاه"</f>
        <v>استان كرمانشاه</v>
      </c>
      <c r="AD2190" s="1" t="str">
        <f>"95/04/22"</f>
        <v>95/04/22</v>
      </c>
      <c r="AE2190" s="1" t="str">
        <f t="shared" si="576"/>
        <v>اختتام</v>
      </c>
      <c r="AF2190" s="1" t="str">
        <f>""</f>
        <v/>
      </c>
      <c r="AG2190" s="1" t="str">
        <f>""</f>
        <v/>
      </c>
      <c r="AH2190" s="1" t="str">
        <f>""</f>
        <v/>
      </c>
      <c r="AI2190" s="1" t="str">
        <f>""</f>
        <v/>
      </c>
      <c r="AJ2190" s="1" t="str">
        <f>""</f>
        <v/>
      </c>
      <c r="AK2190" s="1" t="str">
        <f>""</f>
        <v/>
      </c>
    </row>
    <row r="2191" spans="1:37" x14ac:dyDescent="0.2">
      <c r="A2191" s="1">
        <v>148000</v>
      </c>
      <c r="B2191" s="1">
        <v>952000209</v>
      </c>
      <c r="C2191" s="1" t="str">
        <f>"تخليه -فرخشهر-کارخانه آسفالت فرخشهر"</f>
        <v>تخليه -فرخشهر-کارخانه آسفالت فرخشهر</v>
      </c>
      <c r="D2191" s="1">
        <v>8023</v>
      </c>
      <c r="E2191" s="1">
        <v>147580</v>
      </c>
      <c r="F2191" s="1">
        <v>95</v>
      </c>
      <c r="G2191" s="1">
        <v>420</v>
      </c>
      <c r="H2191" s="1" t="str">
        <f>"95/08/16"</f>
        <v>95/08/16</v>
      </c>
      <c r="I2191" s="1" t="str">
        <f t="shared" si="577"/>
        <v>كيلوگرم</v>
      </c>
      <c r="J2191" s="1" t="str">
        <f t="shared" ref="J2191:J2212" si="583">"1000000002"</f>
        <v>1000000002</v>
      </c>
      <c r="K2191" s="1" t="str">
        <f t="shared" ref="K2191:K2212" si="584">"قير 85/100 - فله"</f>
        <v>قير 85/100 - فله</v>
      </c>
      <c r="L2191" s="1">
        <v>100</v>
      </c>
      <c r="M2191" s="1" t="str">
        <f t="shared" si="582"/>
        <v>مخازن قير اصفهان</v>
      </c>
      <c r="N2191" s="1">
        <v>1465</v>
      </c>
      <c r="O2191" s="1">
        <v>50032517</v>
      </c>
      <c r="P2191" s="1" t="str">
        <f>"  شهرداري فرخ شهر"</f>
        <v xml:space="preserve">  شهرداري فرخ شهر</v>
      </c>
      <c r="Q2191" s="1">
        <v>20</v>
      </c>
      <c r="R2191" s="1" t="str">
        <f>"فروش داخلي - سازمان شهرداري ها و دهياري هاي كشور"</f>
        <v>فروش داخلي - سازمان شهرداري ها و دهياري هاي كشور</v>
      </c>
      <c r="S2191" s="1" t="str">
        <f t="shared" si="578"/>
        <v>قرارداد فروش</v>
      </c>
      <c r="T2191" s="1" t="str">
        <f t="shared" si="579"/>
        <v>ندارد</v>
      </c>
      <c r="U2191" s="1" t="str">
        <f>"قره باغي مجيد(1871065)"</f>
        <v>قره باغي مجيد(1871065)</v>
      </c>
      <c r="V2191" s="1">
        <v>952000209</v>
      </c>
      <c r="W2191" s="1">
        <v>952000209</v>
      </c>
      <c r="X2191" s="1" t="str">
        <f>"1395443205"</f>
        <v>1395443205</v>
      </c>
      <c r="Y2191" s="1" t="str">
        <f>"95/08/16"</f>
        <v>95/08/16</v>
      </c>
      <c r="Z2191" s="1" t="str">
        <f>"38924"</f>
        <v>38924</v>
      </c>
      <c r="AA2191" s="1" t="str">
        <f>"شهرداريها"</f>
        <v>شهرداريها</v>
      </c>
      <c r="AB2191" s="1" t="str">
        <f>"95/08/10"</f>
        <v>95/08/10</v>
      </c>
      <c r="AC2191" s="1" t="str">
        <f>"استان چهارمحال بختياري"</f>
        <v>استان چهارمحال بختياري</v>
      </c>
      <c r="AD2191" s="1" t="str">
        <f>"95/08/15"</f>
        <v>95/08/15</v>
      </c>
      <c r="AE2191" s="1" t="str">
        <f t="shared" si="576"/>
        <v>اختتام</v>
      </c>
      <c r="AF2191" s="1" t="str">
        <f>""</f>
        <v/>
      </c>
      <c r="AG2191" s="1" t="str">
        <f>""</f>
        <v/>
      </c>
      <c r="AH2191" s="1" t="str">
        <f>""</f>
        <v/>
      </c>
      <c r="AI2191" s="1" t="str">
        <f>""</f>
        <v/>
      </c>
      <c r="AJ2191" s="1" t="str">
        <f>""</f>
        <v/>
      </c>
      <c r="AK2191" s="1" t="str">
        <f>""</f>
        <v/>
      </c>
    </row>
    <row r="2192" spans="1:37" x14ac:dyDescent="0.2">
      <c r="A2192" s="1">
        <v>76000</v>
      </c>
      <c r="B2192" s="1">
        <v>952000017</v>
      </c>
      <c r="C2192" s="1" t="str">
        <f>"تخليه - فارسان-گوجان-کيلومتر 2جاده بيدگل کارخانه آسفالت رضايي"</f>
        <v>تخليه - فارسان-گوجان-کيلومتر 2جاده بيدگل کارخانه آسفالت رضايي</v>
      </c>
      <c r="D2192" s="1">
        <v>6426</v>
      </c>
      <c r="E2192" s="1">
        <v>75400</v>
      </c>
      <c r="F2192" s="1">
        <v>95</v>
      </c>
      <c r="G2192" s="1">
        <v>600</v>
      </c>
      <c r="H2192" s="1" t="str">
        <f>"95/05/26"</f>
        <v>95/05/26</v>
      </c>
      <c r="I2192" s="1" t="str">
        <f t="shared" si="577"/>
        <v>كيلوگرم</v>
      </c>
      <c r="J2192" s="1" t="str">
        <f t="shared" si="583"/>
        <v>1000000002</v>
      </c>
      <c r="K2192" s="1" t="str">
        <f t="shared" si="584"/>
        <v>قير 85/100 - فله</v>
      </c>
      <c r="L2192" s="1">
        <v>100</v>
      </c>
      <c r="M2192" s="1" t="str">
        <f t="shared" si="582"/>
        <v>مخازن قير اصفهان</v>
      </c>
      <c r="N2192" s="1">
        <v>9387</v>
      </c>
      <c r="O2192" s="1">
        <v>50031563</v>
      </c>
      <c r="P2192" s="1" t="str">
        <f>"  شهرداري سودجان"</f>
        <v xml:space="preserve">  شهرداري سودجان</v>
      </c>
      <c r="Q2192" s="1">
        <v>20</v>
      </c>
      <c r="R2192" s="1" t="str">
        <f>"فروش داخلي - سازمان شهرداري ها و دهياري هاي كشور"</f>
        <v>فروش داخلي - سازمان شهرداري ها و دهياري هاي كشور</v>
      </c>
      <c r="S2192" s="1" t="str">
        <f t="shared" si="578"/>
        <v>قرارداد فروش</v>
      </c>
      <c r="T2192" s="1" t="str">
        <f t="shared" si="579"/>
        <v>ندارد</v>
      </c>
      <c r="U2192" s="1" t="str">
        <f>"سيفي پور گودرز(1019ج89)"</f>
        <v>سيفي پور گودرز(1019ج89)</v>
      </c>
      <c r="V2192" s="1">
        <v>952000017</v>
      </c>
      <c r="W2192" s="1">
        <v>952000017</v>
      </c>
      <c r="X2192" s="1" t="str">
        <f>"1395423681"</f>
        <v>1395423681</v>
      </c>
      <c r="Y2192" s="1" t="str">
        <f>"95/05/25"</f>
        <v>95/05/25</v>
      </c>
      <c r="Z2192" s="1" t="str">
        <f>"18463"</f>
        <v>18463</v>
      </c>
      <c r="AA2192" s="1" t="str">
        <f>"شهرداريها"</f>
        <v>شهرداريها</v>
      </c>
      <c r="AB2192" s="1" t="str">
        <f>"95/05/02"</f>
        <v>95/05/02</v>
      </c>
      <c r="AC2192" s="1" t="str">
        <f>"استان چهارمحال بختياري"</f>
        <v>استان چهارمحال بختياري</v>
      </c>
      <c r="AD2192" s="1" t="str">
        <f>"95/05/24"</f>
        <v>95/05/24</v>
      </c>
      <c r="AE2192" s="1" t="str">
        <f t="shared" si="576"/>
        <v>اختتام</v>
      </c>
      <c r="AF2192" s="1" t="str">
        <f>""</f>
        <v/>
      </c>
      <c r="AG2192" s="1" t="str">
        <f>""</f>
        <v/>
      </c>
      <c r="AH2192" s="1" t="str">
        <f>""</f>
        <v/>
      </c>
      <c r="AI2192" s="1" t="str">
        <f>""</f>
        <v/>
      </c>
      <c r="AJ2192" s="1" t="str">
        <f>""</f>
        <v/>
      </c>
      <c r="AK2192" s="1" t="str">
        <f>""</f>
        <v/>
      </c>
    </row>
    <row r="2193" spans="1:37" x14ac:dyDescent="0.2">
      <c r="A2193" s="1">
        <v>72000</v>
      </c>
      <c r="B2193" s="1">
        <v>952000256</v>
      </c>
      <c r="C2193" s="1" t="str">
        <f>"تخليه - لردگان-شهرآلوني-خيابان امام خميني -تقاطع دوم -شهرداري آلوني"</f>
        <v>تخليه - لردگان-شهرآلوني-خيابان امام خميني -تقاطع دوم -شهرداري آلوني</v>
      </c>
      <c r="D2193" s="1">
        <v>7026</v>
      </c>
      <c r="E2193" s="1">
        <v>70240</v>
      </c>
      <c r="F2193" s="1">
        <v>95</v>
      </c>
      <c r="G2193" s="1">
        <v>1760</v>
      </c>
      <c r="H2193" s="1" t="str">
        <f>"95/09/07"</f>
        <v>95/09/07</v>
      </c>
      <c r="I2193" s="1" t="str">
        <f t="shared" si="577"/>
        <v>كيلوگرم</v>
      </c>
      <c r="J2193" s="1" t="str">
        <f t="shared" si="583"/>
        <v>1000000002</v>
      </c>
      <c r="K2193" s="1" t="str">
        <f t="shared" si="584"/>
        <v>قير 85/100 - فله</v>
      </c>
      <c r="L2193" s="1">
        <v>100</v>
      </c>
      <c r="M2193" s="1" t="str">
        <f t="shared" si="582"/>
        <v>مخازن قير اصفهان</v>
      </c>
      <c r="N2193" s="1">
        <v>9388</v>
      </c>
      <c r="O2193" s="1">
        <v>50032728</v>
      </c>
      <c r="P2193" s="1" t="str">
        <f>"  شهرداري آلوني"</f>
        <v xml:space="preserve">  شهرداري آلوني</v>
      </c>
      <c r="Q2193" s="1">
        <v>20</v>
      </c>
      <c r="R2193" s="1" t="str">
        <f>"فروش داخلي - سازمان شهرداري ها و دهياري هاي كشور"</f>
        <v>فروش داخلي - سازمان شهرداري ها و دهياري هاي كشور</v>
      </c>
      <c r="S2193" s="1" t="str">
        <f t="shared" si="578"/>
        <v>قرارداد فروش</v>
      </c>
      <c r="T2193" s="1" t="str">
        <f t="shared" si="579"/>
        <v>ندارد</v>
      </c>
      <c r="U2193" s="1" t="str">
        <f>"قيركشداران تعاوني(1017ج89)"</f>
        <v>قيركشداران تعاوني(1017ج89)</v>
      </c>
      <c r="V2193" s="1">
        <v>952000256</v>
      </c>
      <c r="W2193" s="1">
        <v>952000256</v>
      </c>
      <c r="X2193" s="1" t="str">
        <f>"1395447618"</f>
        <v>1395447618</v>
      </c>
      <c r="Y2193" s="1" t="str">
        <f>"95/09/07"</f>
        <v>95/09/07</v>
      </c>
      <c r="Z2193" s="1" t="str">
        <f>"42994"</f>
        <v>42994</v>
      </c>
      <c r="AA2193" s="1" t="str">
        <f>"شهرداريها"</f>
        <v>شهرداريها</v>
      </c>
      <c r="AB2193" s="1" t="str">
        <f>"95/09/01"</f>
        <v>95/09/01</v>
      </c>
      <c r="AC2193" s="1" t="str">
        <f>"استان چهارمحال بختياري"</f>
        <v>استان چهارمحال بختياري</v>
      </c>
      <c r="AD2193" s="1" t="str">
        <f>"95/09/06"</f>
        <v>95/09/06</v>
      </c>
      <c r="AE2193" s="1" t="str">
        <f t="shared" si="576"/>
        <v>اختتام</v>
      </c>
      <c r="AF2193" s="1" t="str">
        <f>""</f>
        <v/>
      </c>
      <c r="AG2193" s="1" t="str">
        <f>""</f>
        <v/>
      </c>
      <c r="AH2193" s="1" t="str">
        <f>""</f>
        <v/>
      </c>
      <c r="AI2193" s="1" t="str">
        <f>""</f>
        <v/>
      </c>
      <c r="AJ2193" s="1" t="str">
        <f>""</f>
        <v/>
      </c>
      <c r="AK2193" s="1" t="str">
        <f>""</f>
        <v/>
      </c>
    </row>
    <row r="2194" spans="1:37" x14ac:dyDescent="0.2">
      <c r="A2194" s="1">
        <v>241000</v>
      </c>
      <c r="B2194" s="1">
        <v>956200050</v>
      </c>
      <c r="C2194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2194" s="1">
        <v>5950</v>
      </c>
      <c r="E2194" s="1">
        <v>240120</v>
      </c>
      <c r="F2194" s="1">
        <v>95</v>
      </c>
      <c r="G2194" s="1">
        <v>880</v>
      </c>
      <c r="H2194" s="1" t="str">
        <f>"95/04/14"</f>
        <v>95/04/14</v>
      </c>
      <c r="I2194" s="1" t="str">
        <f t="shared" si="577"/>
        <v>كيلوگرم</v>
      </c>
      <c r="J2194" s="1" t="str">
        <f t="shared" si="583"/>
        <v>1000000002</v>
      </c>
      <c r="K2194" s="1" t="str">
        <f t="shared" si="584"/>
        <v>قير 85/100 - فله</v>
      </c>
      <c r="L2194" s="1">
        <v>100</v>
      </c>
      <c r="M2194" s="1" t="str">
        <f t="shared" si="582"/>
        <v>مخازن قير اصفهان</v>
      </c>
      <c r="N2194" s="1">
        <v>9777</v>
      </c>
      <c r="O2194" s="1">
        <v>50031195</v>
      </c>
      <c r="P2194" s="1" t="str">
        <f>"  كاويان سازان كوهستان"</f>
        <v xml:space="preserve">  كاويان سازان كوهستان</v>
      </c>
      <c r="Q2194" s="1">
        <v>62</v>
      </c>
      <c r="R2194" s="1" t="str">
        <f>"فروش داخلي - سازمان بنيادمسكن انقلاب اسلامي"</f>
        <v>فروش داخلي - سازمان بنيادمسكن انقلاب اسلامي</v>
      </c>
      <c r="S2194" s="1" t="str">
        <f t="shared" si="578"/>
        <v>قرارداد فروش</v>
      </c>
      <c r="T2194" s="1" t="str">
        <f t="shared" si="579"/>
        <v>ندارد</v>
      </c>
      <c r="U2194" s="1" t="str">
        <f>"قره باغي مجيد(1871065)"</f>
        <v>قره باغي مجيد(1871065)</v>
      </c>
      <c r="V2194" s="1">
        <v>956200050</v>
      </c>
      <c r="W2194" s="1">
        <v>956200050</v>
      </c>
      <c r="X2194" s="1" t="str">
        <f>"1395412856"</f>
        <v>1395412856</v>
      </c>
      <c r="Y2194" s="1" t="str">
        <f>"95/04/14"</f>
        <v>95/04/14</v>
      </c>
      <c r="Z2194" s="1" t="str">
        <f>"14225/د"</f>
        <v>14225/د</v>
      </c>
      <c r="AA2194" s="1" t="str">
        <f>"بنيادمسكن انقلاب اسلامي"</f>
        <v>بنيادمسكن انقلاب اسلامي</v>
      </c>
      <c r="AB2194" s="1" t="str">
        <f>"95/04/09"</f>
        <v>95/04/09</v>
      </c>
      <c r="AC2194" s="1" t="str">
        <f>"استان چهارمحال بختياري"</f>
        <v>استان چهارمحال بختياري</v>
      </c>
      <c r="AD2194" s="1" t="str">
        <f>"95/04/13"</f>
        <v>95/04/13</v>
      </c>
      <c r="AE2194" s="1" t="str">
        <f t="shared" si="576"/>
        <v>اختتام</v>
      </c>
      <c r="AF2194" s="1" t="str">
        <f>""</f>
        <v/>
      </c>
      <c r="AG2194" s="1" t="str">
        <f>""</f>
        <v/>
      </c>
      <c r="AH2194" s="1" t="str">
        <f>""</f>
        <v/>
      </c>
      <c r="AI2194" s="1" t="str">
        <f>""</f>
        <v/>
      </c>
      <c r="AJ2194" s="1" t="str">
        <f>""</f>
        <v/>
      </c>
      <c r="AK2194" s="1" t="str">
        <f>""</f>
        <v/>
      </c>
    </row>
    <row r="2195" spans="1:37" x14ac:dyDescent="0.2">
      <c r="A2195" s="1">
        <v>107000</v>
      </c>
      <c r="B2195" s="1">
        <v>952000033</v>
      </c>
      <c r="C2195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2195" s="1">
        <v>6426</v>
      </c>
      <c r="E2195" s="1">
        <v>105720</v>
      </c>
      <c r="F2195" s="1">
        <v>95</v>
      </c>
      <c r="G2195" s="1">
        <v>1280</v>
      </c>
      <c r="H2195" s="1" t="str">
        <f>"95/05/27"</f>
        <v>95/05/27</v>
      </c>
      <c r="I2195" s="1" t="str">
        <f t="shared" si="577"/>
        <v>كيلوگرم</v>
      </c>
      <c r="J2195" s="1" t="str">
        <f t="shared" si="583"/>
        <v>1000000002</v>
      </c>
      <c r="K2195" s="1" t="str">
        <f t="shared" si="584"/>
        <v>قير 85/100 - فله</v>
      </c>
      <c r="L2195" s="1">
        <v>100</v>
      </c>
      <c r="M2195" s="1" t="str">
        <f t="shared" si="582"/>
        <v>مخازن قير اصفهان</v>
      </c>
      <c r="N2195" s="1">
        <v>9900</v>
      </c>
      <c r="O2195" s="1">
        <v>50031583</v>
      </c>
      <c r="P2195" s="1" t="str">
        <f>"  شهرداري باباحيدر"</f>
        <v xml:space="preserve">  شهرداري باباحيدر</v>
      </c>
      <c r="Q2195" s="1">
        <v>20</v>
      </c>
      <c r="R2195" s="1" t="str">
        <f>"فروش داخلي - سازمان شهرداري ها و دهياري هاي كشور"</f>
        <v>فروش داخلي - سازمان شهرداري ها و دهياري هاي كشور</v>
      </c>
      <c r="S2195" s="1" t="str">
        <f t="shared" si="578"/>
        <v>قرارداد فروش</v>
      </c>
      <c r="T2195" s="1" t="str">
        <f t="shared" si="579"/>
        <v>ندارد</v>
      </c>
      <c r="U2195" s="1" t="str">
        <f>"سيفي پور گودرز(1019ج89)"</f>
        <v>سيفي پور گودرز(1019ج89)</v>
      </c>
      <c r="V2195" s="1">
        <v>952000033</v>
      </c>
      <c r="W2195" s="1">
        <v>952000033</v>
      </c>
      <c r="X2195" s="1" t="str">
        <f>"1395423681"</f>
        <v>1395423681</v>
      </c>
      <c r="Y2195" s="1" t="str">
        <f>"95/05/25"</f>
        <v>95/05/25</v>
      </c>
      <c r="Z2195" s="1" t="str">
        <f>"19530"</f>
        <v>19530</v>
      </c>
      <c r="AA2195" s="1" t="str">
        <f>"شهرداريها"</f>
        <v>شهرداريها</v>
      </c>
      <c r="AB2195" s="1" t="str">
        <f>"95/05/05"</f>
        <v>95/05/05</v>
      </c>
      <c r="AC2195" s="1" t="str">
        <f>"استان چهارمحال بختياري"</f>
        <v>استان چهارمحال بختياري</v>
      </c>
      <c r="AD2195" s="1" t="str">
        <f>"95/05/24"</f>
        <v>95/05/24</v>
      </c>
      <c r="AE2195" s="1" t="str">
        <f t="shared" si="576"/>
        <v>اختتام</v>
      </c>
      <c r="AF2195" s="1" t="str">
        <f>""</f>
        <v/>
      </c>
      <c r="AG2195" s="1" t="str">
        <f>""</f>
        <v/>
      </c>
      <c r="AH2195" s="1" t="str">
        <f>""</f>
        <v/>
      </c>
      <c r="AI2195" s="1" t="str">
        <f>""</f>
        <v/>
      </c>
      <c r="AJ2195" s="1" t="str">
        <f>""</f>
        <v/>
      </c>
      <c r="AK2195" s="1" t="str">
        <f>""</f>
        <v/>
      </c>
    </row>
    <row r="2196" spans="1:37" x14ac:dyDescent="0.2">
      <c r="A2196" s="1">
        <v>94000</v>
      </c>
      <c r="B2196" s="1">
        <v>956200319</v>
      </c>
      <c r="C2196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2196" s="1">
        <v>8848</v>
      </c>
      <c r="E2196" s="1">
        <v>94000</v>
      </c>
      <c r="F2196" s="1">
        <v>95</v>
      </c>
      <c r="G2196" s="1">
        <v>0</v>
      </c>
      <c r="H2196" s="1" t="str">
        <f>"95/12/11"</f>
        <v>95/12/11</v>
      </c>
      <c r="I2196" s="1" t="str">
        <f t="shared" si="577"/>
        <v>كيلوگرم</v>
      </c>
      <c r="J2196" s="1" t="str">
        <f t="shared" si="583"/>
        <v>1000000002</v>
      </c>
      <c r="K2196" s="1" t="str">
        <f t="shared" si="584"/>
        <v>قير 85/100 - فله</v>
      </c>
      <c r="L2196" s="1">
        <v>100</v>
      </c>
      <c r="M2196" s="1" t="str">
        <f t="shared" si="582"/>
        <v>مخازن قير اصفهان</v>
      </c>
      <c r="N2196" s="1">
        <v>10053</v>
      </c>
      <c r="O2196" s="1">
        <v>50033968</v>
      </c>
      <c r="P2196" s="1" t="str">
        <f>"  پوشش راه هگمتانه"</f>
        <v xml:space="preserve">  پوشش راه هگمتانه</v>
      </c>
      <c r="Q2196" s="1">
        <v>62</v>
      </c>
      <c r="R2196" s="1" t="str">
        <f>"فروش داخلي - سازمان بنيادمسكن انقلاب اسلامي"</f>
        <v>فروش داخلي - سازمان بنيادمسكن انقلاب اسلامي</v>
      </c>
      <c r="S2196" s="1" t="str">
        <f t="shared" si="578"/>
        <v>قرارداد فروش</v>
      </c>
      <c r="T2196" s="1" t="str">
        <f t="shared" si="579"/>
        <v>ندارد</v>
      </c>
      <c r="U2196" s="1" t="str">
        <f>"حاجيلوئي علي اصغر(2842019)"</f>
        <v>حاجيلوئي علي اصغر(2842019)</v>
      </c>
      <c r="V2196" s="1">
        <v>956200319</v>
      </c>
      <c r="W2196" s="1">
        <v>956200319</v>
      </c>
      <c r="X2196" s="1" t="str">
        <f>"1395468780"</f>
        <v>1395468780</v>
      </c>
      <c r="Y2196" s="1" t="str">
        <f>"95/12/11"</f>
        <v>95/12/11</v>
      </c>
      <c r="Z2196" s="1" t="str">
        <f>"54620/د"</f>
        <v>54620/د</v>
      </c>
      <c r="AA2196" s="1" t="str">
        <f>"بنيادمسكن انقلاب اسلامي"</f>
        <v>بنيادمسكن انقلاب اسلامي</v>
      </c>
      <c r="AB2196" s="1" t="str">
        <f>"95/12/10"</f>
        <v>95/12/10</v>
      </c>
      <c r="AC2196" s="1" t="str">
        <f>"استان همدان"</f>
        <v>استان همدان</v>
      </c>
      <c r="AD2196" s="1" t="str">
        <f>"95/12/11"</f>
        <v>95/12/11</v>
      </c>
      <c r="AE2196" s="1" t="str">
        <f t="shared" ref="AE2196:AE2220" si="585">"اختتام"</f>
        <v>اختتام</v>
      </c>
      <c r="AF2196" s="1" t="str">
        <f>""</f>
        <v/>
      </c>
      <c r="AG2196" s="1" t="str">
        <f>""</f>
        <v/>
      </c>
      <c r="AH2196" s="1" t="str">
        <f>""</f>
        <v/>
      </c>
      <c r="AI2196" s="1" t="str">
        <f>""</f>
        <v/>
      </c>
      <c r="AJ2196" s="1" t="str">
        <f>""</f>
        <v/>
      </c>
      <c r="AK2196" s="1" t="str">
        <f>""</f>
        <v/>
      </c>
    </row>
    <row r="2197" spans="1:37" x14ac:dyDescent="0.2">
      <c r="A2197" s="1">
        <v>74000</v>
      </c>
      <c r="B2197" s="1">
        <v>952000019</v>
      </c>
      <c r="C2197" s="1" t="str">
        <f>"تخليه -کارخانه سازمان همياري شهرداري استان چهارمحال بختياري"</f>
        <v>تخليه -کارخانه سازمان همياري شهرداري استان چهارمحال بختياري</v>
      </c>
      <c r="D2197" s="1">
        <v>6426</v>
      </c>
      <c r="E2197" s="1">
        <v>72960</v>
      </c>
      <c r="F2197" s="1">
        <v>95</v>
      </c>
      <c r="G2197" s="1">
        <v>1040</v>
      </c>
      <c r="H2197" s="1" t="str">
        <f>"95/05/26"</f>
        <v>95/05/26</v>
      </c>
      <c r="I2197" s="1" t="str">
        <f t="shared" si="577"/>
        <v>كيلوگرم</v>
      </c>
      <c r="J2197" s="1" t="str">
        <f t="shared" si="583"/>
        <v>1000000002</v>
      </c>
      <c r="K2197" s="1" t="str">
        <f t="shared" si="584"/>
        <v>قير 85/100 - فله</v>
      </c>
      <c r="L2197" s="1">
        <v>100</v>
      </c>
      <c r="M2197" s="1" t="str">
        <f t="shared" si="582"/>
        <v>مخازن قير اصفهان</v>
      </c>
      <c r="N2197" s="1">
        <v>10667</v>
      </c>
      <c r="O2197" s="1">
        <v>50031565</v>
      </c>
      <c r="P2197" s="1" t="str">
        <f>"  شهرداري دستناء"</f>
        <v xml:space="preserve">  شهرداري دستناء</v>
      </c>
      <c r="Q2197" s="1">
        <v>20</v>
      </c>
      <c r="R2197" s="1" t="str">
        <f>"فروش داخلي - سازمان شهرداري ها و دهياري هاي كشور"</f>
        <v>فروش داخلي - سازمان شهرداري ها و دهياري هاي كشور</v>
      </c>
      <c r="S2197" s="1" t="str">
        <f t="shared" si="578"/>
        <v>قرارداد فروش</v>
      </c>
      <c r="T2197" s="1" t="str">
        <f t="shared" si="579"/>
        <v>ندارد</v>
      </c>
      <c r="U2197" s="1" t="str">
        <f t="shared" ref="U2197:U2204" si="586">"قره باغي مجيد(1871065)"</f>
        <v>قره باغي مجيد(1871065)</v>
      </c>
      <c r="V2197" s="1">
        <v>952000019</v>
      </c>
      <c r="W2197" s="1">
        <v>952000019</v>
      </c>
      <c r="X2197" s="1" t="str">
        <f>"1395423681"</f>
        <v>1395423681</v>
      </c>
      <c r="Y2197" s="1" t="str">
        <f>"95/05/25"</f>
        <v>95/05/25</v>
      </c>
      <c r="Z2197" s="1" t="str">
        <f>"18476"</f>
        <v>18476</v>
      </c>
      <c r="AA2197" s="1" t="str">
        <f>"شهرداريها"</f>
        <v>شهرداريها</v>
      </c>
      <c r="AB2197" s="1" t="str">
        <f>"95/05/02"</f>
        <v>95/05/02</v>
      </c>
      <c r="AC2197" s="1" t="str">
        <f t="shared" ref="AC2197:AC2204" si="587">"استان چهارمحال بختياري"</f>
        <v>استان چهارمحال بختياري</v>
      </c>
      <c r="AD2197" s="1" t="str">
        <f>"95/05/24"</f>
        <v>95/05/24</v>
      </c>
      <c r="AE2197" s="1" t="str">
        <f t="shared" si="585"/>
        <v>اختتام</v>
      </c>
      <c r="AF2197" s="1" t="str">
        <f>""</f>
        <v/>
      </c>
      <c r="AG2197" s="1" t="str">
        <f>""</f>
        <v/>
      </c>
      <c r="AH2197" s="1" t="str">
        <f>""</f>
        <v/>
      </c>
      <c r="AI2197" s="1" t="str">
        <f>""</f>
        <v/>
      </c>
      <c r="AJ2197" s="1" t="str">
        <f>""</f>
        <v/>
      </c>
      <c r="AK2197" s="1" t="str">
        <f>""</f>
        <v/>
      </c>
    </row>
    <row r="2198" spans="1:37" x14ac:dyDescent="0.2">
      <c r="A2198" s="1">
        <v>73000</v>
      </c>
      <c r="B2198" s="1">
        <v>952000222</v>
      </c>
      <c r="C2198" s="1" t="str">
        <f>"تخليه -کارخانه سازمان همياري شهرداري استان چهارمحال بختياري"</f>
        <v>تخليه -کارخانه سازمان همياري شهرداري استان چهارمحال بختياري</v>
      </c>
      <c r="D2198" s="1">
        <v>8023</v>
      </c>
      <c r="E2198" s="1">
        <v>72200</v>
      </c>
      <c r="F2198" s="1">
        <v>95</v>
      </c>
      <c r="G2198" s="1">
        <v>800</v>
      </c>
      <c r="H2198" s="1" t="str">
        <f>"95/08/18"</f>
        <v>95/08/18</v>
      </c>
      <c r="I2198" s="1" t="str">
        <f t="shared" si="577"/>
        <v>كيلوگرم</v>
      </c>
      <c r="J2198" s="1" t="str">
        <f t="shared" si="583"/>
        <v>1000000002</v>
      </c>
      <c r="K2198" s="1" t="str">
        <f t="shared" si="584"/>
        <v>قير 85/100 - فله</v>
      </c>
      <c r="L2198" s="1">
        <v>100</v>
      </c>
      <c r="M2198" s="1" t="str">
        <f t="shared" si="582"/>
        <v>مخازن قير اصفهان</v>
      </c>
      <c r="N2198" s="1">
        <v>10667</v>
      </c>
      <c r="O2198" s="1">
        <v>50032551</v>
      </c>
      <c r="P2198" s="1" t="str">
        <f>"  شهرداري دستناء"</f>
        <v xml:space="preserve">  شهرداري دستناء</v>
      </c>
      <c r="Q2198" s="1">
        <v>20</v>
      </c>
      <c r="R2198" s="1" t="str">
        <f>"فروش داخلي - سازمان شهرداري ها و دهياري هاي كشور"</f>
        <v>فروش داخلي - سازمان شهرداري ها و دهياري هاي كشور</v>
      </c>
      <c r="S2198" s="1" t="str">
        <f t="shared" si="578"/>
        <v>قرارداد فروش</v>
      </c>
      <c r="T2198" s="1" t="str">
        <f t="shared" si="579"/>
        <v>ندارد</v>
      </c>
      <c r="U2198" s="1" t="str">
        <f t="shared" si="586"/>
        <v>قره باغي مجيد(1871065)</v>
      </c>
      <c r="V2198" s="1">
        <v>952000222</v>
      </c>
      <c r="W2198" s="1">
        <v>952000222</v>
      </c>
      <c r="X2198" s="1" t="str">
        <f>"1395443388"</f>
        <v>1395443388</v>
      </c>
      <c r="Y2198" s="1" t="str">
        <f>"95/08/17"</f>
        <v>95/08/17</v>
      </c>
      <c r="Z2198" s="1" t="str">
        <f>"39994"</f>
        <v>39994</v>
      </c>
      <c r="AA2198" s="1" t="str">
        <f>"شهرداريها"</f>
        <v>شهرداريها</v>
      </c>
      <c r="AB2198" s="1" t="str">
        <f>"95/08/15"</f>
        <v>95/08/15</v>
      </c>
      <c r="AC2198" s="1" t="str">
        <f t="shared" si="587"/>
        <v>استان چهارمحال بختياري</v>
      </c>
      <c r="AD2198" s="1" t="str">
        <f>"95/08/17"</f>
        <v>95/08/17</v>
      </c>
      <c r="AE2198" s="1" t="str">
        <f t="shared" si="585"/>
        <v>اختتام</v>
      </c>
      <c r="AF2198" s="1" t="str">
        <f>""</f>
        <v/>
      </c>
      <c r="AG2198" s="1" t="str">
        <f>""</f>
        <v/>
      </c>
      <c r="AH2198" s="1" t="str">
        <f>""</f>
        <v/>
      </c>
      <c r="AI2198" s="1" t="str">
        <f>""</f>
        <v/>
      </c>
      <c r="AJ2198" s="1" t="str">
        <f>""</f>
        <v/>
      </c>
      <c r="AK2198" s="1" t="str">
        <f>""</f>
        <v/>
      </c>
    </row>
    <row r="2199" spans="1:37" x14ac:dyDescent="0.2">
      <c r="A2199" s="1">
        <v>104000</v>
      </c>
      <c r="B2199" s="1">
        <v>952000001</v>
      </c>
      <c r="C2199" s="1" t="str">
        <f>"تخليه -چهارمحال وبختياري شهرداري بروجن"</f>
        <v>تخليه -چهارمحال وبختياري شهرداري بروجن</v>
      </c>
      <c r="D2199" s="1">
        <v>6426</v>
      </c>
      <c r="E2199" s="1">
        <v>103120</v>
      </c>
      <c r="F2199" s="1">
        <v>95</v>
      </c>
      <c r="G2199" s="1">
        <v>880</v>
      </c>
      <c r="H2199" s="1" t="str">
        <f>"95/05/24"</f>
        <v>95/05/24</v>
      </c>
      <c r="I2199" s="1" t="str">
        <f t="shared" si="577"/>
        <v>كيلوگرم</v>
      </c>
      <c r="J2199" s="1" t="str">
        <f t="shared" si="583"/>
        <v>1000000002</v>
      </c>
      <c r="K2199" s="1" t="str">
        <f t="shared" si="584"/>
        <v>قير 85/100 - فله</v>
      </c>
      <c r="L2199" s="1">
        <v>100</v>
      </c>
      <c r="M2199" s="1" t="str">
        <f t="shared" si="582"/>
        <v>مخازن قير اصفهان</v>
      </c>
      <c r="N2199" s="1">
        <v>10791</v>
      </c>
      <c r="O2199" s="1">
        <v>50031532</v>
      </c>
      <c r="P2199" s="1" t="str">
        <f>"  شهرداري نقنه"</f>
        <v xml:space="preserve">  شهرداري نقنه</v>
      </c>
      <c r="Q2199" s="1">
        <v>20</v>
      </c>
      <c r="R2199" s="1" t="str">
        <f>"فروش داخلي - سازمان شهرداري ها و دهياري هاي كشور"</f>
        <v>فروش داخلي - سازمان شهرداري ها و دهياري هاي كشور</v>
      </c>
      <c r="S2199" s="1" t="str">
        <f t="shared" si="578"/>
        <v>قرارداد فروش</v>
      </c>
      <c r="T2199" s="1" t="str">
        <f t="shared" si="579"/>
        <v>ندارد</v>
      </c>
      <c r="U2199" s="1" t="str">
        <f t="shared" si="586"/>
        <v>قره باغي مجيد(1871065)</v>
      </c>
      <c r="V2199" s="1">
        <v>952000001</v>
      </c>
      <c r="W2199" s="1">
        <v>952000001</v>
      </c>
      <c r="X2199" s="1" t="str">
        <f>"1395423454"</f>
        <v>1395423454</v>
      </c>
      <c r="Y2199" s="1" t="str">
        <f>"95/05/23"</f>
        <v>95/05/23</v>
      </c>
      <c r="Z2199" s="1" t="str">
        <f>"18321"</f>
        <v>18321</v>
      </c>
      <c r="AA2199" s="1" t="str">
        <f>"شهرداريها"</f>
        <v>شهرداريها</v>
      </c>
      <c r="AB2199" s="1" t="str">
        <f>"95/04/30"</f>
        <v>95/04/30</v>
      </c>
      <c r="AC2199" s="1" t="str">
        <f t="shared" si="587"/>
        <v>استان چهارمحال بختياري</v>
      </c>
      <c r="AD2199" s="1" t="str">
        <f>"95/05/23"</f>
        <v>95/05/23</v>
      </c>
      <c r="AE2199" s="1" t="str">
        <f t="shared" si="585"/>
        <v>اختتام</v>
      </c>
      <c r="AF2199" s="1" t="str">
        <f>""</f>
        <v/>
      </c>
      <c r="AG2199" s="1" t="str">
        <f>""</f>
        <v/>
      </c>
      <c r="AH2199" s="1" t="str">
        <f>""</f>
        <v/>
      </c>
      <c r="AI2199" s="1" t="str">
        <f>""</f>
        <v/>
      </c>
      <c r="AJ2199" s="1" t="str">
        <f>""</f>
        <v/>
      </c>
      <c r="AK2199" s="1" t="str">
        <f>""</f>
        <v/>
      </c>
    </row>
    <row r="2200" spans="1:37" x14ac:dyDescent="0.2">
      <c r="A2200" s="1">
        <v>104000</v>
      </c>
      <c r="B2200" s="1">
        <v>952000232</v>
      </c>
      <c r="C2200" s="1" t="str">
        <f>"تخليه -چهارمحال وبختياري شهرداري بروجن"</f>
        <v>تخليه -چهارمحال وبختياري شهرداري بروجن</v>
      </c>
      <c r="D2200" s="1">
        <v>8023</v>
      </c>
      <c r="E2200" s="1">
        <v>103500</v>
      </c>
      <c r="F2200" s="1">
        <v>95</v>
      </c>
      <c r="G2200" s="1">
        <v>500</v>
      </c>
      <c r="H2200" s="1" t="str">
        <f>"95/08/18"</f>
        <v>95/08/18</v>
      </c>
      <c r="I2200" s="1" t="str">
        <f t="shared" si="577"/>
        <v>كيلوگرم</v>
      </c>
      <c r="J2200" s="1" t="str">
        <f t="shared" si="583"/>
        <v>1000000002</v>
      </c>
      <c r="K2200" s="1" t="str">
        <f t="shared" si="584"/>
        <v>قير 85/100 - فله</v>
      </c>
      <c r="L2200" s="1">
        <v>100</v>
      </c>
      <c r="M2200" s="1" t="str">
        <f t="shared" si="582"/>
        <v>مخازن قير اصفهان</v>
      </c>
      <c r="N2200" s="1">
        <v>10791</v>
      </c>
      <c r="O2200" s="1">
        <v>50032569</v>
      </c>
      <c r="P2200" s="1" t="str">
        <f>"  شهرداري نقنه"</f>
        <v xml:space="preserve">  شهرداري نقنه</v>
      </c>
      <c r="Q2200" s="1">
        <v>20</v>
      </c>
      <c r="R2200" s="1" t="str">
        <f>"فروش داخلي - سازمان شهرداري ها و دهياري هاي كشور"</f>
        <v>فروش داخلي - سازمان شهرداري ها و دهياري هاي كشور</v>
      </c>
      <c r="S2200" s="1" t="str">
        <f t="shared" si="578"/>
        <v>قرارداد فروش</v>
      </c>
      <c r="T2200" s="1" t="str">
        <f t="shared" si="579"/>
        <v>ندارد</v>
      </c>
      <c r="U2200" s="1" t="str">
        <f t="shared" si="586"/>
        <v>قره باغي مجيد(1871065)</v>
      </c>
      <c r="V2200" s="1">
        <v>952000232</v>
      </c>
      <c r="W2200" s="1">
        <v>952000232</v>
      </c>
      <c r="X2200" s="1" t="str">
        <f>"1395443775"</f>
        <v>1395443775</v>
      </c>
      <c r="Y2200" s="1" t="str">
        <f>"95/08/18"</f>
        <v>95/08/18</v>
      </c>
      <c r="Z2200" s="1" t="str">
        <f>"39744"</f>
        <v>39744</v>
      </c>
      <c r="AA2200" s="1" t="str">
        <f>"شهرداريها"</f>
        <v>شهرداريها</v>
      </c>
      <c r="AB2200" s="1" t="str">
        <f>"95/08/12"</f>
        <v>95/08/12</v>
      </c>
      <c r="AC2200" s="1" t="str">
        <f t="shared" si="587"/>
        <v>استان چهارمحال بختياري</v>
      </c>
      <c r="AD2200" s="1" t="str">
        <f>"95/08/18"</f>
        <v>95/08/18</v>
      </c>
      <c r="AE2200" s="1" t="str">
        <f t="shared" si="585"/>
        <v>اختتام</v>
      </c>
      <c r="AF2200" s="1" t="str">
        <f>""</f>
        <v/>
      </c>
      <c r="AG2200" s="1" t="str">
        <f>""</f>
        <v/>
      </c>
      <c r="AH2200" s="1" t="str">
        <f>""</f>
        <v/>
      </c>
      <c r="AI2200" s="1" t="str">
        <f>""</f>
        <v/>
      </c>
      <c r="AJ2200" s="1" t="str">
        <f>""</f>
        <v/>
      </c>
      <c r="AK2200" s="1" t="str">
        <f>""</f>
        <v/>
      </c>
    </row>
    <row r="2201" spans="1:37" x14ac:dyDescent="0.2">
      <c r="A2201" s="1">
        <v>67000</v>
      </c>
      <c r="B2201" s="1">
        <v>952000023</v>
      </c>
      <c r="C2201" s="1" t="str">
        <f>"تخليه چهارمحال وبختياري -لردگان"</f>
        <v>تخليه چهارمحال وبختياري -لردگان</v>
      </c>
      <c r="D2201" s="1">
        <v>6426</v>
      </c>
      <c r="E2201" s="1">
        <v>66860</v>
      </c>
      <c r="F2201" s="1">
        <v>95</v>
      </c>
      <c r="G2201" s="1">
        <v>140</v>
      </c>
      <c r="H2201" s="1" t="str">
        <f>"95/05/27"</f>
        <v>95/05/27</v>
      </c>
      <c r="I2201" s="1" t="str">
        <f t="shared" si="577"/>
        <v>كيلوگرم</v>
      </c>
      <c r="J2201" s="1" t="str">
        <f t="shared" si="583"/>
        <v>1000000002</v>
      </c>
      <c r="K2201" s="1" t="str">
        <f t="shared" si="584"/>
        <v>قير 85/100 - فله</v>
      </c>
      <c r="L2201" s="1">
        <v>100</v>
      </c>
      <c r="M2201" s="1" t="str">
        <f t="shared" si="582"/>
        <v>مخازن قير اصفهان</v>
      </c>
      <c r="N2201" s="1">
        <v>10795</v>
      </c>
      <c r="O2201" s="1">
        <v>50031570</v>
      </c>
      <c r="P2201" s="1" t="str">
        <f>"  شهرداري منج"</f>
        <v xml:space="preserve">  شهرداري منج</v>
      </c>
      <c r="Q2201" s="1">
        <v>20</v>
      </c>
      <c r="R2201" s="1" t="str">
        <f>"فروش داخلي - سازمان شهرداري ها و دهياري هاي كشور"</f>
        <v>فروش داخلي - سازمان شهرداري ها و دهياري هاي كشور</v>
      </c>
      <c r="S2201" s="1" t="str">
        <f t="shared" si="578"/>
        <v>قرارداد فروش</v>
      </c>
      <c r="T2201" s="1" t="str">
        <f t="shared" si="579"/>
        <v>ندارد</v>
      </c>
      <c r="U2201" s="1" t="str">
        <f t="shared" si="586"/>
        <v>قره باغي مجيد(1871065)</v>
      </c>
      <c r="V2201" s="1">
        <v>952000023</v>
      </c>
      <c r="W2201" s="1">
        <v>952000023</v>
      </c>
      <c r="X2201" s="1" t="str">
        <f>"1395423681"</f>
        <v>1395423681</v>
      </c>
      <c r="Y2201" s="1" t="str">
        <f>"95/05/25"</f>
        <v>95/05/25</v>
      </c>
      <c r="Z2201" s="1" t="str">
        <f>"18953"</f>
        <v>18953</v>
      </c>
      <c r="AA2201" s="1" t="str">
        <f>"شهرداريها"</f>
        <v>شهرداريها</v>
      </c>
      <c r="AB2201" s="1" t="str">
        <f>"95/05/03"</f>
        <v>95/05/03</v>
      </c>
      <c r="AC2201" s="1" t="str">
        <f t="shared" si="587"/>
        <v>استان چهارمحال بختياري</v>
      </c>
      <c r="AD2201" s="1" t="str">
        <f>"95/05/24"</f>
        <v>95/05/24</v>
      </c>
      <c r="AE2201" s="1" t="str">
        <f t="shared" si="585"/>
        <v>اختتام</v>
      </c>
      <c r="AF2201" s="1" t="str">
        <f>""</f>
        <v/>
      </c>
      <c r="AG2201" s="1" t="str">
        <f>""</f>
        <v/>
      </c>
      <c r="AH2201" s="1" t="str">
        <f>""</f>
        <v/>
      </c>
      <c r="AI2201" s="1" t="str">
        <f>""</f>
        <v/>
      </c>
      <c r="AJ2201" s="1" t="str">
        <f>""</f>
        <v/>
      </c>
      <c r="AK2201" s="1" t="str">
        <f>""</f>
        <v/>
      </c>
    </row>
    <row r="2202" spans="1:37" x14ac:dyDescent="0.2">
      <c r="A2202" s="1">
        <v>355000</v>
      </c>
      <c r="B2202" s="1">
        <v>956200029</v>
      </c>
      <c r="C2202" s="1" t="str">
        <f>"تخليه-کارخانه آسفالت احمديه چليچه-بروجن-گندمان"</f>
        <v>تخليه-کارخانه آسفالت احمديه چليچه-بروجن-گندمان</v>
      </c>
      <c r="D2202" s="1">
        <v>5750</v>
      </c>
      <c r="E2202" s="1">
        <v>353740</v>
      </c>
      <c r="F2202" s="1">
        <v>95</v>
      </c>
      <c r="G2202" s="1">
        <v>1260</v>
      </c>
      <c r="H2202" s="1" t="str">
        <f>"95/03/22"</f>
        <v>95/03/22</v>
      </c>
      <c r="I2202" s="1" t="str">
        <f t="shared" si="577"/>
        <v>كيلوگرم</v>
      </c>
      <c r="J2202" s="1" t="str">
        <f t="shared" si="583"/>
        <v>1000000002</v>
      </c>
      <c r="K2202" s="1" t="str">
        <f t="shared" si="584"/>
        <v>قير 85/100 - فله</v>
      </c>
      <c r="L2202" s="1">
        <v>100</v>
      </c>
      <c r="M2202" s="1" t="str">
        <f t="shared" si="582"/>
        <v>مخازن قير اصفهان</v>
      </c>
      <c r="N2202" s="1">
        <v>11088</v>
      </c>
      <c r="O2202" s="1">
        <v>50031005</v>
      </c>
      <c r="P2202" s="1" t="str">
        <f>"  کامليا پرهون"</f>
        <v xml:space="preserve">  کامليا پرهون</v>
      </c>
      <c r="Q2202" s="1">
        <v>62</v>
      </c>
      <c r="R2202" s="1" t="str">
        <f t="shared" ref="R2202:R2213" si="588">"فروش داخلي - سازمان بنيادمسكن انقلاب اسلامي"</f>
        <v>فروش داخلي - سازمان بنيادمسكن انقلاب اسلامي</v>
      </c>
      <c r="S2202" s="1" t="str">
        <f t="shared" si="578"/>
        <v>قرارداد فروش</v>
      </c>
      <c r="T2202" s="1" t="str">
        <f t="shared" si="579"/>
        <v>ندارد</v>
      </c>
      <c r="U2202" s="1" t="str">
        <f t="shared" si="586"/>
        <v>قره باغي مجيد(1871065)</v>
      </c>
      <c r="V2202" s="1">
        <v>956200029</v>
      </c>
      <c r="W2202" s="1">
        <v>956200029</v>
      </c>
      <c r="X2202" s="1" t="str">
        <f>"1395408773"</f>
        <v>1395408773</v>
      </c>
      <c r="Y2202" s="1" t="str">
        <f>"95/03/22"</f>
        <v>95/03/22</v>
      </c>
      <c r="Z2202" s="1" t="str">
        <f>"10928/د"</f>
        <v>10928/د</v>
      </c>
      <c r="AA2202" s="1" t="str">
        <f t="shared" ref="AA2202:AA2213" si="589">"بنيادمسكن انقلاب اسلامي"</f>
        <v>بنيادمسكن انقلاب اسلامي</v>
      </c>
      <c r="AB2202" s="1" t="str">
        <f>"95/03/19"</f>
        <v>95/03/19</v>
      </c>
      <c r="AC2202" s="1" t="str">
        <f t="shared" si="587"/>
        <v>استان چهارمحال بختياري</v>
      </c>
      <c r="AD2202" s="1" t="str">
        <f>"95/03/22"</f>
        <v>95/03/22</v>
      </c>
      <c r="AE2202" s="1" t="str">
        <f t="shared" si="585"/>
        <v>اختتام</v>
      </c>
      <c r="AF2202" s="1" t="str">
        <f>""</f>
        <v/>
      </c>
      <c r="AG2202" s="1" t="str">
        <f>""</f>
        <v/>
      </c>
      <c r="AH2202" s="1" t="str">
        <f>""</f>
        <v/>
      </c>
      <c r="AI2202" s="1" t="str">
        <f>""</f>
        <v/>
      </c>
      <c r="AJ2202" s="1" t="str">
        <f>""</f>
        <v/>
      </c>
      <c r="AK2202" s="1" t="str">
        <f>""</f>
        <v/>
      </c>
    </row>
    <row r="2203" spans="1:37" x14ac:dyDescent="0.2">
      <c r="A2203" s="1">
        <v>198000</v>
      </c>
      <c r="B2203" s="1">
        <v>956200068</v>
      </c>
      <c r="C2203" s="1" t="str">
        <f>"تخليه-لردگان- فلارد-روستاي گنج-کارخانه آسفالت جانباز لردگان"</f>
        <v>تخليه-لردگان- فلارد-روستاي گنج-کارخانه آسفالت جانباز لردگان</v>
      </c>
      <c r="D2203" s="1">
        <v>6876</v>
      </c>
      <c r="E2203" s="1">
        <v>197240</v>
      </c>
      <c r="F2203" s="1">
        <v>95</v>
      </c>
      <c r="G2203" s="1">
        <v>760</v>
      </c>
      <c r="H2203" s="1" t="str">
        <f>"95/06/03"</f>
        <v>95/06/03</v>
      </c>
      <c r="I2203" s="1" t="str">
        <f t="shared" si="577"/>
        <v>كيلوگرم</v>
      </c>
      <c r="J2203" s="1" t="str">
        <f t="shared" si="583"/>
        <v>1000000002</v>
      </c>
      <c r="K2203" s="1" t="str">
        <f t="shared" si="584"/>
        <v>قير 85/100 - فله</v>
      </c>
      <c r="L2203" s="1">
        <v>100</v>
      </c>
      <c r="M2203" s="1" t="str">
        <f t="shared" si="582"/>
        <v>مخازن قير اصفهان</v>
      </c>
      <c r="N2203" s="1">
        <v>11103</v>
      </c>
      <c r="O2203" s="1">
        <v>50031616</v>
      </c>
      <c r="P2203" s="1" t="str">
        <f>"  تاراز پرشين لردگان"</f>
        <v xml:space="preserve">  تاراز پرشين لردگان</v>
      </c>
      <c r="Q2203" s="1">
        <v>62</v>
      </c>
      <c r="R2203" s="1" t="str">
        <f t="shared" si="588"/>
        <v>فروش داخلي - سازمان بنيادمسكن انقلاب اسلامي</v>
      </c>
      <c r="S2203" s="1" t="str">
        <f t="shared" si="578"/>
        <v>قرارداد فروش</v>
      </c>
      <c r="T2203" s="1" t="str">
        <f t="shared" si="579"/>
        <v>ندارد</v>
      </c>
      <c r="U2203" s="1" t="str">
        <f t="shared" si="586"/>
        <v>قره باغي مجيد(1871065)</v>
      </c>
      <c r="V2203" s="1">
        <v>956200068</v>
      </c>
      <c r="W2203" s="1">
        <v>956200068</v>
      </c>
      <c r="X2203" s="1" t="str">
        <f>"1395426727"</f>
        <v>1395426727</v>
      </c>
      <c r="Y2203" s="1" t="str">
        <f>"95/06/03"</f>
        <v>95/06/03</v>
      </c>
      <c r="Z2203" s="1" t="str">
        <f>"21631/د"</f>
        <v>21631/د</v>
      </c>
      <c r="AA2203" s="1" t="str">
        <f t="shared" si="589"/>
        <v>بنيادمسكن انقلاب اسلامي</v>
      </c>
      <c r="AB2203" s="1" t="str">
        <f>"95/05/27"</f>
        <v>95/05/27</v>
      </c>
      <c r="AC2203" s="1" t="str">
        <f t="shared" si="587"/>
        <v>استان چهارمحال بختياري</v>
      </c>
      <c r="AD2203" s="1" t="str">
        <f>"95/06/03"</f>
        <v>95/06/03</v>
      </c>
      <c r="AE2203" s="1" t="str">
        <f t="shared" si="585"/>
        <v>اختتام</v>
      </c>
      <c r="AF2203" s="1" t="str">
        <f>""</f>
        <v/>
      </c>
      <c r="AG2203" s="1" t="str">
        <f>""</f>
        <v/>
      </c>
      <c r="AH2203" s="1" t="str">
        <f>""</f>
        <v/>
      </c>
      <c r="AI2203" s="1" t="str">
        <f>""</f>
        <v/>
      </c>
      <c r="AJ2203" s="1" t="str">
        <f>""</f>
        <v/>
      </c>
      <c r="AK2203" s="1" t="str">
        <f>""</f>
        <v/>
      </c>
    </row>
    <row r="2204" spans="1:37" x14ac:dyDescent="0.2">
      <c r="A2204" s="1">
        <v>83000</v>
      </c>
      <c r="B2204" s="1">
        <v>956200067</v>
      </c>
      <c r="C2204" s="1" t="str">
        <f>"تخليه - لردگان - فلارد -سه راهي ارمند-تنگ لايبيد-کارخانه آسفالت موسوي"</f>
        <v>تخليه - لردگان - فلارد -سه راهي ارمند-تنگ لايبيد-کارخانه آسفالت موسوي</v>
      </c>
      <c r="D2204" s="1">
        <v>6876</v>
      </c>
      <c r="E2204" s="1">
        <v>81960</v>
      </c>
      <c r="F2204" s="1">
        <v>95</v>
      </c>
      <c r="G2204" s="1">
        <v>1040</v>
      </c>
      <c r="H2204" s="1" t="str">
        <f>"95/06/03"</f>
        <v>95/06/03</v>
      </c>
      <c r="I2204" s="1" t="str">
        <f t="shared" si="577"/>
        <v>كيلوگرم</v>
      </c>
      <c r="J2204" s="1" t="str">
        <f t="shared" si="583"/>
        <v>1000000002</v>
      </c>
      <c r="K2204" s="1" t="str">
        <f t="shared" si="584"/>
        <v>قير 85/100 - فله</v>
      </c>
      <c r="L2204" s="1">
        <v>100</v>
      </c>
      <c r="M2204" s="1" t="str">
        <f t="shared" si="582"/>
        <v>مخازن قير اصفهان</v>
      </c>
      <c r="N2204" s="1">
        <v>11162</v>
      </c>
      <c r="O2204" s="1">
        <v>50031614</v>
      </c>
      <c r="P2204" s="1" t="str">
        <f>"  راه و باند آباد راهان لردگان"</f>
        <v xml:space="preserve">  راه و باند آباد راهان لردگان</v>
      </c>
      <c r="Q2204" s="1">
        <v>62</v>
      </c>
      <c r="R2204" s="1" t="str">
        <f t="shared" si="588"/>
        <v>فروش داخلي - سازمان بنيادمسكن انقلاب اسلامي</v>
      </c>
      <c r="S2204" s="1" t="str">
        <f t="shared" si="578"/>
        <v>قرارداد فروش</v>
      </c>
      <c r="T2204" s="1" t="str">
        <f t="shared" si="579"/>
        <v>ندارد</v>
      </c>
      <c r="U2204" s="1" t="str">
        <f t="shared" si="586"/>
        <v>قره باغي مجيد(1871065)</v>
      </c>
      <c r="V2204" s="1">
        <v>956200067</v>
      </c>
      <c r="W2204" s="1">
        <v>956200067</v>
      </c>
      <c r="X2204" s="1" t="str">
        <f>"1395426727"</f>
        <v>1395426727</v>
      </c>
      <c r="Y2204" s="1" t="str">
        <f>"95/06/03"</f>
        <v>95/06/03</v>
      </c>
      <c r="Z2204" s="1" t="str">
        <f>"21543/د"</f>
        <v>21543/د</v>
      </c>
      <c r="AA2204" s="1" t="str">
        <f t="shared" si="589"/>
        <v>بنيادمسكن انقلاب اسلامي</v>
      </c>
      <c r="AB2204" s="1" t="str">
        <f>"95/05/26"</f>
        <v>95/05/26</v>
      </c>
      <c r="AC2204" s="1" t="str">
        <f t="shared" si="587"/>
        <v>استان چهارمحال بختياري</v>
      </c>
      <c r="AD2204" s="1" t="str">
        <f>"95/06/03"</f>
        <v>95/06/03</v>
      </c>
      <c r="AE2204" s="1" t="str">
        <f t="shared" si="585"/>
        <v>اختتام</v>
      </c>
      <c r="AF2204" s="1" t="str">
        <f>""</f>
        <v/>
      </c>
      <c r="AG2204" s="1" t="str">
        <f>""</f>
        <v/>
      </c>
      <c r="AH2204" s="1" t="str">
        <f>""</f>
        <v/>
      </c>
      <c r="AI2204" s="1" t="str">
        <f>""</f>
        <v/>
      </c>
      <c r="AJ2204" s="1" t="str">
        <f>""</f>
        <v/>
      </c>
      <c r="AK2204" s="1" t="str">
        <f>""</f>
        <v/>
      </c>
    </row>
    <row r="2205" spans="1:37" x14ac:dyDescent="0.2">
      <c r="A2205" s="1">
        <v>190000</v>
      </c>
      <c r="B2205" s="1">
        <v>956200343</v>
      </c>
      <c r="C2205" s="1" t="str">
        <f>"تخليه همدان كيلومتر54جاده همدان تهران كارخانه آسفالت سراوك"</f>
        <v>تخليه همدان كيلومتر54جاده همدان تهران كارخانه آسفالت سراوك</v>
      </c>
      <c r="D2205" s="1">
        <v>8848</v>
      </c>
      <c r="E2205" s="1">
        <v>190000</v>
      </c>
      <c r="F2205" s="1">
        <v>95</v>
      </c>
      <c r="G2205" s="1">
        <v>0</v>
      </c>
      <c r="H2205" s="1" t="str">
        <f>"95/12/22"</f>
        <v>95/12/22</v>
      </c>
      <c r="I2205" s="1" t="str">
        <f t="shared" si="577"/>
        <v>كيلوگرم</v>
      </c>
      <c r="J2205" s="1" t="str">
        <f t="shared" si="583"/>
        <v>1000000002</v>
      </c>
      <c r="K2205" s="1" t="str">
        <f t="shared" si="584"/>
        <v>قير 85/100 - فله</v>
      </c>
      <c r="L2205" s="1">
        <v>100</v>
      </c>
      <c r="M2205" s="1" t="str">
        <f t="shared" si="582"/>
        <v>مخازن قير اصفهان</v>
      </c>
      <c r="N2205" s="1">
        <v>11240</v>
      </c>
      <c r="O2205" s="1">
        <v>50034125</v>
      </c>
      <c r="P2205" s="1" t="str">
        <f>"  خاتم پي پيكره"</f>
        <v xml:space="preserve">  خاتم پي پيكره</v>
      </c>
      <c r="Q2205" s="1">
        <v>62</v>
      </c>
      <c r="R2205" s="1" t="str">
        <f t="shared" si="588"/>
        <v>فروش داخلي - سازمان بنيادمسكن انقلاب اسلامي</v>
      </c>
      <c r="S2205" s="1" t="str">
        <f t="shared" si="578"/>
        <v>قرارداد فروش</v>
      </c>
      <c r="T2205" s="1" t="str">
        <f t="shared" si="579"/>
        <v>ندارد</v>
      </c>
      <c r="U2205" s="1" t="str">
        <f>"حاجيلوئي علي اصغر(2842019)"</f>
        <v>حاجيلوئي علي اصغر(2842019)</v>
      </c>
      <c r="V2205" s="1">
        <v>956200343</v>
      </c>
      <c r="W2205" s="1">
        <v>956200343</v>
      </c>
      <c r="X2205" s="1" t="str">
        <f>"1395470441"</f>
        <v>1395470441</v>
      </c>
      <c r="Y2205" s="1" t="str">
        <f>"95/12/22"</f>
        <v>95/12/22</v>
      </c>
      <c r="Z2205" s="1" t="str">
        <f>"56734/د"</f>
        <v>56734/د</v>
      </c>
      <c r="AA2205" s="1" t="str">
        <f t="shared" si="589"/>
        <v>بنيادمسكن انقلاب اسلامي</v>
      </c>
      <c r="AB2205" s="1" t="str">
        <f>"95/12/21"</f>
        <v>95/12/21</v>
      </c>
      <c r="AC2205" s="1" t="str">
        <f>"استان همدان"</f>
        <v>استان همدان</v>
      </c>
      <c r="AD2205" s="1" t="str">
        <f>"95/12/22"</f>
        <v>95/12/22</v>
      </c>
      <c r="AE2205" s="1" t="str">
        <f t="shared" si="585"/>
        <v>اختتام</v>
      </c>
      <c r="AF2205" s="1" t="str">
        <f>""</f>
        <v/>
      </c>
      <c r="AG2205" s="1" t="str">
        <f>""</f>
        <v/>
      </c>
      <c r="AH2205" s="1" t="str">
        <f>""</f>
        <v/>
      </c>
      <c r="AI2205" s="1" t="str">
        <f>""</f>
        <v/>
      </c>
      <c r="AJ2205" s="1" t="str">
        <f>""</f>
        <v/>
      </c>
      <c r="AK2205" s="1" t="str">
        <f>""</f>
        <v/>
      </c>
    </row>
    <row r="2206" spans="1:37" x14ac:dyDescent="0.2">
      <c r="A2206" s="1">
        <v>153000</v>
      </c>
      <c r="B2206" s="1">
        <v>956200201</v>
      </c>
      <c r="C2206" s="1" t="str">
        <f>"تخليه - کردستان - سه راه مريوان -کارخانه آسفالت قشلاق"</f>
        <v>تخليه - کردستان - سه راه مريوان -کارخانه آسفالت قشلاق</v>
      </c>
      <c r="D2206" s="1">
        <v>9361</v>
      </c>
      <c r="E2206" s="1">
        <v>153000</v>
      </c>
      <c r="F2206" s="1">
        <v>95</v>
      </c>
      <c r="G2206" s="1">
        <v>0</v>
      </c>
      <c r="H2206" s="1" t="str">
        <f>"95/11/19"</f>
        <v>95/11/19</v>
      </c>
      <c r="I2206" s="1" t="str">
        <f t="shared" si="577"/>
        <v>كيلوگرم</v>
      </c>
      <c r="J2206" s="1" t="str">
        <f t="shared" si="583"/>
        <v>1000000002</v>
      </c>
      <c r="K2206" s="1" t="str">
        <f t="shared" si="584"/>
        <v>قير 85/100 - فله</v>
      </c>
      <c r="L2206" s="1">
        <v>100</v>
      </c>
      <c r="M2206" s="1" t="str">
        <f t="shared" si="582"/>
        <v>مخازن قير اصفهان</v>
      </c>
      <c r="N2206" s="1">
        <v>11243</v>
      </c>
      <c r="O2206" s="1">
        <v>50033635</v>
      </c>
      <c r="P2206" s="1" t="str">
        <f>"  عرش گستران کامياب"</f>
        <v xml:space="preserve">  عرش گستران کامياب</v>
      </c>
      <c r="Q2206" s="1">
        <v>62</v>
      </c>
      <c r="R2206" s="1" t="str">
        <f t="shared" si="588"/>
        <v>فروش داخلي - سازمان بنيادمسكن انقلاب اسلامي</v>
      </c>
      <c r="S2206" s="1" t="str">
        <f t="shared" si="578"/>
        <v>قرارداد فروش</v>
      </c>
      <c r="T2206" s="1" t="str">
        <f t="shared" si="579"/>
        <v>ندارد</v>
      </c>
      <c r="U2206" s="1" t="str">
        <f>"قنبري امين(2872037)"</f>
        <v>قنبري امين(2872037)</v>
      </c>
      <c r="V2206" s="1">
        <v>956200201</v>
      </c>
      <c r="W2206" s="1">
        <v>956200201</v>
      </c>
      <c r="X2206" s="1" t="str">
        <f>"1395463366"</f>
        <v>1395463366</v>
      </c>
      <c r="Y2206" s="1" t="str">
        <f>"95/11/19"</f>
        <v>95/11/19</v>
      </c>
      <c r="Z2206" s="1" t="str">
        <f>"49887/د"</f>
        <v>49887/د</v>
      </c>
      <c r="AA2206" s="1" t="str">
        <f t="shared" si="589"/>
        <v>بنيادمسكن انقلاب اسلامي</v>
      </c>
      <c r="AB2206" s="1" t="str">
        <f>"95/11/18"</f>
        <v>95/11/18</v>
      </c>
      <c r="AC2206" s="1" t="str">
        <f>"استان كردستان"</f>
        <v>استان كردستان</v>
      </c>
      <c r="AD2206" s="1" t="str">
        <f>"95/11/19"</f>
        <v>95/11/19</v>
      </c>
      <c r="AE2206" s="1" t="str">
        <f t="shared" si="585"/>
        <v>اختتام</v>
      </c>
      <c r="AF2206" s="1" t="str">
        <f>""</f>
        <v/>
      </c>
      <c r="AG2206" s="1" t="str">
        <f>""</f>
        <v/>
      </c>
      <c r="AH2206" s="1" t="str">
        <f>""</f>
        <v/>
      </c>
      <c r="AI2206" s="1" t="str">
        <f>""</f>
        <v/>
      </c>
      <c r="AJ2206" s="1" t="str">
        <f>""</f>
        <v/>
      </c>
      <c r="AK2206" s="1" t="str">
        <f>""</f>
        <v/>
      </c>
    </row>
    <row r="2207" spans="1:37" x14ac:dyDescent="0.2">
      <c r="A2207" s="1">
        <v>178000</v>
      </c>
      <c r="B2207" s="1">
        <v>956200203</v>
      </c>
      <c r="C2207" s="1" t="str">
        <f>"تخليه- کردستان - سه راه مريوان-کارخانه آسفالت قشلاق"</f>
        <v>تخليه- کردستان - سه راه مريوان-کارخانه آسفالت قشلاق</v>
      </c>
      <c r="D2207" s="1">
        <v>9361</v>
      </c>
      <c r="E2207" s="1">
        <v>166620</v>
      </c>
      <c r="F2207" s="1">
        <v>95</v>
      </c>
      <c r="G2207" s="1">
        <v>11380</v>
      </c>
      <c r="H2207" s="1" t="str">
        <f>"95/11/19"</f>
        <v>95/11/19</v>
      </c>
      <c r="I2207" s="1" t="str">
        <f t="shared" si="577"/>
        <v>كيلوگرم</v>
      </c>
      <c r="J2207" s="1" t="str">
        <f t="shared" si="583"/>
        <v>1000000002</v>
      </c>
      <c r="K2207" s="1" t="str">
        <f t="shared" si="584"/>
        <v>قير 85/100 - فله</v>
      </c>
      <c r="L2207" s="1">
        <v>100</v>
      </c>
      <c r="M2207" s="1" t="str">
        <f t="shared" si="582"/>
        <v>مخازن قير اصفهان</v>
      </c>
      <c r="N2207" s="1">
        <v>11244</v>
      </c>
      <c r="O2207" s="1">
        <v>50033637</v>
      </c>
      <c r="P2207" s="1" t="str">
        <f>"  تحکيم عمران جمشيد"</f>
        <v xml:space="preserve">  تحکيم عمران جمشيد</v>
      </c>
      <c r="Q2207" s="1">
        <v>62</v>
      </c>
      <c r="R2207" s="1" t="str">
        <f t="shared" si="588"/>
        <v>فروش داخلي - سازمان بنيادمسكن انقلاب اسلامي</v>
      </c>
      <c r="S2207" s="1" t="str">
        <f t="shared" si="578"/>
        <v>قرارداد فروش</v>
      </c>
      <c r="T2207" s="1" t="str">
        <f t="shared" si="579"/>
        <v>ندارد</v>
      </c>
      <c r="U2207" s="1" t="str">
        <f>"قنبري امين(2872037)"</f>
        <v>قنبري امين(2872037)</v>
      </c>
      <c r="V2207" s="1">
        <v>956200203</v>
      </c>
      <c r="W2207" s="1">
        <v>956200203</v>
      </c>
      <c r="X2207" s="1" t="str">
        <f>"1395463366"</f>
        <v>1395463366</v>
      </c>
      <c r="Y2207" s="1" t="str">
        <f>"95/11/19"</f>
        <v>95/11/19</v>
      </c>
      <c r="Z2207" s="1" t="str">
        <f>"49891/د"</f>
        <v>49891/د</v>
      </c>
      <c r="AA2207" s="1" t="str">
        <f t="shared" si="589"/>
        <v>بنيادمسكن انقلاب اسلامي</v>
      </c>
      <c r="AB2207" s="1" t="str">
        <f>"95/11/18"</f>
        <v>95/11/18</v>
      </c>
      <c r="AC2207" s="1" t="str">
        <f>"استان كردستان"</f>
        <v>استان كردستان</v>
      </c>
      <c r="AD2207" s="1" t="str">
        <f>"95/11/19"</f>
        <v>95/11/19</v>
      </c>
      <c r="AE2207" s="1" t="str">
        <f t="shared" si="585"/>
        <v>اختتام</v>
      </c>
      <c r="AF2207" s="1" t="str">
        <f>""</f>
        <v/>
      </c>
      <c r="AG2207" s="1" t="str">
        <f>""</f>
        <v/>
      </c>
      <c r="AH2207" s="1" t="str">
        <f>""</f>
        <v/>
      </c>
      <c r="AI2207" s="1" t="str">
        <f>""</f>
        <v/>
      </c>
      <c r="AJ2207" s="1" t="str">
        <f>""</f>
        <v/>
      </c>
      <c r="AK2207" s="1" t="str">
        <f>""</f>
        <v/>
      </c>
    </row>
    <row r="2208" spans="1:37" x14ac:dyDescent="0.2">
      <c r="A2208" s="1">
        <v>57000</v>
      </c>
      <c r="B2208" s="1">
        <v>956200233</v>
      </c>
      <c r="C2208" s="1" t="str">
        <f>"تخليه-آذربايجان شرقي - ملکان -بعداز روستاي قلي کندي -کارخانه آسفالت رحيم خاني"</f>
        <v>تخليه-آذربايجان شرقي - ملکان -بعداز روستاي قلي کندي -کارخانه آسفالت رحيم خاني</v>
      </c>
      <c r="D2208" s="1">
        <v>9361</v>
      </c>
      <c r="E2208" s="1">
        <v>51000</v>
      </c>
      <c r="F2208" s="1">
        <v>95</v>
      </c>
      <c r="G2208" s="1">
        <v>6000</v>
      </c>
      <c r="H2208" s="1" t="str">
        <f>"95/11/25"</f>
        <v>95/11/25</v>
      </c>
      <c r="I2208" s="1" t="str">
        <f t="shared" si="577"/>
        <v>كيلوگرم</v>
      </c>
      <c r="J2208" s="1" t="str">
        <f t="shared" si="583"/>
        <v>1000000002</v>
      </c>
      <c r="K2208" s="1" t="str">
        <f t="shared" si="584"/>
        <v>قير 85/100 - فله</v>
      </c>
      <c r="L2208" s="1">
        <v>100</v>
      </c>
      <c r="M2208" s="1" t="str">
        <f t="shared" si="582"/>
        <v>مخازن قير اصفهان</v>
      </c>
      <c r="N2208" s="1">
        <v>11255</v>
      </c>
      <c r="O2208" s="1">
        <v>50033743</v>
      </c>
      <c r="P2208" s="1" t="str">
        <f>"  آهاب بتن نيک پي"</f>
        <v xml:space="preserve">  آهاب بتن نيک پي</v>
      </c>
      <c r="Q2208" s="1">
        <v>62</v>
      </c>
      <c r="R2208" s="1" t="str">
        <f t="shared" si="588"/>
        <v>فروش داخلي - سازمان بنيادمسكن انقلاب اسلامي</v>
      </c>
      <c r="S2208" s="1" t="str">
        <f t="shared" si="578"/>
        <v>قرارداد فروش</v>
      </c>
      <c r="T2208" s="1" t="str">
        <f t="shared" si="579"/>
        <v>ندارد</v>
      </c>
      <c r="U2208" s="1" t="str">
        <f>"رزاقي حسين (3903025)"</f>
        <v>رزاقي حسين (3903025)</v>
      </c>
      <c r="V2208" s="1">
        <v>956200233</v>
      </c>
      <c r="W2208" s="1">
        <v>956200233</v>
      </c>
      <c r="X2208" s="1" t="str">
        <f>"1395464671"</f>
        <v>1395464671</v>
      </c>
      <c r="Y2208" s="1" t="str">
        <f>"95/11/25"</f>
        <v>95/11/25</v>
      </c>
      <c r="Z2208" s="1" t="str">
        <f>"51023/د"</f>
        <v>51023/د</v>
      </c>
      <c r="AA2208" s="1" t="str">
        <f t="shared" si="589"/>
        <v>بنيادمسكن انقلاب اسلامي</v>
      </c>
      <c r="AB2208" s="1" t="str">
        <f>"95/11/24"</f>
        <v>95/11/24</v>
      </c>
      <c r="AC2208" s="1" t="str">
        <f>"استان آذربايجان شرقي"</f>
        <v>استان آذربايجان شرقي</v>
      </c>
      <c r="AD2208" s="1" t="str">
        <f>"95/11/25"</f>
        <v>95/11/25</v>
      </c>
      <c r="AE2208" s="1" t="str">
        <f t="shared" si="585"/>
        <v>اختتام</v>
      </c>
      <c r="AF2208" s="1" t="str">
        <f>""</f>
        <v/>
      </c>
      <c r="AG2208" s="1" t="str">
        <f>""</f>
        <v/>
      </c>
      <c r="AH2208" s="1" t="str">
        <f>""</f>
        <v/>
      </c>
      <c r="AI2208" s="1" t="str">
        <f>""</f>
        <v/>
      </c>
      <c r="AJ2208" s="1" t="str">
        <f>""</f>
        <v/>
      </c>
      <c r="AK2208" s="1" t="str">
        <f>""</f>
        <v/>
      </c>
    </row>
    <row r="2209" spans="1:37" x14ac:dyDescent="0.2">
      <c r="A2209" s="1">
        <v>123000</v>
      </c>
      <c r="B2209" s="1">
        <v>956200275</v>
      </c>
      <c r="C2209" s="1" t="str">
        <f>"تخليه - کردستان - سقز - کارخانه آسفالت ميرده -کيلومتر 15 جاده سقز بانه"</f>
        <v>تخليه - کردستان - سقز - کارخانه آسفالت ميرده -کيلومتر 15 جاده سقز بانه</v>
      </c>
      <c r="D2209" s="1">
        <v>8848</v>
      </c>
      <c r="E2209" s="1">
        <v>109620</v>
      </c>
      <c r="F2209" s="1">
        <v>95</v>
      </c>
      <c r="G2209" s="1">
        <v>13380</v>
      </c>
      <c r="H2209" s="1" t="str">
        <f>"95/12/04"</f>
        <v>95/12/04</v>
      </c>
      <c r="I2209" s="1" t="str">
        <f t="shared" si="577"/>
        <v>كيلوگرم</v>
      </c>
      <c r="J2209" s="1" t="str">
        <f t="shared" si="583"/>
        <v>1000000002</v>
      </c>
      <c r="K2209" s="1" t="str">
        <f t="shared" si="584"/>
        <v>قير 85/100 - فله</v>
      </c>
      <c r="L2209" s="1">
        <v>100</v>
      </c>
      <c r="M2209" s="1" t="str">
        <f t="shared" si="582"/>
        <v>مخازن قير اصفهان</v>
      </c>
      <c r="N2209" s="1">
        <v>11267</v>
      </c>
      <c r="O2209" s="1">
        <v>50033842</v>
      </c>
      <c r="P2209" s="1" t="str">
        <f>"  ساختماني و تاسيساتي توس نوذر"</f>
        <v xml:space="preserve">  ساختماني و تاسيساتي توس نوذر</v>
      </c>
      <c r="Q2209" s="1">
        <v>62</v>
      </c>
      <c r="R2209" s="1" t="str">
        <f t="shared" si="588"/>
        <v>فروش داخلي - سازمان بنيادمسكن انقلاب اسلامي</v>
      </c>
      <c r="S2209" s="1" t="str">
        <f t="shared" si="578"/>
        <v>قرارداد فروش</v>
      </c>
      <c r="T2209" s="1" t="str">
        <f t="shared" si="579"/>
        <v>ندارد</v>
      </c>
      <c r="U2209" s="1" t="str">
        <f>"حاجيلوئي علي اصغر(2842019)"</f>
        <v>حاجيلوئي علي اصغر(2842019)</v>
      </c>
      <c r="V2209" s="1">
        <v>956200275</v>
      </c>
      <c r="W2209" s="1">
        <v>956200275</v>
      </c>
      <c r="X2209" s="1" t="str">
        <f>"1395466582"</f>
        <v>1395466582</v>
      </c>
      <c r="Y2209" s="1" t="str">
        <f>"95/12/04"</f>
        <v>95/12/04</v>
      </c>
      <c r="Z2209" s="1" t="str">
        <f>"52062/د"</f>
        <v>52062/د</v>
      </c>
      <c r="AA2209" s="1" t="str">
        <f t="shared" si="589"/>
        <v>بنيادمسكن انقلاب اسلامي</v>
      </c>
      <c r="AB2209" s="1" t="str">
        <f>"95/11/30"</f>
        <v>95/11/30</v>
      </c>
      <c r="AC2209" s="1" t="str">
        <f>"استان كردستان"</f>
        <v>استان كردستان</v>
      </c>
      <c r="AD2209" s="1" t="str">
        <f>"95/12/03"</f>
        <v>95/12/03</v>
      </c>
      <c r="AE2209" s="1" t="str">
        <f t="shared" si="585"/>
        <v>اختتام</v>
      </c>
      <c r="AF2209" s="1" t="str">
        <f>""</f>
        <v/>
      </c>
      <c r="AG2209" s="1" t="str">
        <f>""</f>
        <v/>
      </c>
      <c r="AH2209" s="1" t="str">
        <f>""</f>
        <v/>
      </c>
      <c r="AI2209" s="1" t="str">
        <f>""</f>
        <v/>
      </c>
      <c r="AJ2209" s="1" t="str">
        <f>""</f>
        <v/>
      </c>
      <c r="AK2209" s="1" t="str">
        <f>""</f>
        <v/>
      </c>
    </row>
    <row r="2210" spans="1:37" x14ac:dyDescent="0.2">
      <c r="A2210" s="1">
        <v>200000</v>
      </c>
      <c r="B2210" s="1">
        <v>956200312</v>
      </c>
      <c r="C2210" s="1" t="str">
        <f>"تخليه - همدان - جاده رزن -همدان کيلومتر 18 - جنب کارخانه آهک صنعتي"</f>
        <v>تخليه - همدان - جاده رزن -همدان کيلومتر 18 - جنب کارخانه آهک صنعتي</v>
      </c>
      <c r="D2210" s="1">
        <v>8848</v>
      </c>
      <c r="E2210" s="1">
        <v>199440</v>
      </c>
      <c r="F2210" s="1">
        <v>95</v>
      </c>
      <c r="G2210" s="1">
        <v>560</v>
      </c>
      <c r="H2210" s="1" t="str">
        <f>"95/12/11"</f>
        <v>95/12/11</v>
      </c>
      <c r="I2210" s="1" t="str">
        <f t="shared" si="577"/>
        <v>كيلوگرم</v>
      </c>
      <c r="J2210" s="1" t="str">
        <f t="shared" si="583"/>
        <v>1000000002</v>
      </c>
      <c r="K2210" s="1" t="str">
        <f t="shared" si="584"/>
        <v>قير 85/100 - فله</v>
      </c>
      <c r="L2210" s="1">
        <v>100</v>
      </c>
      <c r="M2210" s="1" t="str">
        <f t="shared" si="582"/>
        <v>مخازن قير اصفهان</v>
      </c>
      <c r="N2210" s="1">
        <v>11284</v>
      </c>
      <c r="O2210" s="1">
        <v>50033952</v>
      </c>
      <c r="P2210" s="1" t="str">
        <f>"  عمران راه نصر هگمتان"</f>
        <v xml:space="preserve">  عمران راه نصر هگمتان</v>
      </c>
      <c r="Q2210" s="1">
        <v>62</v>
      </c>
      <c r="R2210" s="1" t="str">
        <f t="shared" si="588"/>
        <v>فروش داخلي - سازمان بنيادمسكن انقلاب اسلامي</v>
      </c>
      <c r="S2210" s="1" t="str">
        <f t="shared" si="578"/>
        <v>قرارداد فروش</v>
      </c>
      <c r="T2210" s="1" t="str">
        <f t="shared" si="579"/>
        <v>ندارد</v>
      </c>
      <c r="U2210" s="1" t="str">
        <f>"حاجيلوئي علي اصغر(2842019)"</f>
        <v>حاجيلوئي علي اصغر(2842019)</v>
      </c>
      <c r="V2210" s="1">
        <v>956200312</v>
      </c>
      <c r="W2210" s="1">
        <v>956200312</v>
      </c>
      <c r="X2210" s="1" t="str">
        <f>"1395468358"</f>
        <v>1395468358</v>
      </c>
      <c r="Y2210" s="1" t="str">
        <f>"95/12/11"</f>
        <v>95/12/11</v>
      </c>
      <c r="Z2210" s="1" t="str">
        <f>"54424/د"</f>
        <v>54424/د</v>
      </c>
      <c r="AA2210" s="1" t="str">
        <f t="shared" si="589"/>
        <v>بنيادمسكن انقلاب اسلامي</v>
      </c>
      <c r="AB2210" s="1" t="str">
        <f>"95/12/09"</f>
        <v>95/12/09</v>
      </c>
      <c r="AC2210" s="1" t="str">
        <f>"استان همدان"</f>
        <v>استان همدان</v>
      </c>
      <c r="AD2210" s="1" t="str">
        <f>"95/12/10"</f>
        <v>95/12/10</v>
      </c>
      <c r="AE2210" s="1" t="str">
        <f t="shared" si="585"/>
        <v>اختتام</v>
      </c>
      <c r="AF2210" s="1" t="str">
        <f>""</f>
        <v/>
      </c>
      <c r="AG2210" s="1" t="str">
        <f>""</f>
        <v/>
      </c>
      <c r="AH2210" s="1" t="str">
        <f>""</f>
        <v/>
      </c>
      <c r="AI2210" s="1" t="str">
        <f>""</f>
        <v/>
      </c>
      <c r="AJ2210" s="1" t="str">
        <f>""</f>
        <v/>
      </c>
      <c r="AK2210" s="1" t="str">
        <f>""</f>
        <v/>
      </c>
    </row>
    <row r="2211" spans="1:37" x14ac:dyDescent="0.2">
      <c r="A2211" s="1">
        <v>54000</v>
      </c>
      <c r="B2211" s="1">
        <v>956200321</v>
      </c>
      <c r="C2211" s="1" t="str">
        <f>"تخليه - همدان-کيلومتر 20 جاده رزن به همدان -جنب کارخانه سيمان اکباتان-کارخانه آسفالت جاميشلو"</f>
        <v>تخليه - همدان-کيلومتر 20 جاده رزن به همدان -جنب کارخانه سيمان اکباتان-کارخانه آسفالت جاميشلو</v>
      </c>
      <c r="D2211" s="1">
        <v>8848</v>
      </c>
      <c r="E2211" s="1">
        <v>52800</v>
      </c>
      <c r="F2211" s="1">
        <v>95</v>
      </c>
      <c r="G2211" s="1">
        <v>1200</v>
      </c>
      <c r="H2211" s="1" t="str">
        <f>"95/12/11"</f>
        <v>95/12/11</v>
      </c>
      <c r="I2211" s="1" t="str">
        <f t="shared" si="577"/>
        <v>كيلوگرم</v>
      </c>
      <c r="J2211" s="1" t="str">
        <f t="shared" si="583"/>
        <v>1000000002</v>
      </c>
      <c r="K2211" s="1" t="str">
        <f t="shared" si="584"/>
        <v>قير 85/100 - فله</v>
      </c>
      <c r="L2211" s="1">
        <v>100</v>
      </c>
      <c r="M2211" s="1" t="str">
        <f t="shared" si="582"/>
        <v>مخازن قير اصفهان</v>
      </c>
      <c r="N2211" s="1">
        <v>11287</v>
      </c>
      <c r="O2211" s="1">
        <v>50033973</v>
      </c>
      <c r="P2211" s="1" t="str">
        <f>"  جاويد راه هفت اورنگ"</f>
        <v xml:space="preserve">  جاويد راه هفت اورنگ</v>
      </c>
      <c r="Q2211" s="1">
        <v>62</v>
      </c>
      <c r="R2211" s="1" t="str">
        <f t="shared" si="588"/>
        <v>فروش داخلي - سازمان بنيادمسكن انقلاب اسلامي</v>
      </c>
      <c r="S2211" s="1" t="str">
        <f t="shared" si="578"/>
        <v>قرارداد فروش</v>
      </c>
      <c r="T2211" s="1" t="str">
        <f t="shared" si="579"/>
        <v>ندارد</v>
      </c>
      <c r="U2211" s="1" t="str">
        <f>"حاجيلوئي علي اصغر(2842019)"</f>
        <v>حاجيلوئي علي اصغر(2842019)</v>
      </c>
      <c r="V2211" s="1">
        <v>956200321</v>
      </c>
      <c r="W2211" s="1">
        <v>956200321</v>
      </c>
      <c r="X2211" s="1" t="str">
        <f>"1395468780"</f>
        <v>1395468780</v>
      </c>
      <c r="Y2211" s="1" t="str">
        <f>"95/12/11"</f>
        <v>95/12/11</v>
      </c>
      <c r="Z2211" s="1" t="str">
        <f>"54618/د"</f>
        <v>54618/د</v>
      </c>
      <c r="AA2211" s="1" t="str">
        <f t="shared" si="589"/>
        <v>بنيادمسكن انقلاب اسلامي</v>
      </c>
      <c r="AB2211" s="1" t="str">
        <f>"95/12/10"</f>
        <v>95/12/10</v>
      </c>
      <c r="AC2211" s="1" t="str">
        <f>"استان همدان"</f>
        <v>استان همدان</v>
      </c>
      <c r="AD2211" s="1" t="str">
        <f>"95/12/11"</f>
        <v>95/12/11</v>
      </c>
      <c r="AE2211" s="1" t="str">
        <f t="shared" si="585"/>
        <v>اختتام</v>
      </c>
      <c r="AF2211" s="1" t="str">
        <f>""</f>
        <v/>
      </c>
      <c r="AG2211" s="1" t="str">
        <f>""</f>
        <v/>
      </c>
      <c r="AH2211" s="1" t="str">
        <f>""</f>
        <v/>
      </c>
      <c r="AI2211" s="1" t="str">
        <f>""</f>
        <v/>
      </c>
      <c r="AJ2211" s="1" t="str">
        <f>""</f>
        <v/>
      </c>
      <c r="AK2211" s="1" t="str">
        <f>""</f>
        <v/>
      </c>
    </row>
    <row r="2212" spans="1:37" x14ac:dyDescent="0.2">
      <c r="A2212" s="1">
        <v>25000</v>
      </c>
      <c r="B2212" s="1">
        <v>956200424</v>
      </c>
      <c r="C2212" s="1" t="str">
        <f>"تخليه - همدان-کيلومتر 20 جاده رزن به همدان -جنب کارخانه سيمان اکباتان-کارخانه آسفالت جاميشلو"</f>
        <v>تخليه - همدان-کيلومتر 20 جاده رزن به همدان -جنب کارخانه سيمان اکباتان-کارخانه آسفالت جاميشلو</v>
      </c>
      <c r="D2212" s="1">
        <v>8848</v>
      </c>
      <c r="E2212" s="1">
        <v>24040</v>
      </c>
      <c r="F2212" s="1">
        <v>95</v>
      </c>
      <c r="G2212" s="1">
        <v>960</v>
      </c>
      <c r="H2212" s="1" t="str">
        <f>"95/12/28"</f>
        <v>95/12/28</v>
      </c>
      <c r="I2212" s="1" t="str">
        <f t="shared" si="577"/>
        <v>كيلوگرم</v>
      </c>
      <c r="J2212" s="1" t="str">
        <f t="shared" si="583"/>
        <v>1000000002</v>
      </c>
      <c r="K2212" s="1" t="str">
        <f t="shared" si="584"/>
        <v>قير 85/100 - فله</v>
      </c>
      <c r="L2212" s="1">
        <v>100</v>
      </c>
      <c r="M2212" s="1" t="str">
        <f t="shared" si="582"/>
        <v>مخازن قير اصفهان</v>
      </c>
      <c r="N2212" s="1">
        <v>11287</v>
      </c>
      <c r="O2212" s="1">
        <v>50034313</v>
      </c>
      <c r="P2212" s="1" t="str">
        <f>"  جاويد راه هفت اورنگ"</f>
        <v xml:space="preserve">  جاويد راه هفت اورنگ</v>
      </c>
      <c r="Q2212" s="1">
        <v>62</v>
      </c>
      <c r="R2212" s="1" t="str">
        <f t="shared" si="588"/>
        <v>فروش داخلي - سازمان بنيادمسكن انقلاب اسلامي</v>
      </c>
      <c r="S2212" s="1" t="str">
        <f t="shared" si="578"/>
        <v>قرارداد فروش</v>
      </c>
      <c r="T2212" s="1" t="str">
        <f t="shared" si="579"/>
        <v>ندارد</v>
      </c>
      <c r="U2212" s="1" t="str">
        <f>"حاجيلوئي علي اصغر(2842019)"</f>
        <v>حاجيلوئي علي اصغر(2842019)</v>
      </c>
      <c r="V2212" s="1">
        <v>956200424</v>
      </c>
      <c r="W2212" s="1">
        <v>956200424</v>
      </c>
      <c r="X2212" s="1" t="str">
        <f>"1395470953"</f>
        <v>1395470953</v>
      </c>
      <c r="Y2212" s="1" t="str">
        <f>"95/12/28"</f>
        <v>95/12/28</v>
      </c>
      <c r="Z2212" s="1" t="str">
        <f>"57173/د"</f>
        <v>57173/د</v>
      </c>
      <c r="AA2212" s="1" t="str">
        <f t="shared" si="589"/>
        <v>بنيادمسكن انقلاب اسلامي</v>
      </c>
      <c r="AB2212" s="1" t="str">
        <f>"95/12/22"</f>
        <v>95/12/22</v>
      </c>
      <c r="AC2212" s="1" t="str">
        <f>"استان همدان"</f>
        <v>استان همدان</v>
      </c>
      <c r="AD2212" s="1" t="str">
        <f>"95/12/24"</f>
        <v>95/12/24</v>
      </c>
      <c r="AE2212" s="1" t="str">
        <f t="shared" si="585"/>
        <v>اختتام</v>
      </c>
      <c r="AF2212" s="1" t="str">
        <f>""</f>
        <v/>
      </c>
      <c r="AG2212" s="1" t="str">
        <f>""</f>
        <v/>
      </c>
      <c r="AH2212" s="1" t="str">
        <f>""</f>
        <v/>
      </c>
      <c r="AI2212" s="1" t="str">
        <f>""</f>
        <v/>
      </c>
      <c r="AJ2212" s="1" t="str">
        <f>""</f>
        <v/>
      </c>
      <c r="AK2212" s="1" t="str">
        <f>""</f>
        <v/>
      </c>
    </row>
    <row r="2213" spans="1:37" x14ac:dyDescent="0.2">
      <c r="A2213" s="1">
        <v>29000</v>
      </c>
      <c r="B2213" s="1">
        <v>956200160</v>
      </c>
      <c r="C2213" s="1" t="str">
        <f>"تخليه-جاده سيمان سپاهان- خ يازدهم-منطقه صنعتي اشترجان"</f>
        <v>تخليه-جاده سيمان سپاهان- خ يازدهم-منطقه صنعتي اشترجان</v>
      </c>
      <c r="D2213" s="1">
        <v>12507</v>
      </c>
      <c r="E2213" s="1">
        <v>27700</v>
      </c>
      <c r="F2213" s="1">
        <v>95</v>
      </c>
      <c r="G2213" s="1">
        <v>1300</v>
      </c>
      <c r="H2213" s="1" t="str">
        <f>"95/10/23"</f>
        <v>95/10/23</v>
      </c>
      <c r="I2213" s="1" t="str">
        <f t="shared" si="577"/>
        <v>كيلوگرم</v>
      </c>
      <c r="J2213" s="1" t="str">
        <f t="shared" ref="J2213:J2220" si="590">"1000000003"</f>
        <v>1000000003</v>
      </c>
      <c r="K2213" s="1" t="str">
        <f t="shared" ref="K2213:K2220" si="591">"قير MC250"</f>
        <v>قير MC250</v>
      </c>
      <c r="L2213" s="1">
        <v>100</v>
      </c>
      <c r="M2213" s="1" t="str">
        <f t="shared" si="582"/>
        <v>مخازن قير اصفهان</v>
      </c>
      <c r="N2213" s="1">
        <v>1002</v>
      </c>
      <c r="O2213" s="1">
        <v>50033379</v>
      </c>
      <c r="P2213" s="1" t="str">
        <f>"  راه آژند"</f>
        <v xml:space="preserve">  راه آژند</v>
      </c>
      <c r="Q2213" s="1">
        <v>62</v>
      </c>
      <c r="R2213" s="1" t="str">
        <f t="shared" si="588"/>
        <v>فروش داخلي - سازمان بنيادمسكن انقلاب اسلامي</v>
      </c>
      <c r="S2213" s="1" t="str">
        <f t="shared" si="578"/>
        <v>قرارداد فروش</v>
      </c>
      <c r="T2213" s="1" t="str">
        <f t="shared" si="579"/>
        <v>ندارد</v>
      </c>
      <c r="U2213" s="1" t="str">
        <f>"سيفي پور عبدالمجيد(1009ج89)"</f>
        <v>سيفي پور عبدالمجيد(1009ج89)</v>
      </c>
      <c r="V2213" s="1">
        <v>956200160</v>
      </c>
      <c r="W2213" s="1">
        <v>956200160</v>
      </c>
      <c r="X2213" s="1" t="str">
        <f>"1395457939"</f>
        <v>1395457939</v>
      </c>
      <c r="Y2213" s="1" t="str">
        <f>"95/10/23"</f>
        <v>95/10/23</v>
      </c>
      <c r="Z2213" s="1" t="str">
        <f>"44844/د"</f>
        <v>44844/د</v>
      </c>
      <c r="AA2213" s="1" t="str">
        <f t="shared" si="589"/>
        <v>بنيادمسكن انقلاب اسلامي</v>
      </c>
      <c r="AB2213" s="1" t="str">
        <f>"95/10/20"</f>
        <v>95/10/20</v>
      </c>
      <c r="AC2213" s="1" t="str">
        <f>"استان اصفهان"</f>
        <v>استان اصفهان</v>
      </c>
      <c r="AD2213" s="1" t="str">
        <f>"95/10/22"</f>
        <v>95/10/22</v>
      </c>
      <c r="AE2213" s="1" t="str">
        <f t="shared" si="585"/>
        <v>اختتام</v>
      </c>
      <c r="AF2213" s="1" t="str">
        <f>""</f>
        <v/>
      </c>
      <c r="AG2213" s="1" t="str">
        <f>""</f>
        <v/>
      </c>
      <c r="AH2213" s="1" t="str">
        <f>""</f>
        <v/>
      </c>
      <c r="AI2213" s="1" t="str">
        <f>""</f>
        <v/>
      </c>
      <c r="AJ2213" s="1" t="str">
        <f>""</f>
        <v/>
      </c>
      <c r="AK2213" s="1" t="str">
        <f>""</f>
        <v/>
      </c>
    </row>
    <row r="2214" spans="1:37" x14ac:dyDescent="0.2">
      <c r="A2214" s="1">
        <v>18000</v>
      </c>
      <c r="B2214" s="1">
        <v>951100126</v>
      </c>
      <c r="C2214" s="1" t="str">
        <f>"تخليه -كردستان -كيلومتر7جاده سنندج كامياران"</f>
        <v>تخليه -كردستان -كيلومتر7جاده سنندج كامياران</v>
      </c>
      <c r="D2214" s="1">
        <v>11000</v>
      </c>
      <c r="E2214" s="1">
        <v>16260</v>
      </c>
      <c r="F2214" s="1">
        <v>95</v>
      </c>
      <c r="G2214" s="1">
        <v>1740</v>
      </c>
      <c r="H2214" s="1" t="str">
        <f>"95/07/14"</f>
        <v>95/07/14</v>
      </c>
      <c r="I2214" s="1" t="str">
        <f t="shared" si="577"/>
        <v>كيلوگرم</v>
      </c>
      <c r="J2214" s="1" t="str">
        <f t="shared" si="590"/>
        <v>1000000003</v>
      </c>
      <c r="K2214" s="1" t="str">
        <f t="shared" si="591"/>
        <v>قير MC250</v>
      </c>
      <c r="L2214" s="1">
        <v>100</v>
      </c>
      <c r="M2214" s="1" t="str">
        <f t="shared" si="582"/>
        <v>مخازن قير اصفهان</v>
      </c>
      <c r="N2214" s="1">
        <v>4009</v>
      </c>
      <c r="O2214" s="1">
        <v>50032093</v>
      </c>
      <c r="P2214" s="1" t="str">
        <f>"  سازمان عمران و بازآفريني فضاي شهري شهرداري سنندج (2849000)"</f>
        <v xml:space="preserve">  سازمان عمران و بازآفريني فضاي شهري شهرداري سنندج (2849000)</v>
      </c>
      <c r="Q2214" s="1">
        <v>11</v>
      </c>
      <c r="R2214" s="1" t="str">
        <f>"فروش داخلي تهران - بورس"</f>
        <v>فروش داخلي تهران - بورس</v>
      </c>
      <c r="S2214" s="1" t="str">
        <f t="shared" si="578"/>
        <v>قرارداد فروش</v>
      </c>
      <c r="T2214" s="1" t="str">
        <f t="shared" si="579"/>
        <v>ندارد</v>
      </c>
      <c r="U2214" s="1" t="str">
        <f>"عظيمي محمد(2842015)"</f>
        <v>عظيمي محمد(2842015)</v>
      </c>
      <c r="V2214" s="1">
        <v>951100126</v>
      </c>
      <c r="W2214" s="1">
        <v>951100126</v>
      </c>
      <c r="X2214" s="1" t="str">
        <f>"1395435382"</f>
        <v>1395435382</v>
      </c>
      <c r="Y2214" s="1" t="str">
        <f>"95/07/13"</f>
        <v>95/07/13</v>
      </c>
      <c r="Z2214" s="1" t="str">
        <f>"95-34688"</f>
        <v>95-34688</v>
      </c>
      <c r="AA2214" s="1" t="str">
        <f>"شهرداريها"</f>
        <v>شهرداريها</v>
      </c>
      <c r="AB2214" s="1" t="str">
        <f>"95/07/13"</f>
        <v>95/07/13</v>
      </c>
      <c r="AC2214" s="1" t="str">
        <f>"استان كردستان"</f>
        <v>استان كردستان</v>
      </c>
      <c r="AD2214" s="1" t="str">
        <f>"95/07/12"</f>
        <v>95/07/12</v>
      </c>
      <c r="AE2214" s="1" t="str">
        <f t="shared" si="585"/>
        <v>اختتام</v>
      </c>
      <c r="AF2214" s="1" t="str">
        <f>""</f>
        <v/>
      </c>
      <c r="AG2214" s="1" t="str">
        <f>""</f>
        <v/>
      </c>
      <c r="AH2214" s="1" t="str">
        <f>""</f>
        <v/>
      </c>
      <c r="AI2214" s="1" t="str">
        <f>""</f>
        <v/>
      </c>
      <c r="AJ2214" s="1" t="str">
        <f>""</f>
        <v/>
      </c>
      <c r="AK2214" s="1" t="str">
        <f>""</f>
        <v/>
      </c>
    </row>
    <row r="2215" spans="1:37" x14ac:dyDescent="0.2">
      <c r="A2215" s="1">
        <v>207000</v>
      </c>
      <c r="B2215" s="1">
        <v>951700031</v>
      </c>
      <c r="C2215" s="1" t="str">
        <f>"تخليه خراسان جنوبي شهرستان نهبندان اداره كل راه وشهرسازي شهرستان نهبندان"</f>
        <v>تخليه خراسان جنوبي شهرستان نهبندان اداره كل راه وشهرسازي شهرستان نهبندان</v>
      </c>
      <c r="D2215" s="1">
        <v>9860</v>
      </c>
      <c r="E2215" s="1">
        <v>203340</v>
      </c>
      <c r="F2215" s="1">
        <v>95</v>
      </c>
      <c r="G2215" s="1">
        <v>3660</v>
      </c>
      <c r="H2215" s="1" t="str">
        <f>"95/03/18"</f>
        <v>95/03/18</v>
      </c>
      <c r="I2215" s="1" t="str">
        <f t="shared" si="577"/>
        <v>كيلوگرم</v>
      </c>
      <c r="J2215" s="1" t="str">
        <f t="shared" si="590"/>
        <v>1000000003</v>
      </c>
      <c r="K2215" s="1" t="str">
        <f t="shared" si="591"/>
        <v>قير MC250</v>
      </c>
      <c r="L2215" s="1">
        <v>100</v>
      </c>
      <c r="M2215" s="1" t="str">
        <f t="shared" si="582"/>
        <v>مخازن قير اصفهان</v>
      </c>
      <c r="N2215" s="1">
        <v>4012</v>
      </c>
      <c r="O2215" s="1">
        <v>50030976</v>
      </c>
      <c r="P2215" s="1" t="str">
        <f>"  اداره كل راه و شهرسازي خراسان جنوبي"</f>
        <v xml:space="preserve">  اداره كل راه و شهرسازي خراسان جنوبي</v>
      </c>
      <c r="Q2215" s="1">
        <v>17</v>
      </c>
      <c r="R2215" s="1" t="str">
        <f>"فروش داخلي تهران - وزارت راه - راه روستايي - روکش"</f>
        <v>فروش داخلي تهران - وزارت راه - راه روستايي - روکش</v>
      </c>
      <c r="S2215" s="1" t="str">
        <f t="shared" si="578"/>
        <v>قرارداد فروش</v>
      </c>
      <c r="T2215" s="1" t="str">
        <f t="shared" si="579"/>
        <v>ندارد</v>
      </c>
      <c r="U2215" s="1" t="str">
        <f>"بابامحمدي عنايت اله(4844000)"</f>
        <v>بابامحمدي عنايت اله(4844000)</v>
      </c>
      <c r="V2215" s="1">
        <v>951700031</v>
      </c>
      <c r="W2215" s="1">
        <v>951700031</v>
      </c>
      <c r="X2215" s="1" t="str">
        <f>"1395407668"</f>
        <v>1395407668</v>
      </c>
      <c r="Y2215" s="1" t="str">
        <f>"95/03/18"</f>
        <v>95/03/18</v>
      </c>
      <c r="Z2215" s="1" t="str">
        <f>"10224/510"</f>
        <v>10224/510</v>
      </c>
      <c r="AA2215" s="1" t="str">
        <f>"راه روستائي -روكش"</f>
        <v>راه روستائي -روكش</v>
      </c>
      <c r="AB2215" s="1" t="str">
        <f>"95/03/11"</f>
        <v>95/03/11</v>
      </c>
      <c r="AC2215" s="1" t="str">
        <f>"خراسان جنوبي"</f>
        <v>خراسان جنوبي</v>
      </c>
      <c r="AD2215" s="1" t="str">
        <f>"95/03/16"</f>
        <v>95/03/16</v>
      </c>
      <c r="AE2215" s="1" t="str">
        <f t="shared" si="585"/>
        <v>اختتام</v>
      </c>
      <c r="AF2215" s="1" t="str">
        <f>""</f>
        <v/>
      </c>
      <c r="AG2215" s="1" t="str">
        <f>""</f>
        <v/>
      </c>
      <c r="AH2215" s="1" t="str">
        <f>""</f>
        <v/>
      </c>
      <c r="AI2215" s="1" t="str">
        <f>""</f>
        <v/>
      </c>
      <c r="AJ2215" s="1" t="str">
        <f>""</f>
        <v/>
      </c>
      <c r="AK2215" s="1" t="str">
        <f>""</f>
        <v/>
      </c>
    </row>
    <row r="2216" spans="1:37" x14ac:dyDescent="0.2">
      <c r="A2216" s="1">
        <v>265000</v>
      </c>
      <c r="B2216" s="1">
        <v>951400005</v>
      </c>
      <c r="C2216" s="1" t="str">
        <f>"تخليه -سيستان وبلوچستان اداره راه وشهرسازي شهرستان ميرجاوه"</f>
        <v>تخليه -سيستان وبلوچستان اداره راه وشهرسازي شهرستان ميرجاوه</v>
      </c>
      <c r="D2216" s="1">
        <v>9324</v>
      </c>
      <c r="E2216" s="1">
        <v>140940</v>
      </c>
      <c r="F2216" s="1">
        <v>95</v>
      </c>
      <c r="G2216" s="1">
        <v>124060</v>
      </c>
      <c r="H2216" s="1" t="str">
        <f>"95/02/11"</f>
        <v>95/02/11</v>
      </c>
      <c r="I2216" s="1" t="str">
        <f t="shared" si="577"/>
        <v>كيلوگرم</v>
      </c>
      <c r="J2216" s="1" t="str">
        <f t="shared" si="590"/>
        <v>1000000003</v>
      </c>
      <c r="K2216" s="1" t="str">
        <f t="shared" si="591"/>
        <v>قير MC250</v>
      </c>
      <c r="L2216" s="1">
        <v>100</v>
      </c>
      <c r="M2216" s="1" t="str">
        <f t="shared" si="582"/>
        <v>مخازن قير اصفهان</v>
      </c>
      <c r="N2216" s="1">
        <v>4095</v>
      </c>
      <c r="O2216" s="1">
        <v>50030672</v>
      </c>
      <c r="P2216" s="1" t="str">
        <f>"  اداره كل راه وشهرسازي سيستان وبلوچستان"</f>
        <v xml:space="preserve">  اداره كل راه وشهرسازي سيستان وبلوچستان</v>
      </c>
      <c r="Q2216" s="1">
        <v>14</v>
      </c>
      <c r="R2216" s="1" t="str">
        <f>"فروش داخلي - وزارت راه - حوزه راه روستايي ساخت"</f>
        <v>فروش داخلي - وزارت راه - حوزه راه روستايي ساخت</v>
      </c>
      <c r="S2216" s="1" t="str">
        <f t="shared" si="578"/>
        <v>قرارداد فروش</v>
      </c>
      <c r="T2216" s="1" t="str">
        <f t="shared" si="579"/>
        <v>ندارد</v>
      </c>
      <c r="U2216" s="1" t="str">
        <f>"ميرحسيني چاپارحقيقت كرمان(4844008)"</f>
        <v>ميرحسيني چاپارحقيقت كرمان(4844008)</v>
      </c>
      <c r="V2216" s="1">
        <v>951400005</v>
      </c>
      <c r="W2216" s="1">
        <v>951400005</v>
      </c>
      <c r="X2216" s="1" t="str">
        <f>"1395401942"</f>
        <v>1395401942</v>
      </c>
      <c r="Y2216" s="1" t="str">
        <f>"95/02/11"</f>
        <v>95/02/11</v>
      </c>
      <c r="Z2216" s="1" t="str">
        <f>"65713/510"</f>
        <v>65713/510</v>
      </c>
      <c r="AA2216" s="1" t="str">
        <f>"راه وروستايي -ساخت"</f>
        <v>راه وروستايي -ساخت</v>
      </c>
      <c r="AB2216" s="1" t="str">
        <f>"94/11/28"</f>
        <v>94/11/28</v>
      </c>
      <c r="AC2216" s="1" t="str">
        <f>"استان سيستان بلوچستان"</f>
        <v>استان سيستان بلوچستان</v>
      </c>
      <c r="AD2216" s="1" t="str">
        <f>"95/02/11"</f>
        <v>95/02/11</v>
      </c>
      <c r="AE2216" s="1" t="str">
        <f t="shared" si="585"/>
        <v>اختتام</v>
      </c>
      <c r="AF2216" s="1" t="str">
        <f>""</f>
        <v/>
      </c>
      <c r="AG2216" s="1" t="str">
        <f>""</f>
        <v/>
      </c>
      <c r="AH2216" s="1" t="str">
        <f>""</f>
        <v/>
      </c>
      <c r="AI2216" s="1" t="str">
        <f>""</f>
        <v/>
      </c>
      <c r="AJ2216" s="1" t="str">
        <f>""</f>
        <v/>
      </c>
      <c r="AK2216" s="1" t="str">
        <f>""</f>
        <v/>
      </c>
    </row>
    <row r="2217" spans="1:37" x14ac:dyDescent="0.2">
      <c r="A2217" s="1">
        <v>77000</v>
      </c>
      <c r="B2217" s="1">
        <v>951100048</v>
      </c>
      <c r="C2217" s="1" t="str">
        <f>"تخليه -جاده خلخال -كيلومتر5كورانيم -كارخانه آسفالت وسنگ شكن اردبيل"</f>
        <v>تخليه -جاده خلخال -كيلومتر5كورانيم -كارخانه آسفالت وسنگ شكن اردبيل</v>
      </c>
      <c r="D2217" s="1">
        <v>9324</v>
      </c>
      <c r="E2217" s="1">
        <v>77000</v>
      </c>
      <c r="F2217" s="1">
        <v>95</v>
      </c>
      <c r="G2217" s="1">
        <v>0</v>
      </c>
      <c r="H2217" s="1" t="str">
        <f>"95/02/26"</f>
        <v>95/02/26</v>
      </c>
      <c r="I2217" s="1" t="str">
        <f t="shared" si="577"/>
        <v>كيلوگرم</v>
      </c>
      <c r="J2217" s="1" t="str">
        <f t="shared" si="590"/>
        <v>1000000003</v>
      </c>
      <c r="K2217" s="1" t="str">
        <f t="shared" si="591"/>
        <v>قير MC250</v>
      </c>
      <c r="L2217" s="1">
        <v>100</v>
      </c>
      <c r="M2217" s="1" t="str">
        <f t="shared" si="582"/>
        <v>مخازن قير اصفهان</v>
      </c>
      <c r="N2217" s="1">
        <v>4200</v>
      </c>
      <c r="O2217" s="1">
        <v>50030838</v>
      </c>
      <c r="P2217" s="1" t="str">
        <f>"  شهرداري اردبيل"</f>
        <v xml:space="preserve">  شهرداري اردبيل</v>
      </c>
      <c r="Q2217" s="1">
        <v>11</v>
      </c>
      <c r="R2217" s="1" t="str">
        <f>"فروش داخلي تهران - بورس"</f>
        <v>فروش داخلي تهران - بورس</v>
      </c>
      <c r="S2217" s="1" t="str">
        <f t="shared" si="578"/>
        <v>قرارداد فروش</v>
      </c>
      <c r="T2217" s="1" t="str">
        <f t="shared" si="579"/>
        <v>ندارد</v>
      </c>
      <c r="U2217" s="1" t="str">
        <f>"علافي اسكويي محمد تقي(3843004)"</f>
        <v>علافي اسكويي محمد تقي(3843004)</v>
      </c>
      <c r="V2217" s="1">
        <v>951100048</v>
      </c>
      <c r="W2217" s="1">
        <v>951100048</v>
      </c>
      <c r="X2217" s="1" t="str">
        <f>"1395403561"</f>
        <v>1395403561</v>
      </c>
      <c r="Y2217" s="1" t="str">
        <f>"95/02/25"</f>
        <v>95/02/25</v>
      </c>
      <c r="Z2217" s="1" t="str">
        <f>"96/315674"</f>
        <v>96/315674</v>
      </c>
      <c r="AA2217" s="1" t="str">
        <f>"شهرداريها"</f>
        <v>شهرداريها</v>
      </c>
      <c r="AB2217" s="1" t="str">
        <f>"95/02/22"</f>
        <v>95/02/22</v>
      </c>
      <c r="AC2217" s="1" t="str">
        <f>"استان اردبيل"</f>
        <v>استان اردبيل</v>
      </c>
      <c r="AD2217" s="1" t="str">
        <f>"95/02/21"</f>
        <v>95/02/21</v>
      </c>
      <c r="AE2217" s="1" t="str">
        <f t="shared" si="585"/>
        <v>اختتام</v>
      </c>
      <c r="AF2217" s="1" t="str">
        <f>""</f>
        <v/>
      </c>
      <c r="AG2217" s="1" t="str">
        <f>""</f>
        <v/>
      </c>
      <c r="AH2217" s="1" t="str">
        <f>""</f>
        <v/>
      </c>
      <c r="AI2217" s="1" t="str">
        <f>""</f>
        <v/>
      </c>
      <c r="AJ2217" s="1" t="str">
        <f>""</f>
        <v/>
      </c>
      <c r="AK2217" s="1" t="str">
        <f>""</f>
        <v/>
      </c>
    </row>
    <row r="2218" spans="1:37" x14ac:dyDescent="0.2">
      <c r="A2218" s="1">
        <v>66000</v>
      </c>
      <c r="B2218" s="1">
        <v>956200158</v>
      </c>
      <c r="C2218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2218" s="1">
        <v>12507</v>
      </c>
      <c r="E2218" s="1">
        <v>66000</v>
      </c>
      <c r="F2218" s="1">
        <v>95</v>
      </c>
      <c r="G2218" s="1">
        <v>0</v>
      </c>
      <c r="H2218" s="1" t="str">
        <f>"95/10/23"</f>
        <v>95/10/23</v>
      </c>
      <c r="I2218" s="1" t="str">
        <f t="shared" si="577"/>
        <v>كيلوگرم</v>
      </c>
      <c r="J2218" s="1" t="str">
        <f t="shared" si="590"/>
        <v>1000000003</v>
      </c>
      <c r="K2218" s="1" t="str">
        <f t="shared" si="591"/>
        <v>قير MC250</v>
      </c>
      <c r="L2218" s="1">
        <v>100</v>
      </c>
      <c r="M2218" s="1" t="str">
        <f t="shared" si="582"/>
        <v>مخازن قير اصفهان</v>
      </c>
      <c r="N2218" s="1">
        <v>10536</v>
      </c>
      <c r="O2218" s="1">
        <v>50033377</v>
      </c>
      <c r="P2218" s="1" t="str">
        <f>"  آبجيل صنعت"</f>
        <v xml:space="preserve">  آبجيل صنعت</v>
      </c>
      <c r="Q2218" s="1">
        <v>62</v>
      </c>
      <c r="R2218" s="1" t="str">
        <f>"فروش داخلي - سازمان بنيادمسكن انقلاب اسلامي"</f>
        <v>فروش داخلي - سازمان بنيادمسكن انقلاب اسلامي</v>
      </c>
      <c r="S2218" s="1" t="str">
        <f t="shared" si="578"/>
        <v>قرارداد فروش</v>
      </c>
      <c r="T2218" s="1" t="str">
        <f t="shared" si="579"/>
        <v>ندارد</v>
      </c>
      <c r="U2218" s="1" t="str">
        <f>"سيفي پور گودرز(1019ج89)"</f>
        <v>سيفي پور گودرز(1019ج89)</v>
      </c>
      <c r="V2218" s="1">
        <v>956200158</v>
      </c>
      <c r="W2218" s="1">
        <v>956200158</v>
      </c>
      <c r="X2218" s="1" t="str">
        <f>"1395457939"</f>
        <v>1395457939</v>
      </c>
      <c r="Y2218" s="1" t="str">
        <f>"95/10/23"</f>
        <v>95/10/23</v>
      </c>
      <c r="Z2218" s="1" t="str">
        <f>"44838/د"</f>
        <v>44838/د</v>
      </c>
      <c r="AA2218" s="1" t="str">
        <f>"بنيادمسكن انقلاب اسلامي"</f>
        <v>بنيادمسكن انقلاب اسلامي</v>
      </c>
      <c r="AB2218" s="1" t="str">
        <f>"95/10/20"</f>
        <v>95/10/20</v>
      </c>
      <c r="AC2218" s="1" t="str">
        <f>"استان اصفهان"</f>
        <v>استان اصفهان</v>
      </c>
      <c r="AD2218" s="1" t="str">
        <f>"95/10/22"</f>
        <v>95/10/22</v>
      </c>
      <c r="AE2218" s="1" t="str">
        <f t="shared" si="585"/>
        <v>اختتام</v>
      </c>
      <c r="AF2218" s="1" t="str">
        <f>""</f>
        <v/>
      </c>
      <c r="AG2218" s="1" t="str">
        <f>""</f>
        <v/>
      </c>
      <c r="AH2218" s="1" t="str">
        <f>""</f>
        <v/>
      </c>
      <c r="AI2218" s="1" t="str">
        <f>""</f>
        <v/>
      </c>
      <c r="AJ2218" s="1" t="str">
        <f>""</f>
        <v/>
      </c>
      <c r="AK2218" s="1" t="str">
        <f>""</f>
        <v/>
      </c>
    </row>
    <row r="2219" spans="1:37" x14ac:dyDescent="0.2">
      <c r="A2219" s="1">
        <v>15000</v>
      </c>
      <c r="B2219" s="1">
        <v>956200134</v>
      </c>
      <c r="C221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219" s="1">
        <v>12507</v>
      </c>
      <c r="E2219" s="1">
        <v>14640</v>
      </c>
      <c r="F2219" s="1">
        <v>95</v>
      </c>
      <c r="G2219" s="1">
        <v>360</v>
      </c>
      <c r="H2219" s="1" t="str">
        <f>"95/10/12"</f>
        <v>95/10/12</v>
      </c>
      <c r="I2219" s="1" t="str">
        <f t="shared" si="577"/>
        <v>كيلوگرم</v>
      </c>
      <c r="J2219" s="1" t="str">
        <f t="shared" si="590"/>
        <v>1000000003</v>
      </c>
      <c r="K2219" s="1" t="str">
        <f t="shared" si="591"/>
        <v>قير MC250</v>
      </c>
      <c r="L2219" s="1">
        <v>100</v>
      </c>
      <c r="M2219" s="1" t="str">
        <f t="shared" si="582"/>
        <v>مخازن قير اصفهان</v>
      </c>
      <c r="N2219" s="1">
        <v>11001</v>
      </c>
      <c r="O2219" s="1">
        <v>50033263</v>
      </c>
      <c r="P2219" s="1" t="str">
        <f>"  بنياد مسکن انقلاب اسلامي نجف آباد"</f>
        <v xml:space="preserve">  بنياد مسکن انقلاب اسلامي نجف آباد</v>
      </c>
      <c r="Q2219" s="1">
        <v>62</v>
      </c>
      <c r="R2219" s="1" t="str">
        <f>"فروش داخلي - سازمان بنيادمسكن انقلاب اسلامي"</f>
        <v>فروش داخلي - سازمان بنيادمسكن انقلاب اسلامي</v>
      </c>
      <c r="S2219" s="1" t="str">
        <f t="shared" si="578"/>
        <v>قرارداد فروش</v>
      </c>
      <c r="T2219" s="1" t="str">
        <f t="shared" si="579"/>
        <v>ندارد</v>
      </c>
      <c r="U2219" s="1" t="str">
        <f>"سيفي پور عبدالمجيد(1009ج89)"</f>
        <v>سيفي پور عبدالمجيد(1009ج89)</v>
      </c>
      <c r="V2219" s="1">
        <v>956200134</v>
      </c>
      <c r="W2219" s="1">
        <v>956200134</v>
      </c>
      <c r="X2219" s="1" t="str">
        <f>"1395456108"</f>
        <v>1395456108</v>
      </c>
      <c r="Y2219" s="1" t="str">
        <f>"95/10/12"</f>
        <v>95/10/12</v>
      </c>
      <c r="Z2219" s="1" t="str">
        <f>"42757/د"</f>
        <v>42757/د</v>
      </c>
      <c r="AA2219" s="1" t="str">
        <f>"بنيادمسكن انقلاب اسلامي"</f>
        <v>بنيادمسكن انقلاب اسلامي</v>
      </c>
      <c r="AB2219" s="1" t="str">
        <f>"95/10/08"</f>
        <v>95/10/08</v>
      </c>
      <c r="AC2219" s="1" t="str">
        <f>"استان اصفهان"</f>
        <v>استان اصفهان</v>
      </c>
      <c r="AD2219" s="1" t="str">
        <f>"95/10/11"</f>
        <v>95/10/11</v>
      </c>
      <c r="AE2219" s="1" t="str">
        <f t="shared" si="585"/>
        <v>اختتام</v>
      </c>
      <c r="AF2219" s="1" t="str">
        <f>""</f>
        <v/>
      </c>
      <c r="AG2219" s="1" t="str">
        <f>""</f>
        <v/>
      </c>
      <c r="AH2219" s="1" t="str">
        <f>""</f>
        <v/>
      </c>
      <c r="AI2219" s="1" t="str">
        <f>""</f>
        <v/>
      </c>
      <c r="AJ2219" s="1" t="str">
        <f>""</f>
        <v/>
      </c>
      <c r="AK2219" s="1" t="str">
        <f>""</f>
        <v/>
      </c>
    </row>
    <row r="2220" spans="1:37" x14ac:dyDescent="0.2">
      <c r="A2220" s="1">
        <v>76000</v>
      </c>
      <c r="B2220" s="1">
        <v>956200065</v>
      </c>
      <c r="C2220" s="1" t="str">
        <f>"تخليه- سيستان و بلوچستان- سراوان-جاده سراوان-غفورآباد-کارگاه شن و ماسه آقاي ملکي"</f>
        <v>تخليه- سيستان و بلوچستان- سراوان-جاده سراوان-غفورآباد-کارگاه شن و ماسه آقاي ملکي</v>
      </c>
      <c r="D2220" s="1">
        <v>10200</v>
      </c>
      <c r="E2220" s="1">
        <v>72720</v>
      </c>
      <c r="F2220" s="1">
        <v>95</v>
      </c>
      <c r="G2220" s="1">
        <v>3280</v>
      </c>
      <c r="H2220" s="1" t="str">
        <f>"95/05/24"</f>
        <v>95/05/24</v>
      </c>
      <c r="I2220" s="1" t="str">
        <f t="shared" si="577"/>
        <v>كيلوگرم</v>
      </c>
      <c r="J2220" s="1" t="str">
        <f t="shared" si="590"/>
        <v>1000000003</v>
      </c>
      <c r="K2220" s="1" t="str">
        <f t="shared" si="591"/>
        <v>قير MC250</v>
      </c>
      <c r="L2220" s="1">
        <v>100</v>
      </c>
      <c r="M2220" s="1" t="str">
        <f t="shared" si="582"/>
        <v>مخازن قير اصفهان</v>
      </c>
      <c r="N2220" s="1">
        <v>11070</v>
      </c>
      <c r="O2220" s="1">
        <v>50031531</v>
      </c>
      <c r="P2220" s="1" t="str">
        <f>"  شايان نقشه جنوب"</f>
        <v xml:space="preserve">  شايان نقشه جنوب</v>
      </c>
      <c r="Q2220" s="1">
        <v>62</v>
      </c>
      <c r="R2220" s="1" t="str">
        <f>"فروش داخلي - سازمان بنيادمسكن انقلاب اسلامي"</f>
        <v>فروش داخلي - سازمان بنيادمسكن انقلاب اسلامي</v>
      </c>
      <c r="S2220" s="1" t="str">
        <f t="shared" si="578"/>
        <v>قرارداد فروش</v>
      </c>
      <c r="T2220" s="1" t="str">
        <f t="shared" si="579"/>
        <v>ندارد</v>
      </c>
      <c r="U2220" s="1" t="str">
        <f>"تاج سعيد هوشنگ (1031ج 89)"</f>
        <v>تاج سعيد هوشنگ (1031ج 89)</v>
      </c>
      <c r="V2220" s="1">
        <v>956200065</v>
      </c>
      <c r="W2220" s="1">
        <v>956200065</v>
      </c>
      <c r="X2220" s="1" t="str">
        <f>"1395423455"</f>
        <v>1395423455</v>
      </c>
      <c r="Y2220" s="1" t="str">
        <f>"95/05/24"</f>
        <v>95/05/24</v>
      </c>
      <c r="Z2220" s="1" t="str">
        <f>"20253/د"</f>
        <v>20253/د</v>
      </c>
      <c r="AA2220" s="1" t="str">
        <f>"بنيادمسكن انقلاب اسلامي"</f>
        <v>بنيادمسكن انقلاب اسلامي</v>
      </c>
      <c r="AB2220" s="1" t="str">
        <f>"95/05/18"</f>
        <v>95/05/18</v>
      </c>
      <c r="AC2220" s="1" t="str">
        <f>"استان سيستان بلوچستان"</f>
        <v>استان سيستان بلوچستان</v>
      </c>
      <c r="AD2220" s="1" t="str">
        <f>"95/05/23"</f>
        <v>95/05/23</v>
      </c>
      <c r="AE2220" s="1" t="str">
        <f t="shared" si="585"/>
        <v>اختتام</v>
      </c>
      <c r="AF2220" s="1" t="str">
        <f>""</f>
        <v/>
      </c>
      <c r="AG2220" s="1" t="str">
        <f>""</f>
        <v/>
      </c>
      <c r="AH2220" s="1" t="str">
        <f>""</f>
        <v/>
      </c>
      <c r="AI2220" s="1" t="str">
        <f>""</f>
        <v/>
      </c>
      <c r="AJ2220" s="1" t="str">
        <f>""</f>
        <v/>
      </c>
      <c r="AK2220" s="1" t="str">
        <f>""</f>
        <v/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jahadi</dc:creator>
  <cp:lastModifiedBy>Parviz Jahadi</cp:lastModifiedBy>
  <dcterms:created xsi:type="dcterms:W3CDTF">2024-11-20T07:59:53Z</dcterms:created>
  <dcterms:modified xsi:type="dcterms:W3CDTF">2024-11-20T08:02:47Z</dcterms:modified>
</cp:coreProperties>
</file>